
<file path=[Content_Types].xml><?xml version="1.0" encoding="utf-8"?>
<Types xmlns="http://schemas.openxmlformats.org/package/2006/content-types">
  <Override PartName="/xl/revisions/revisionLog118.xml" ContentType="application/vnd.openxmlformats-officedocument.spreadsheetml.revisionLog+xml"/>
  <Override PartName="/xl/revisions/revisionLog1631.xml" ContentType="application/vnd.openxmlformats-officedocument.spreadsheetml.revisionLog+xml"/>
  <Override PartName="/xl/revisions/revisionLog11911.xml" ContentType="application/vnd.openxmlformats-officedocument.spreadsheetml.revisionLog+xml"/>
  <Override PartName="/xl/revisions/revisionLog12111.xml" ContentType="application/vnd.openxmlformats-officedocument.spreadsheetml.revisionLog+xml"/>
  <Override PartName="/xl/revisions/revisionLog1121.xml" ContentType="application/vnd.openxmlformats-officedocument.spreadsheetml.revisionLog+xml"/>
  <Override PartName="/xl/styles.xml" ContentType="application/vnd.openxmlformats-officedocument.spreadsheetml.styles+xml"/>
  <Override PartName="/xl/revisions/revisionLog1412.xml" ContentType="application/vnd.openxmlformats-officedocument.spreadsheetml.revisionLog+xml"/>
  <Override PartName="/xl/revisions/revisionLog141111.xml" ContentType="application/vnd.openxmlformats-officedocument.spreadsheetml.revisionLog+xml"/>
  <Override PartName="/xl/revisions/revisionLog163111.xml" ContentType="application/vnd.openxmlformats-officedocument.spreadsheetml.revisionLog+xml"/>
  <Override PartName="/xl/revisions/revisionLog172.xml" ContentType="application/vnd.openxmlformats-officedocument.spreadsheetml.revisionLog+xml"/>
  <Override PartName="/xl/worksheets/sheet7.xml" ContentType="application/vnd.openxmlformats-officedocument.spreadsheetml.worksheet+xml"/>
  <Override PartName="/xl/revisions/revisionLog161.xml" ContentType="application/vnd.openxmlformats-officedocument.spreadsheetml.revisionLog+xml"/>
  <Override PartName="/xl/revisions/revisionLog11211.xml" ContentType="application/vnd.openxmlformats-officedocument.spreadsheetml.revisionLog+xml"/>
  <Override PartName="/xl/revisions/revisionLog114.xml" ContentType="application/vnd.openxmlformats-officedocument.spreadsheetml.revisionLog+xml"/>
  <Override PartName="/xl/revisions/revisionLog12212.xml" ContentType="application/vnd.openxmlformats-officedocument.spreadsheetml.revisionLog+xml"/>
  <Override PartName="/xl/revisions/revisionLog1911.xml" ContentType="application/vnd.openxmlformats-officedocument.spreadsheetml.revisionLog+xml"/>
  <Default Extension="xml" ContentType="application/xml"/>
  <Override PartName="/xl/revisions/revisionLog16.xml" ContentType="application/vnd.openxmlformats-officedocument.spreadsheetml.revisionLog+xml"/>
  <Override PartName="/xl/revisions/revisionLog16111.xml" ContentType="application/vnd.openxmlformats-officedocument.spreadsheetml.revisionLog+xml"/>
  <Override PartName="/xl/revisions/revisionLog1721.xml" ContentType="application/vnd.openxmlformats-officedocument.spreadsheetml.revisionLog+xml"/>
  <Override PartName="/xl/revisions/revisionLog11021.xml" ContentType="application/vnd.openxmlformats-officedocument.spreadsheetml.revisionLog+xml"/>
  <Override PartName="/xl/revisions/revisionLog132.xml" ContentType="application/vnd.openxmlformats-officedocument.spreadsheetml.revisionLog+xml"/>
  <Override PartName="/xl/revisions/revisionLog121.xml" ContentType="application/vnd.openxmlformats-officedocument.spreadsheetml.revisionLog+xml"/>
  <Override PartName="/xl/worksheets/sheet3.xml" ContentType="application/vnd.openxmlformats-officedocument.spreadsheetml.worksheet+xml"/>
  <Override PartName="/docProps/custom.xml" ContentType="application/vnd.openxmlformats-officedocument.custom-properties+xml"/>
  <Override PartName="/xl/revisions/revisionLog110.xml" ContentType="application/vnd.openxmlformats-officedocument.spreadsheetml.revisionLog+xml"/>
  <Override PartName="/xl/revisions/revisionLog1211.xml" ContentType="application/vnd.openxmlformats-officedocument.spreadsheetml.revisionLog+xml"/>
  <Override PartName="/xl/revisions/revisionLog12.xml" ContentType="application/vnd.openxmlformats-officedocument.spreadsheetml.revisionLog+xml"/>
  <Override PartName="/xl/revisions/revisionLog15111111.xml" ContentType="application/vnd.openxmlformats-officedocument.spreadsheetml.revisionLog+xml"/>
  <Override PartName="/xl/sharedStrings.xml" ContentType="application/vnd.openxmlformats-officedocument.spreadsheetml.sharedStrings+xml"/>
  <Override PartName="/xl/revisions/revisionLog1312.xml" ContentType="application/vnd.openxmlformats-officedocument.spreadsheetml.revisionLog+xml"/>
  <Override PartName="/xl/revisions/revisionLog1191.xml" ContentType="application/vnd.openxmlformats-officedocument.spreadsheetml.revisionLog+xml"/>
  <Override PartName="/xl/revisions/revisionLog11111.xml" ContentType="application/vnd.openxmlformats-officedocument.spreadsheetml.revisionLog+xml"/>
  <Override PartName="/xl/revisions/revisionLog1811.xml" ContentType="application/vnd.openxmlformats-officedocument.spreadsheetml.revisionLog+xml"/>
  <Default Extension="bin" ContentType="application/vnd.openxmlformats-officedocument.spreadsheetml.printerSettings"/>
  <Override PartName="/xl/revisions/revisionLog1.xml" ContentType="application/vnd.openxmlformats-officedocument.spreadsheetml.revisionLog+xml"/>
  <Override PartName="/xl/revisions/revisionLog1111.xml" ContentType="application/vnd.openxmlformats-officedocument.spreadsheetml.revisionLog+xml"/>
  <Override PartName="/xl/revisions/revisionLog1621.xml" ContentType="application/vnd.openxmlformats-officedocument.spreadsheetml.revisionLog+xml"/>
  <Override PartName="/xl/revisions/revisionLog162111.xml" ContentType="application/vnd.openxmlformats-officedocument.spreadsheetml.revisionLog+xml"/>
  <Override PartName="/xl/revisions/revisionLog1122.xml" ContentType="application/vnd.openxmlformats-officedocument.spreadsheetml.revisionLog+xml"/>
  <Override PartName="/xl/revisions/revisionLog119.xml" ContentType="application/vnd.openxmlformats-officedocument.spreadsheetml.revisionLog+xml"/>
  <Override PartName="/xl/revisions/revisionLog151111.xml" ContentType="application/vnd.openxmlformats-officedocument.spreadsheetml.revisionLog+xml"/>
  <Override PartName="/xl/revisions/revisionLog19211.xml" ContentType="application/vnd.openxmlformats-officedocument.spreadsheetml.revisionLog+xml"/>
  <Override PartName="/xl/revisions/revisionLog131111.xml" ContentType="application/vnd.openxmlformats-officedocument.spreadsheetml.revisionLog+xml"/>
  <Override PartName="/xl/revisions/revisionLog191.xml" ContentType="application/vnd.openxmlformats-officedocument.spreadsheetml.revisionLog+xml"/>
  <Override PartName="/xl/revisions/revisionLog117.xml" ContentType="application/vnd.openxmlformats-officedocument.spreadsheetml.revisionLog+xml"/>
  <Override PartName="/xl/revisions/revisionLog182.xml" ContentType="application/vnd.openxmlformats-officedocument.spreadsheetml.revisionLog+xml"/>
  <Override PartName="/xl/revisions/revisionLog1413.xml" ContentType="application/vnd.openxmlformats-officedocument.spreadsheetml.revisionLog+xml"/>
  <Override PartName="/xl/revisions/revisionLog16311.xml" ContentType="application/vnd.openxmlformats-officedocument.spreadsheetml.revisionLog+xml"/>
  <Override PartName="/xl/revisions/revisionLog1311111.xml" ContentType="application/vnd.openxmlformats-officedocument.spreadsheetml.revisionLog+xml"/>
  <Override PartName="/xl/revisions/revisionLog14121.xml" ContentType="application/vnd.openxmlformats-officedocument.spreadsheetml.revisionLog+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revisions/revisionLog1411.xml" ContentType="application/vnd.openxmlformats-officedocument.spreadsheetml.revisionLog+xml"/>
  <Override PartName="/xl/revisions/revisionLog171.xml" ContentType="application/vnd.openxmlformats-officedocument.spreadsheetml.revisionLog+xml"/>
  <Override PartName="/xl/revisions/revisionLog19.xml" ContentType="application/vnd.openxmlformats-officedocument.spreadsheetml.revisionLog+xml"/>
  <Override PartName="/xl/revisions/revisionLog151.xml" ContentType="application/vnd.openxmlformats-officedocument.spreadsheetml.revisionLog+xml"/>
  <Override PartName="/xl/revisions/revisionLog115.xml" ContentType="application/vnd.openxmlformats-officedocument.spreadsheetml.revisionLog+xml"/>
  <Override PartName="/xl/revisions/revisionLog1921.xml" ContentType="application/vnd.openxmlformats-officedocument.spreadsheetml.revisionLog+xml"/>
  <Override PartName="/xl/revisions/revisionLog15111.xml" ContentType="application/vnd.openxmlformats-officedocument.spreadsheetml.revisionLog+xml"/>
  <Override PartName="/xl/revisions/revisionLog16112.xml" ContentType="application/vnd.openxmlformats-officedocument.spreadsheetml.revisionLog+xml"/>
  <Override PartName="/xl/revisions/revisionLog11711.xml" ContentType="application/vnd.openxmlformats-officedocument.spreadsheetml.revisionLog+xml"/>
  <Override PartName="/xl/revisions/revisionLog11221.xml" ContentType="application/vnd.openxmlformats-officedocument.spreadsheetml.revisionLog+xml"/>
  <Override PartName="/xl/revisions/revisionLog162.xml" ContentType="application/vnd.openxmlformats-officedocument.spreadsheetml.revisionLog+xml"/>
  <Override PartName="/xl/revisions/revisionLog142.xml" ContentType="application/vnd.openxmlformats-officedocument.spreadsheetml.revisionLog+xml"/>
  <Override PartName="/xl/revisions/revisionLog124.xml" ContentType="application/vnd.openxmlformats-officedocument.spreadsheetml.revisionLog+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docProps/app.xml" ContentType="application/vnd.openxmlformats-officedocument.extended-properties+xml"/>
  <Override PartName="/xl/revisions/revisionLog17.xml" ContentType="application/vnd.openxmlformats-officedocument.spreadsheetml.revisionLog+xml"/>
  <Override PartName="/xl/revisions/revisionLog122.xml" ContentType="application/vnd.openxmlformats-officedocument.spreadsheetml.revisionLog+xml"/>
  <Override PartName="/xl/revisions/revisionLog1711.xml" ContentType="application/vnd.openxmlformats-officedocument.spreadsheetml.revisionLog+xml"/>
  <Override PartName="/xl/revisions/revisionLog1221.xml" ContentType="application/vnd.openxmlformats-officedocument.spreadsheetml.revisionLog+xml"/>
  <Override PartName="/xl/revisions/revisionLog12211.xml" ContentType="application/vnd.openxmlformats-officedocument.spreadsheetml.revisionLog+xml"/>
  <Override PartName="/xl/revisions/revisionLog113.xml" ContentType="application/vnd.openxmlformats-officedocument.spreadsheetml.revisionLog+xml"/>
  <Override PartName="/xl/revisions/revisionLog122111.xml" ContentType="application/vnd.openxmlformats-officedocument.spreadsheetml.revisionLog+xml"/>
  <Override PartName="/xl/revisions/revisionLog131.xml" ContentType="application/vnd.openxmlformats-officedocument.spreadsheetml.revisionLog+xml"/>
  <Override PartName="/xl/worksheets/sheet2.xml" ContentType="application/vnd.openxmlformats-officedocument.spreadsheetml.worksheet+xml"/>
  <Override PartName="/xl/revisions/revisionHeaders.xml" ContentType="application/vnd.openxmlformats-officedocument.spreadsheetml.revisionHeaders+xml"/>
  <Override PartName="/xl/revisions/revisionLog15.xml" ContentType="application/vnd.openxmlformats-officedocument.spreadsheetml.revisionLog+xml"/>
  <Override PartName="/xl/revisions/revisionLog111.xml" ContentType="application/vnd.openxmlformats-officedocument.spreadsheetml.revisionLog+xml"/>
  <Override PartName="/xl/revisions/revisionLog1711111.xml" ContentType="application/vnd.openxmlformats-officedocument.spreadsheetml.revisionLog+xml"/>
  <Override PartName="/xl/revisions/revisionLog141211.xml" ContentType="application/vnd.openxmlformats-officedocument.spreadsheetml.revisionLog+xml"/>
  <Override PartName="/xl/revisions/revisionLog120.xml" ContentType="application/vnd.openxmlformats-officedocument.spreadsheetml.revisionLog+xml"/>
  <Override PartName="/xl/revisions/revisionLog17111.xml" ContentType="application/vnd.openxmlformats-officedocument.spreadsheetml.revisionLog+xml"/>
  <Override PartName="/xl/revisions/revisionLog1201.xml" ContentType="application/vnd.openxmlformats-officedocument.spreadsheetml.revisionLog+xml"/>
  <Override PartName="/xl/revisions/revisionLog11011.xml" ContentType="application/vnd.openxmlformats-officedocument.spreadsheetml.revisionLog+xml"/>
  <Override PartName="/xl/revisions/revisionLog14211.xml" ContentType="application/vnd.openxmlformats-officedocument.spreadsheetml.revisionLog+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revisions/revisionLog13.xml" ContentType="application/vnd.openxmlformats-officedocument.spreadsheetml.revisionLog+xml"/>
  <Override PartName="/xl/revisions/revisionLog110211.xml" ContentType="application/vnd.openxmlformats-officedocument.spreadsheetml.revisionLog+xml"/>
  <Override PartName="/xl/revisions/revisionLog11.xml" ContentType="application/vnd.openxmlformats-officedocument.spreadsheetml.revisionLog+xml"/>
  <Override PartName="/xl/revisions/revisionLog1821.xml" ContentType="application/vnd.openxmlformats-officedocument.spreadsheetml.revisionLog+xml"/>
  <Override PartName="/xl/revisions/revisionLog1181.xml" ContentType="application/vnd.openxmlformats-officedocument.spreadsheetml.revisionLog+xml"/>
  <Override PartName="/xl/revisions/revisionLog16211.xml" ContentType="application/vnd.openxmlformats-officedocument.spreadsheetml.revisionLog+xml"/>
  <Override PartName="/xl/revisions/revisionLog17212.xml" ContentType="application/vnd.openxmlformats-officedocument.spreadsheetml.revisionLog+xml"/>
  <Override PartName="/docProps/core.xml" ContentType="application/vnd.openxmlformats-package.core-properties+xml"/>
  <Override PartName="/xl/revisions/revisionLog1412111.xml" ContentType="application/vnd.openxmlformats-officedocument.spreadsheetml.revisionLog+xml"/>
  <Override PartName="/xl/revisions/revisionLog2.xml" ContentType="application/vnd.openxmlformats-officedocument.spreadsheetml.revisionLog+xml"/>
  <Override PartName="/xl/revisions/revisionLog1161.xml" ContentType="application/vnd.openxmlformats-officedocument.spreadsheetml.revisionLog+xml"/>
  <Override PartName="/xl/revisions/revisionLog1611111.xml" ContentType="application/vnd.openxmlformats-officedocument.spreadsheetml.revisionLog+xml"/>
  <Override PartName="/xl/revisions/revisionLog11121.xml" ContentType="application/vnd.openxmlformats-officedocument.spreadsheetml.revisionLog+xml"/>
  <Override PartName="/xl/revisions/revisionLog1311.xml" ContentType="application/vnd.openxmlformats-officedocument.spreadsheetml.revisionLog+xml"/>
  <Override PartName="/xl/revisions/revisionLog112211.xml" ContentType="application/vnd.openxmlformats-officedocument.spreadsheetml.revisionLog+xml"/>
  <Override PartName="/xl/revisions/revisionLog1611.xml" ContentType="application/vnd.openxmlformats-officedocument.spreadsheetml.revisionLog+xml"/>
  <Override PartName="/xl/revisions/revisionLog161111.xml" ContentType="application/vnd.openxmlformats-officedocument.spreadsheetml.revisionLog+xml"/>
  <Override PartName="/xl/revisions/revisionLog13121.xml" ContentType="application/vnd.openxmlformats-officedocument.spreadsheetml.revisionLog+xml"/>
  <Override PartName="/xl/revisions/revisionLog1622.xml" ContentType="application/vnd.openxmlformats-officedocument.spreadsheetml.revisionLog+xml"/>
  <Override PartName="/xl/revisions/revisionLog1112.xml" ContentType="application/vnd.openxmlformats-officedocument.spreadsheetml.revisionLog+xml"/>
  <Override PartName="/xl/worksheets/sheet9.xml" ContentType="application/vnd.openxmlformats-officedocument.spreadsheetml.worksheet+xml"/>
  <Override PartName="/xl/theme/theme1.xml" ContentType="application/vnd.openxmlformats-officedocument.theme+xml"/>
  <Override PartName="/xl/revisions/userNames.xml" ContentType="application/vnd.openxmlformats-officedocument.spreadsheetml.userNames+xml"/>
  <Override PartName="/xl/revisions/revisionLog14111.xml" ContentType="application/vnd.openxmlformats-officedocument.spreadsheetml.revisionLog+xml"/>
  <Override PartName="/xl/revisions/revisionLog1101.xml" ContentType="application/vnd.openxmlformats-officedocument.spreadsheetml.revisionLog+xml"/>
  <Override PartName="/xl/revisions/revisionLog192.xml" ContentType="application/vnd.openxmlformats-officedocument.spreadsheetml.revisionLog+xml"/>
  <Override PartName="/xl/revisions/revisionLog163.xml" ContentType="application/vnd.openxmlformats-officedocument.spreadsheetml.revisionLog+xml"/>
  <Override PartName="/xl/revisions/revisionLog116.xml" ContentType="application/vnd.openxmlformats-officedocument.spreadsheetml.revisionLog+xml"/>
  <Override PartName="/xl/worksheets/sheet11.xml" ContentType="application/vnd.openxmlformats-officedocument.spreadsheetml.worksheet+xml"/>
  <Default Extension="rels" ContentType="application/vnd.openxmlformats-package.relationships+xml"/>
  <Override PartName="/xl/revisions/revisionLog18.xml" ContentType="application/vnd.openxmlformats-officedocument.spreadsheetml.revisionLog+xml"/>
  <Override PartName="/xl/revisions/revisionLog181.xml" ContentType="application/vnd.openxmlformats-officedocument.spreadsheetml.revisionLog+xml"/>
  <Override PartName="/xl/revisions/revisionLog1421.xml" ContentType="application/vnd.openxmlformats-officedocument.spreadsheetml.revisionLog+xml"/>
  <Override PartName="/xl/revisions/revisionLog123.xml" ContentType="application/vnd.openxmlformats-officedocument.spreadsheetml.revisionLog+xml"/>
  <Override PartName="/xl/worksheets/sheet5.xml" ContentType="application/vnd.openxmlformats-officedocument.spreadsheetml.worksheet+xml"/>
  <Override PartName="/xl/revisions/revisionLog1511111.xml" ContentType="application/vnd.openxmlformats-officedocument.spreadsheetml.revisionLog+xml"/>
  <Override PartName="/xl/revisions/revisionLog112.xml" ContentType="application/vnd.openxmlformats-officedocument.spreadsheetml.revisionLog+xml"/>
  <Override PartName="/xl/revisions/revisionLog17111111.xml" ContentType="application/vnd.openxmlformats-officedocument.spreadsheetml.revisionLog+xml"/>
  <Override PartName="/xl/revisions/revisionLog1231.xml" ContentType="application/vnd.openxmlformats-officedocument.spreadsheetml.revisionLog+xml"/>
  <Override PartName="/xl/revisions/revisionLog141.xml" ContentType="application/vnd.openxmlformats-officedocument.spreadsheetml.revisionLog+xml"/>
  <Override PartName="/xl/comments2.xml" ContentType="application/vnd.openxmlformats-officedocument.spreadsheetml.comments+xml"/>
  <Override PartName="/xl/revisions/revisionLog14.xml" ContentType="application/vnd.openxmlformats-officedocument.spreadsheetml.revisionLog+xml"/>
  <Override PartName="/xl/worksheets/sheet1.xml" ContentType="application/vnd.openxmlformats-officedocument.spreadsheetml.worksheet+xml"/>
  <Override PartName="/xl/revisions/revisionLog131211.xml" ContentType="application/vnd.openxmlformats-officedocument.spreadsheetml.revisionLog+xml"/>
  <Override PartName="/xl/revisions/revisionLog1511.xml" ContentType="application/vnd.openxmlformats-officedocument.spreadsheetml.revisionLog+xml"/>
  <Override PartName="/xl/revisions/revisionLog171111.xml" ContentType="application/vnd.openxmlformats-officedocument.spreadsheetml.revisionLog+xml"/>
  <Override PartName="/xl/revisions/revisionLog17211.xml" ContentType="application/vnd.openxmlformats-officedocument.spreadsheetml.revisionLog+xml"/>
  <Override PartName="/xl/revisions/revisionLog1171.xml" ContentType="application/vnd.openxmlformats-officedocument.spreadsheetml.revisionLog+xml"/>
  <Override PartName="/xl/revisions/revisionLog3.xml" ContentType="application/vnd.openxmlformats-officedocument.spreadsheetml.revisionLog+xml"/>
  <Override PartName="/xl/revisions/revisionLog1102.xml" ContentType="application/vnd.openxmlformats-officedocument.spreadsheetml.revisionLog+xml"/>
  <Override PartName="/xl/revisions/revisionLog1131.xml" ContentType="application/vnd.openxmlformats-officedocument.spreadsheetml.revisionLog+xml"/>
  <Override PartName="/xl/revisions/revisionLog13111.xml" ContentType="application/vnd.openxmlformats-officedocument.spreadsheetml.revisionLog+xml"/>
  <Override PartName="/xl/revisions/revisionLog13122.xml" ContentType="application/vnd.openxmlformats-officedocument.spreadsheetml.revisionLog+xml"/>
  <Override PartName="/xl/revisions/revisionLog1612.xml" ContentType="application/vnd.openxmlformats-officedocument.spreadsheetml.revisionLog+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4" rupBuild="4506"/>
  <workbookPr defaultThemeVersion="124226"/>
  <bookViews>
    <workbookView xWindow="-680" yWindow="-210" windowWidth="8900" windowHeight="8310" tabRatio="866" firstSheet="3" activeTab="4"/>
  </bookViews>
  <sheets>
    <sheet name="Guide" sheetId="1" r:id="rId1"/>
    <sheet name="FY2013 by Approp Title" sheetId="2" r:id="rId2"/>
    <sheet name="FY2013 By Approp Title-Adj" sheetId="3" r:id="rId3"/>
    <sheet name="FY 2013 by Agency" sheetId="4" r:id="rId4"/>
    <sheet name="FY 2013 by Agency-Adj" sheetId="5" r:id="rId5"/>
    <sheet name="Inflator" sheetId="9" r:id="rId6"/>
    <sheet name="Changes" sheetId="11" state="hidden" r:id="rId7"/>
    <sheet name="FY 2013 Notes" sheetId="12" r:id="rId8"/>
    <sheet name="Budget Shifts" sheetId="10" r:id="rId9"/>
    <sheet name="Sheet 4" sheetId="8" state="hidden" r:id="rId10"/>
    <sheet name="Sheet 5" sheetId="6" state="hidden" r:id="rId11"/>
    <sheet name="Sheet 6" sheetId="7" state="hidden" r:id="rId12"/>
  </sheets>
  <definedNames>
    <definedName name="Z_1E5198E1_BA46_4CE0_8628_4F695B0D7A3B_.wvu.Cols" localSheetId="1" hidden="1">'FY2013 by Approp Title'!$AA:$AA</definedName>
    <definedName name="Z_1E5198E1_BA46_4CE0_8628_4F695B0D7A3B_.wvu.Cols" localSheetId="2" hidden="1">'FY2013 By Approp Title-Adj'!$AA:$AA</definedName>
    <definedName name="Z_1E5198E1_BA46_4CE0_8628_4F695B0D7A3B_.wvu.Rows" localSheetId="3" hidden="1">'FY 2013 by Agency'!$1:$3,'FY 2013 by Agency'!$227:$241</definedName>
    <definedName name="Z_1E5198E1_BA46_4CE0_8628_4F695B0D7A3B_.wvu.Rows" localSheetId="4" hidden="1">'FY 2013 by Agency-Adj'!$1:$3,'FY 2013 by Agency-Adj'!$228:$242</definedName>
    <definedName name="Z_1E5198E1_BA46_4CE0_8628_4F695B0D7A3B_.wvu.Rows" localSheetId="9" hidden="1">'Sheet 4'!$1:$6</definedName>
    <definedName name="Z_1E5198E1_BA46_4CE0_8628_4F695B0D7A3B_.wvu.Rows" localSheetId="10" hidden="1">'Sheet 5'!#REF!,'Sheet 5'!#REF!</definedName>
    <definedName name="Z_1E5198E1_BA46_4CE0_8628_4F695B0D7A3B_.wvu.Rows" localSheetId="11" hidden="1">'Sheet 6'!#REF!</definedName>
    <definedName name="Z_455630F5_40FC_47DB_8AD4_712C20B8FB91_.wvu.Cols" localSheetId="3" hidden="1">'FY 2013 by Agency'!$D:$E,'FY 2013 by Agency'!$G:$H,'FY 2013 by Agency'!$J:$K,'FY 2013 by Agency'!$M:$N,'FY 2013 by Agency'!$P:$Q,'FY 2013 by Agency'!$S:$T,'FY 2013 by Agency'!$V:$W,'FY 2013 by Agency'!$Y:$Z,'FY 2013 by Agency'!$AB:$AE,'FY 2013 by Agency'!$AG:$AO,'FY 2013 by Agency'!$AV:$AW,'FY 2013 by Agency'!$AY:$AZ,'FY 2013 by Agency'!$BF:$BG</definedName>
    <definedName name="Z_455630F5_40FC_47DB_8AD4_712C20B8FB91_.wvu.Cols" localSheetId="4" hidden="1">'FY 2013 by Agency-Adj'!$AD:$AE,'FY 2013 by Agency-Adj'!$AI:$BK</definedName>
    <definedName name="Z_455630F5_40FC_47DB_8AD4_712C20B8FB91_.wvu.Cols" localSheetId="1" hidden="1">'FY2013 by Approp Title'!$AA:$AA</definedName>
    <definedName name="Z_455630F5_40FC_47DB_8AD4_712C20B8FB91_.wvu.Cols" localSheetId="2" hidden="1">'FY2013 By Approp Title-Adj'!$AA:$AA</definedName>
    <definedName name="Z_455630F5_40FC_47DB_8AD4_712C20B8FB91_.wvu.Rows" localSheetId="3" hidden="1">'FY 2013 by Agency'!$1:$3,'FY 2013 by Agency'!$227:$241</definedName>
    <definedName name="Z_455630F5_40FC_47DB_8AD4_712C20B8FB91_.wvu.Rows" localSheetId="4" hidden="1">'FY 2013 by Agency-Adj'!$1:$3,'FY 2013 by Agency-Adj'!$14:$14,'FY 2013 by Agency-Adj'!$19:$19,'FY 2013 by Agency-Adj'!$157:$157,'FY 2013 by Agency-Adj'!$164:$164,'FY 2013 by Agency-Adj'!$228:$242</definedName>
    <definedName name="Z_455630F5_40FC_47DB_8AD4_712C20B8FB91_.wvu.Rows" localSheetId="9" hidden="1">'Sheet 4'!$1:$6</definedName>
    <definedName name="Z_50528D02_548E_47E0_94D7_D1E79CD3569C_.wvu.Cols" localSheetId="3" hidden="1">'FY 2013 by Agency'!$D:$E,'FY 2013 by Agency'!$G:$H,'FY 2013 by Agency'!$J:$K,'FY 2013 by Agency'!$M:$N,'FY 2013 by Agency'!$P:$Q,'FY 2013 by Agency'!$S:$T,'FY 2013 by Agency'!$V:$W,'FY 2013 by Agency'!$Y:$Z,'FY 2013 by Agency'!$AB:$AE,'FY 2013 by Agency'!$AG:$AO,'FY 2013 by Agency'!$AV:$AW,'FY 2013 by Agency'!$AY:$AZ,'FY 2013 by Agency'!$BF:$BG</definedName>
    <definedName name="Z_50528D02_548E_47E0_94D7_D1E79CD3569C_.wvu.Cols" localSheetId="4" hidden="1">'FY 2013 by Agency-Adj'!$AD:$AE,'FY 2013 by Agency-Adj'!$AI:$BK,'FY 2013 by Agency-Adj'!$BO:$BT</definedName>
    <definedName name="Z_50528D02_548E_47E0_94D7_D1E79CD3569C_.wvu.Cols" localSheetId="1" hidden="1">'FY2013 by Approp Title'!$AA:$AA</definedName>
    <definedName name="Z_50528D02_548E_47E0_94D7_D1E79CD3569C_.wvu.Cols" localSheetId="2" hidden="1">'FY2013 By Approp Title-Adj'!$AA:$AA</definedName>
    <definedName name="Z_50528D02_548E_47E0_94D7_D1E79CD3569C_.wvu.Rows" localSheetId="3" hidden="1">'FY 2013 by Agency'!$1:$3,'FY 2013 by Agency'!$227:$241</definedName>
    <definedName name="Z_50528D02_548E_47E0_94D7_D1E79CD3569C_.wvu.Rows" localSheetId="4" hidden="1">'FY 2013 by Agency-Adj'!$1:$3,'FY 2013 by Agency-Adj'!$14:$14,'FY 2013 by Agency-Adj'!$19:$19,'FY 2013 by Agency-Adj'!$157:$157,'FY 2013 by Agency-Adj'!$164:$164,'FY 2013 by Agency-Adj'!$228:$242</definedName>
    <definedName name="Z_50528D02_548E_47E0_94D7_D1E79CD3569C_.wvu.Rows" localSheetId="9" hidden="1">'Sheet 4'!$1:$6</definedName>
    <definedName name="Z_567C3053_2D8E_4705_8DC7_18896C5303CA_.wvu.Cols" localSheetId="3" hidden="1">'FY 2013 by Agency'!$BP:$BP</definedName>
    <definedName name="Z_567C3053_2D8E_4705_8DC7_18896C5303CA_.wvu.Cols" localSheetId="4" hidden="1">'FY 2013 by Agency-Adj'!$AJ:$AM,'FY 2013 by Agency-Adj'!$AP:$AS,'FY 2013 by Agency-Adj'!$BX:$BX</definedName>
    <definedName name="Z_567C3053_2D8E_4705_8DC7_18896C5303CA_.wvu.Cols" localSheetId="1" hidden="1">'FY2013 by Approp Title'!$AA:$AA</definedName>
    <definedName name="Z_567C3053_2D8E_4705_8DC7_18896C5303CA_.wvu.Cols" localSheetId="2" hidden="1">'FY2013 By Approp Title-Adj'!$AA:$AA</definedName>
    <definedName name="Z_567C3053_2D8E_4705_8DC7_18896C5303CA_.wvu.Rows" localSheetId="3" hidden="1">'FY 2013 by Agency'!$1:$3,'FY 2013 by Agency'!$227:$241</definedName>
    <definedName name="Z_567C3053_2D8E_4705_8DC7_18896C5303CA_.wvu.Rows" localSheetId="4" hidden="1">'FY 2013 by Agency-Adj'!$1:$3,'FY 2013 by Agency-Adj'!$228:$242</definedName>
    <definedName name="Z_567C3053_2D8E_4705_8DC7_18896C5303CA_.wvu.Rows" localSheetId="9" hidden="1">'Sheet 4'!$1:$6</definedName>
    <definedName name="Z_78CA186D_B240_44D5_8A24_D241DE0B0FD9_.wvu.Cols" localSheetId="3" hidden="1">'FY 2013 by Agency'!$D:$E,'FY 2013 by Agency'!$G:$H,'FY 2013 by Agency'!$J:$K,'FY 2013 by Agency'!$M:$N,'FY 2013 by Agency'!$P:$Q,'FY 2013 by Agency'!$S:$T,'FY 2013 by Agency'!$V:$W,'FY 2013 by Agency'!$Y:$Z,'FY 2013 by Agency'!$AB:$AE,'FY 2013 by Agency'!$AV:$AW,'FY 2013 by Agency'!$AY:$AZ,'FY 2013 by Agency'!$BF:$BG,'FY 2013 by Agency'!$BM:$BP</definedName>
    <definedName name="Z_78CA186D_B240_44D5_8A24_D241DE0B0FD9_.wvu.Cols" localSheetId="4" hidden="1">'FY 2013 by Agency-Adj'!$AD:$AE,'FY 2013 by Agency-Adj'!$AI:$BK,'FY 2013 by Agency-Adj'!$BS:$BZ</definedName>
    <definedName name="Z_78CA186D_B240_44D5_8A24_D241DE0B0FD9_.wvu.Cols" localSheetId="1" hidden="1">'FY2013 by Approp Title'!$AA:$AA</definedName>
    <definedName name="Z_78CA186D_B240_44D5_8A24_D241DE0B0FD9_.wvu.Cols" localSheetId="2" hidden="1">'FY2013 By Approp Title-Adj'!$AA:$AA</definedName>
    <definedName name="Z_78CA186D_B240_44D5_8A24_D241DE0B0FD9_.wvu.Rows" localSheetId="3" hidden="1">'FY 2013 by Agency'!$1:$3,'FY 2013 by Agency'!$227:$241</definedName>
    <definedName name="Z_78CA186D_B240_44D5_8A24_D241DE0B0FD9_.wvu.Rows" localSheetId="4" hidden="1">'FY 2013 by Agency-Adj'!$1:$3,'FY 2013 by Agency-Adj'!$14:$14,'FY 2013 by Agency-Adj'!$19:$19,'FY 2013 by Agency-Adj'!$157:$157,'FY 2013 by Agency-Adj'!$164:$164,'FY 2013 by Agency-Adj'!$228:$242</definedName>
    <definedName name="Z_78CA186D_B240_44D5_8A24_D241DE0B0FD9_.wvu.Rows" localSheetId="9" hidden="1">'Sheet 4'!$1:$6</definedName>
    <definedName name="Z_8F508F4D_4777_42BE_9707_8CB9355F7BDB_.wvu.Cols" localSheetId="4" hidden="1">'FY 2013 by Agency-Adj'!$V:$AB,'FY 2013 by Agency-Adj'!$AJ:$AM</definedName>
    <definedName name="Z_8F508F4D_4777_42BE_9707_8CB9355F7BDB_.wvu.Cols" localSheetId="1" hidden="1">'FY2013 by Approp Title'!$AA:$AA</definedName>
    <definedName name="Z_8F508F4D_4777_42BE_9707_8CB9355F7BDB_.wvu.Cols" localSheetId="2" hidden="1">'FY2013 By Approp Title-Adj'!$AA:$AA</definedName>
    <definedName name="Z_8F508F4D_4777_42BE_9707_8CB9355F7BDB_.wvu.Rows" localSheetId="3" hidden="1">'FY 2013 by Agency'!$1:$3,'FY 2013 by Agency'!$227:$241</definedName>
    <definedName name="Z_8F508F4D_4777_42BE_9707_8CB9355F7BDB_.wvu.Rows" localSheetId="4" hidden="1">'FY 2013 by Agency-Adj'!$1:$3,'FY 2013 by Agency-Adj'!$228:$242</definedName>
    <definedName name="Z_8F508F4D_4777_42BE_9707_8CB9355F7BDB_.wvu.Rows" localSheetId="9" hidden="1">'Sheet 4'!$1:$6</definedName>
    <definedName name="Z_8F508F4D_4777_42BE_9707_8CB9355F7BDB_.wvu.Rows" localSheetId="10" hidden="1">'Sheet 5'!#REF!,'Sheet 5'!#REF!</definedName>
    <definedName name="Z_8F508F4D_4777_42BE_9707_8CB9355F7BDB_.wvu.Rows" localSheetId="11" hidden="1">'Sheet 6'!#REF!</definedName>
    <definedName name="Z_94DA13B6_7351_40F3_8CF7_A4211EC439DA_.wvu.Cols" localSheetId="4" hidden="1">'FY 2013 by Agency-Adj'!$V:$AB,'FY 2013 by Agency-Adj'!$AJ:$AM,'FY 2013 by Agency-Adj'!$AP:$AS</definedName>
    <definedName name="Z_94DA13B6_7351_40F3_8CF7_A4211EC439DA_.wvu.Cols" localSheetId="1" hidden="1">'FY2013 by Approp Title'!$AA:$AA</definedName>
    <definedName name="Z_94DA13B6_7351_40F3_8CF7_A4211EC439DA_.wvu.Cols" localSheetId="2" hidden="1">'FY2013 By Approp Title-Adj'!$AA:$AA</definedName>
    <definedName name="Z_94DA13B6_7351_40F3_8CF7_A4211EC439DA_.wvu.Rows" localSheetId="3" hidden="1">'FY 2013 by Agency'!$1:$3,'FY 2013 by Agency'!$227:$241</definedName>
    <definedName name="Z_94DA13B6_7351_40F3_8CF7_A4211EC439DA_.wvu.Rows" localSheetId="4" hidden="1">'FY 2013 by Agency-Adj'!$1:$3,'FY 2013 by Agency-Adj'!$228:$242</definedName>
    <definedName name="Z_94DA13B6_7351_40F3_8CF7_A4211EC439DA_.wvu.Rows" localSheetId="9" hidden="1">'Sheet 4'!$1:$6</definedName>
    <definedName name="Z_94DA13B6_7351_40F3_8CF7_A4211EC439DA_.wvu.Rows" localSheetId="10" hidden="1">'Sheet 5'!#REF!,'Sheet 5'!#REF!</definedName>
    <definedName name="Z_94DA13B6_7351_40F3_8CF7_A4211EC439DA_.wvu.Rows" localSheetId="11" hidden="1">'Sheet 6'!#REF!</definedName>
    <definedName name="Z_9D4F0482_B164_4671_805A_E0D2D4DD4720_.wvu.Cols" localSheetId="3" hidden="1">'FY 2013 by Agency'!$AI:$AW</definedName>
    <definedName name="Z_9D4F0482_B164_4671_805A_E0D2D4DD4720_.wvu.Cols" localSheetId="4" hidden="1">'FY 2013 by Agency-Adj'!$AD:$AE,'FY 2013 by Agency-Adj'!$AI:$BJ</definedName>
    <definedName name="Z_9D4F0482_B164_4671_805A_E0D2D4DD4720_.wvu.Cols" localSheetId="1" hidden="1">'FY2013 by Approp Title'!$AA:$AA</definedName>
    <definedName name="Z_9D4F0482_B164_4671_805A_E0D2D4DD4720_.wvu.Cols" localSheetId="2" hidden="1">'FY2013 By Approp Title-Adj'!$AA:$AA</definedName>
    <definedName name="Z_9D4F0482_B164_4671_805A_E0D2D4DD4720_.wvu.Rows" localSheetId="3" hidden="1">'FY 2013 by Agency'!$1:$3,'FY 2013 by Agency'!$227:$241</definedName>
    <definedName name="Z_9D4F0482_B164_4671_805A_E0D2D4DD4720_.wvu.Rows" localSheetId="4" hidden="1">'FY 2013 by Agency-Adj'!$1:$3,'FY 2013 by Agency-Adj'!$14:$14,'FY 2013 by Agency-Adj'!$19:$19,'FY 2013 by Agency-Adj'!$149:$149,'FY 2013 by Agency-Adj'!$157:$157,'FY 2013 by Agency-Adj'!$164:$164,'FY 2013 by Agency-Adj'!$228:$242</definedName>
    <definedName name="Z_9D4F0482_B164_4671_805A_E0D2D4DD4720_.wvu.Rows" localSheetId="9" hidden="1">'Sheet 4'!$1:$6</definedName>
    <definedName name="Z_A2518DB3_3A80_4035_9307_EC50A7C923F2_.wvu.Cols" localSheetId="3" hidden="1">'FY 2013 by Agency'!$D:$E,'FY 2013 by Agency'!$G:$H,'FY 2013 by Agency'!$J:$K,'FY 2013 by Agency'!$M:$N,'FY 2013 by Agency'!$P:$Q,'FY 2013 by Agency'!$S:$T,'FY 2013 by Agency'!$V:$W,'FY 2013 by Agency'!$Y:$Z,'FY 2013 by Agency'!$AB:$AE,'FY 2013 by Agency'!$AG:$AO,'FY 2013 by Agency'!$AV:$AW,'FY 2013 by Agency'!$AY:$AZ,'FY 2013 by Agency'!$BF:$BG</definedName>
    <definedName name="Z_A2518DB3_3A80_4035_9307_EC50A7C923F2_.wvu.Cols" localSheetId="4" hidden="1">'FY 2013 by Agency-Adj'!$AD:$AE,'FY 2013 by Agency-Adj'!$AI:$BK,'FY 2013 by Agency-Adj'!$BO:$BT</definedName>
    <definedName name="Z_A2518DB3_3A80_4035_9307_EC50A7C923F2_.wvu.Cols" localSheetId="1" hidden="1">'FY2013 by Approp Title'!$AA:$AA</definedName>
    <definedName name="Z_A2518DB3_3A80_4035_9307_EC50A7C923F2_.wvu.Cols" localSheetId="2" hidden="1">'FY2013 By Approp Title-Adj'!$AA:$AA</definedName>
    <definedName name="Z_A2518DB3_3A80_4035_9307_EC50A7C923F2_.wvu.Rows" localSheetId="3" hidden="1">'FY 2013 by Agency'!$1:$3,'FY 2013 by Agency'!$227:$241</definedName>
    <definedName name="Z_A2518DB3_3A80_4035_9307_EC50A7C923F2_.wvu.Rows" localSheetId="4" hidden="1">'FY 2013 by Agency-Adj'!$1:$3,'FY 2013 by Agency-Adj'!$14:$14,'FY 2013 by Agency-Adj'!$19:$19,'FY 2013 by Agency-Adj'!$157:$157,'FY 2013 by Agency-Adj'!$164:$164,'FY 2013 by Agency-Adj'!$228:$242</definedName>
    <definedName name="Z_A2518DB3_3A80_4035_9307_EC50A7C923F2_.wvu.Rows" localSheetId="9" hidden="1">'Sheet 4'!$1:$6</definedName>
    <definedName name="Z_AEFEB150_9213_45F5_A178_7AC71E46DB11_.wvu.Cols" localSheetId="4" hidden="1">'FY 2013 by Agency-Adj'!$AJ:$AM</definedName>
    <definedName name="Z_AEFEB150_9213_45F5_A178_7AC71E46DB11_.wvu.Cols" localSheetId="1" hidden="1">'FY2013 by Approp Title'!$AA:$AA</definedName>
    <definedName name="Z_AEFEB150_9213_45F5_A178_7AC71E46DB11_.wvu.Cols" localSheetId="2" hidden="1">'FY2013 By Approp Title-Adj'!$AA:$AA</definedName>
    <definedName name="Z_AEFEB150_9213_45F5_A178_7AC71E46DB11_.wvu.Rows" localSheetId="3" hidden="1">'FY 2013 by Agency'!$1:$3,'FY 2013 by Agency'!$227:$241</definedName>
    <definedName name="Z_AEFEB150_9213_45F5_A178_7AC71E46DB11_.wvu.Rows" localSheetId="4" hidden="1">'FY 2013 by Agency-Adj'!$1:$3,'FY 2013 by Agency-Adj'!$228:$242</definedName>
    <definedName name="Z_AEFEB150_9213_45F5_A178_7AC71E46DB11_.wvu.Rows" localSheetId="9" hidden="1">'Sheet 4'!$1:$6</definedName>
    <definedName name="Z_E44F5FE1_54FC_4AB3_84F9_7D65ACF2DDE7_.wvu.Cols" localSheetId="3" hidden="1">'FY 2013 by Agency'!$AV:$AW</definedName>
    <definedName name="Z_E44F5FE1_54FC_4AB3_84F9_7D65ACF2DDE7_.wvu.Cols" localSheetId="4" hidden="1">'FY 2013 by Agency-Adj'!$AI:$BK,'FY 2013 by Agency-Adj'!$BO:$BT</definedName>
    <definedName name="Z_E44F5FE1_54FC_4AB3_84F9_7D65ACF2DDE7_.wvu.Cols" localSheetId="1" hidden="1">'FY2013 by Approp Title'!$AA:$AA</definedName>
    <definedName name="Z_E44F5FE1_54FC_4AB3_84F9_7D65ACF2DDE7_.wvu.Cols" localSheetId="2" hidden="1">'FY2013 By Approp Title-Adj'!$AA:$AA</definedName>
    <definedName name="Z_E44F5FE1_54FC_4AB3_84F9_7D65ACF2DDE7_.wvu.Rows" localSheetId="3" hidden="1">'FY 2013 by Agency'!$1:$3,'FY 2013 by Agency'!$227:$241</definedName>
    <definedName name="Z_E44F5FE1_54FC_4AB3_84F9_7D65ACF2DDE7_.wvu.Rows" localSheetId="4" hidden="1">'FY 2013 by Agency-Adj'!$1:$3,'FY 2013 by Agency-Adj'!$228:$242</definedName>
    <definedName name="Z_E44F5FE1_54FC_4AB3_84F9_7D65ACF2DDE7_.wvu.Rows" localSheetId="9" hidden="1">'Sheet 4'!$1:$6</definedName>
    <definedName name="Z_E44F5FE1_54FC_4AB3_84F9_7D65ACF2DDE7_.wvu.Rows" localSheetId="10" hidden="1">'Sheet 5'!#REF!,'Sheet 5'!#REF!</definedName>
    <definedName name="Z_E44F5FE1_54FC_4AB3_84F9_7D65ACF2DDE7_.wvu.Rows" localSheetId="11" hidden="1">'Sheet 6'!#REF!</definedName>
    <definedName name="Z_E81D05A4_5B21_42D3_A8D3_906ABCABC0F4_.wvu.Cols" localSheetId="3" hidden="1">'FY 2013 by Agency'!$D:$E,'FY 2013 by Agency'!$G:$H,'FY 2013 by Agency'!$J:$K,'FY 2013 by Agency'!$M:$N,'FY 2013 by Agency'!$P:$Q,'FY 2013 by Agency'!$S:$T,'FY 2013 by Agency'!$V:$W,'FY 2013 by Agency'!$Y:$Z,'FY 2013 by Agency'!$AB:$AE,'FY 2013 by Agency'!$AV:$AW,'FY 2013 by Agency'!$AY:$AZ,'FY 2013 by Agency'!$BF:$BG,'FY 2013 by Agency'!$BM:$BP</definedName>
    <definedName name="Z_E81D05A4_5B21_42D3_A8D3_906ABCABC0F4_.wvu.Cols" localSheetId="4" hidden="1">'FY 2013 by Agency-Adj'!$AD:$AE,'FY 2013 by Agency-Adj'!$AI:$BK,'FY 2013 by Agency-Adj'!$BO:$BT</definedName>
    <definedName name="Z_E81D05A4_5B21_42D3_A8D3_906ABCABC0F4_.wvu.Cols" localSheetId="1" hidden="1">'FY2013 by Approp Title'!$AA:$AA</definedName>
    <definedName name="Z_E81D05A4_5B21_42D3_A8D3_906ABCABC0F4_.wvu.Cols" localSheetId="2" hidden="1">'FY2013 By Approp Title-Adj'!$AA:$AA</definedName>
    <definedName name="Z_E81D05A4_5B21_42D3_A8D3_906ABCABC0F4_.wvu.Rows" localSheetId="3" hidden="1">'FY 2013 by Agency'!$1:$3,'FY 2013 by Agency'!$227:$241</definedName>
    <definedName name="Z_E81D05A4_5B21_42D3_A8D3_906ABCABC0F4_.wvu.Rows" localSheetId="4" hidden="1">'FY 2013 by Agency-Adj'!$1:$3,'FY 2013 by Agency-Adj'!$14:$14,'FY 2013 by Agency-Adj'!$19:$19,'FY 2013 by Agency-Adj'!$157:$157,'FY 2013 by Agency-Adj'!$164:$164,'FY 2013 by Agency-Adj'!$228:$242</definedName>
    <definedName name="Z_E81D05A4_5B21_42D3_A8D3_906ABCABC0F4_.wvu.Rows" localSheetId="9" hidden="1">'Sheet 4'!$1:$6</definedName>
    <definedName name="Z_F784130D_F647_4ABA_8943_C79CA5B0FDC4_.wvu.Cols" localSheetId="4" hidden="1">'FY 2013 by Agency-Adj'!$AJ:$AM,'FY 2013 by Agency-Adj'!$AZ:$BH</definedName>
    <definedName name="Z_F784130D_F647_4ABA_8943_C79CA5B0FDC4_.wvu.Cols" localSheetId="1" hidden="1">'FY2013 by Approp Title'!$AA:$AA</definedName>
    <definedName name="Z_F784130D_F647_4ABA_8943_C79CA5B0FDC4_.wvu.Cols" localSheetId="2" hidden="1">'FY2013 By Approp Title-Adj'!$AA:$AA</definedName>
    <definedName name="Z_F784130D_F647_4ABA_8943_C79CA5B0FDC4_.wvu.Rows" localSheetId="3" hidden="1">'FY 2013 by Agency'!$1:$3,'FY 2013 by Agency'!$227:$241</definedName>
    <definedName name="Z_F784130D_F647_4ABA_8943_C79CA5B0FDC4_.wvu.Rows" localSheetId="4" hidden="1">'FY 2013 by Agency-Adj'!$1:$3,'FY 2013 by Agency-Adj'!$164:$164,'FY 2013 by Agency-Adj'!$228:$242</definedName>
    <definedName name="Z_F784130D_F647_4ABA_8943_C79CA5B0FDC4_.wvu.Rows" localSheetId="9" hidden="1">'Sheet 4'!$1:$6</definedName>
    <definedName name="Z_F784130D_F647_4ABA_8943_C79CA5B0FDC4_.wvu.Rows" localSheetId="10" hidden="1">'Sheet 5'!#REF!,'Sheet 5'!#REF!</definedName>
    <definedName name="Z_F784130D_F647_4ABA_8943_C79CA5B0FDC4_.wvu.Rows" localSheetId="11" hidden="1">'Sheet 6'!#REF!</definedName>
  </definedNames>
  <calcPr calcId="125725"/>
  <customWorkbookViews>
    <customWorkbookView name="silverman - Personal View" guid="{567C3053-2D8E-4705-8DC7-18896C5303CA}" mergeInterval="0" personalView="1" maximized="1" xWindow="1" yWindow="1" windowWidth="1436" windowHeight="574" tabRatio="866" activeSheetId="5"/>
    <customWorkbookView name="Kwame Boadi - Personal View" guid="{9D4F0482-B164-4671-805A-E0D2D4DD4720}" mergeInterval="0" personalView="1" maximized="1" xWindow="1" yWindow="1" windowWidth="1436" windowHeight="670" activeSheetId="5"/>
    <customWorkbookView name="Jenny Reed - Personal View" guid="{78CA186D-B240-44D5-8A24-D241DE0B0FD9}" mergeInterval="0" personalView="1" maximized="1" xWindow="1" yWindow="1" windowWidth="1020" windowHeight="547" tabRatio="866" activeSheetId="5"/>
    <customWorkbookView name="biegler - Personal View" guid="{455630F5-40FC-47DB-8AD4-712C20B8FB91}" mergeInterval="0" personalView="1" maximized="1" xWindow="1" yWindow="1" windowWidth="1379" windowHeight="523" tabRatio="866" activeSheetId="3"/>
    <customWorkbookView name="Ed Lazere - Personal View" guid="{AEFEB150-9213-45F5-A178-7AC71E46DB11}" mergeInterval="0" personalView="1" maximized="1" xWindow="1" yWindow="1" windowWidth="1436" windowHeight="670" tabRatio="866" activeSheetId="4"/>
    <customWorkbookView name="gajdeczka - Personal View" guid="{1E5198E1-BA46-4CE0-8628-4F695B0D7A3B}" mergeInterval="0" personalView="1" maximized="1" xWindow="1" yWindow="1" windowWidth="1436" windowHeight="682" tabRatio="866" activeSheetId="5"/>
    <customWorkbookView name="healy - Personal View" guid="{F784130D-F647-4ABA-8943-C79CA5B0FDC4}" mergeInterval="0" personalView="1" maximized="1" xWindow="1" yWindow="1" windowWidth="953" windowHeight="542" tabRatio="866" activeSheetId="4"/>
    <customWorkbookView name="kerstetter - Personal View" guid="{8F508F4D-4777-42BE-9707-8CB9355F7BDB}" mergeInterval="0" personalView="1" maximized="1" xWindow="1" yWindow="1" windowWidth="1436" windowHeight="670" tabRatio="866" activeSheetId="5"/>
    <customWorkbookView name="williams - Personal View" guid="{94DA13B6-7351-40F3-8CF7-A4211EC439DA}" mergeInterval="0" personalView="1" maximized="1" xWindow="1" yWindow="1" windowWidth="1280" windowHeight="803" tabRatio="866" activeSheetId="4" showComments="commIndAndComment"/>
    <customWorkbookView name="j5xwEkb - Personal View" guid="{E44F5FE1-54FC-4AB3-84F9-7D65ACF2DDE7}" mergeInterval="0" personalView="1" maximized="1" xWindow="1" yWindow="1" windowWidth="1276" windowHeight="585" tabRatio="866" activeSheetId="5"/>
    <customWorkbookView name="bhat - Personal View" guid="{50528D02-548E-47E0-94D7-D1E79CD3569C}" mergeInterval="0" personalView="1" maximized="1" xWindow="1" yWindow="1" windowWidth="1436" windowHeight="670" tabRatio="866" activeSheetId="4"/>
    <customWorkbookView name="coventry - Personal View" guid="{A2518DB3-3A80-4035-9307-EC50A7C923F2}" mergeInterval="0" personalView="1" maximized="1" xWindow="1" yWindow="1" windowWidth="1436" windowHeight="670" tabRatio="866" activeSheetId="4"/>
    <customWorkbookView name="fulton - Personal View" guid="{E81D05A4-5B21-42D3-A8D3-906ABCABC0F4}" mergeInterval="0" personalView="1" maximized="1" xWindow="1" yWindow="1" windowWidth="704" windowHeight="658" tabRatio="866" activeSheetId="5"/>
  </customWorkbookViews>
</workbook>
</file>

<file path=xl/calcChain.xml><?xml version="1.0" encoding="utf-8"?>
<calcChain xmlns="http://schemas.openxmlformats.org/spreadsheetml/2006/main">
  <c r="BW171" i="5"/>
  <c r="BY171" s="1"/>
  <c r="BZ171" s="1"/>
  <c r="BW170"/>
  <c r="BY170" s="1"/>
  <c r="BZ170" s="1"/>
  <c r="BZ46"/>
  <c r="BZ114"/>
  <c r="BZ118"/>
  <c r="BZ136"/>
  <c r="BZ144"/>
  <c r="BZ172"/>
  <c r="BZ176"/>
  <c r="BZ193"/>
  <c r="BZ197"/>
  <c r="BZ225"/>
  <c r="BY39"/>
  <c r="BZ39" s="1"/>
  <c r="BY42"/>
  <c r="BZ42" s="1"/>
  <c r="BY43"/>
  <c r="BZ43" s="1"/>
  <c r="BY44"/>
  <c r="BZ44" s="1"/>
  <c r="BY45"/>
  <c r="BZ45" s="1"/>
  <c r="BY46"/>
  <c r="BY47"/>
  <c r="BZ47" s="1"/>
  <c r="BY48"/>
  <c r="BZ48" s="1"/>
  <c r="BY49"/>
  <c r="BZ49" s="1"/>
  <c r="BY50"/>
  <c r="BZ50" s="1"/>
  <c r="BY75"/>
  <c r="BZ75" s="1"/>
  <c r="BY76"/>
  <c r="BZ76" s="1"/>
  <c r="BY77"/>
  <c r="BZ77" s="1"/>
  <c r="BY78"/>
  <c r="BZ78" s="1"/>
  <c r="BY79"/>
  <c r="BZ79" s="1"/>
  <c r="BY80"/>
  <c r="BZ80" s="1"/>
  <c r="BY81"/>
  <c r="BZ81" s="1"/>
  <c r="BY82"/>
  <c r="BZ82" s="1"/>
  <c r="BY83"/>
  <c r="BZ83" s="1"/>
  <c r="BY84"/>
  <c r="BZ84" s="1"/>
  <c r="BY107"/>
  <c r="BZ107" s="1"/>
  <c r="BY112"/>
  <c r="BZ112" s="1"/>
  <c r="BY113"/>
  <c r="BZ113" s="1"/>
  <c r="BY114"/>
  <c r="BY115"/>
  <c r="BZ115" s="1"/>
  <c r="BY116"/>
  <c r="BZ116" s="1"/>
  <c r="BY117"/>
  <c r="BZ117" s="1"/>
  <c r="BY118"/>
  <c r="BY119"/>
  <c r="BZ119" s="1"/>
  <c r="BY134"/>
  <c r="BZ134" s="1"/>
  <c r="BY135"/>
  <c r="BZ135" s="1"/>
  <c r="BY136"/>
  <c r="BY137"/>
  <c r="BZ137" s="1"/>
  <c r="BY138"/>
  <c r="BZ138" s="1"/>
  <c r="BY139"/>
  <c r="BZ139" s="1"/>
  <c r="BY140"/>
  <c r="BZ140" s="1"/>
  <c r="BY141"/>
  <c r="BZ141" s="1"/>
  <c r="BY142"/>
  <c r="BZ142" s="1"/>
  <c r="BY143"/>
  <c r="BZ143" s="1"/>
  <c r="BY144"/>
  <c r="BY145"/>
  <c r="BZ145" s="1"/>
  <c r="BY165"/>
  <c r="BZ165" s="1"/>
  <c r="BY169"/>
  <c r="BZ169" s="1"/>
  <c r="BY172"/>
  <c r="BY173"/>
  <c r="BZ173" s="1"/>
  <c r="BY174"/>
  <c r="BZ174" s="1"/>
  <c r="BY175"/>
  <c r="BZ175" s="1"/>
  <c r="BY176"/>
  <c r="BY177"/>
  <c r="BZ177" s="1"/>
  <c r="BY178"/>
  <c r="BZ178" s="1"/>
  <c r="BY186"/>
  <c r="BZ186" s="1"/>
  <c r="BY189"/>
  <c r="BZ189" s="1"/>
  <c r="BY190"/>
  <c r="BZ190" s="1"/>
  <c r="BY191"/>
  <c r="BZ191" s="1"/>
  <c r="BY192"/>
  <c r="BZ192" s="1"/>
  <c r="BY193"/>
  <c r="BY194"/>
  <c r="BZ194" s="1"/>
  <c r="BY195"/>
  <c r="BZ195" s="1"/>
  <c r="BY196"/>
  <c r="BZ196" s="1"/>
  <c r="BY197"/>
  <c r="BY216"/>
  <c r="BZ216" s="1"/>
  <c r="BY223"/>
  <c r="BZ223" s="1"/>
  <c r="BY224"/>
  <c r="BZ224" s="1"/>
  <c r="BY225"/>
  <c r="BY226"/>
  <c r="BZ226" s="1"/>
  <c r="BY227"/>
  <c r="BZ227" s="1"/>
  <c r="BY243"/>
  <c r="BZ243" s="1"/>
  <c r="BY245"/>
  <c r="BZ245" s="1"/>
  <c r="BO8" i="4"/>
  <c r="BQ8" s="1"/>
  <c r="BO9"/>
  <c r="BQ9" s="1"/>
  <c r="BO10"/>
  <c r="BQ10" s="1"/>
  <c r="BO11"/>
  <c r="BQ11" s="1"/>
  <c r="BO12"/>
  <c r="BQ12" s="1"/>
  <c r="BO13"/>
  <c r="BQ13" s="1"/>
  <c r="BO14"/>
  <c r="BQ14" s="1"/>
  <c r="BO15"/>
  <c r="BQ15" s="1"/>
  <c r="BO16"/>
  <c r="BQ16" s="1"/>
  <c r="BO17"/>
  <c r="BQ17" s="1"/>
  <c r="BO18"/>
  <c r="BQ18" s="1"/>
  <c r="BO19"/>
  <c r="BQ19" s="1"/>
  <c r="BO20"/>
  <c r="BQ20" s="1"/>
  <c r="BO21"/>
  <c r="BQ21" s="1"/>
  <c r="BO22"/>
  <c r="BQ22" s="1"/>
  <c r="BO23"/>
  <c r="BQ23" s="1"/>
  <c r="BO24"/>
  <c r="BQ24" s="1"/>
  <c r="BO25"/>
  <c r="BQ25" s="1"/>
  <c r="BO26"/>
  <c r="BQ26" s="1"/>
  <c r="BO27"/>
  <c r="BQ27" s="1"/>
  <c r="BO28"/>
  <c r="BQ28" s="1"/>
  <c r="BO29"/>
  <c r="BQ29" s="1"/>
  <c r="BO30"/>
  <c r="BQ30" s="1"/>
  <c r="BO31"/>
  <c r="BQ31" s="1"/>
  <c r="BO32"/>
  <c r="BQ32" s="1"/>
  <c r="BO33"/>
  <c r="BQ33" s="1"/>
  <c r="BO34"/>
  <c r="BQ34" s="1"/>
  <c r="BO35"/>
  <c r="BQ35" s="1"/>
  <c r="BO36"/>
  <c r="BQ36" s="1"/>
  <c r="BO37"/>
  <c r="BQ37" s="1"/>
  <c r="BO38"/>
  <c r="BQ38" s="1"/>
  <c r="BO39"/>
  <c r="BQ39" s="1"/>
  <c r="BO40"/>
  <c r="BQ40" s="1"/>
  <c r="BO42"/>
  <c r="BQ42" s="1"/>
  <c r="BO43"/>
  <c r="BQ43" s="1"/>
  <c r="BO44"/>
  <c r="BQ44" s="1"/>
  <c r="BO45"/>
  <c r="BQ45" s="1"/>
  <c r="BO46"/>
  <c r="BQ46" s="1"/>
  <c r="BO47"/>
  <c r="BQ47" s="1"/>
  <c r="BO48"/>
  <c r="BQ48" s="1"/>
  <c r="BO49"/>
  <c r="BQ49" s="1"/>
  <c r="BO50"/>
  <c r="BQ50" s="1"/>
  <c r="BO51"/>
  <c r="BQ51" s="1"/>
  <c r="BO52"/>
  <c r="BQ52" s="1"/>
  <c r="BO53"/>
  <c r="BQ53" s="1"/>
  <c r="BO54"/>
  <c r="BQ54" s="1"/>
  <c r="BO55"/>
  <c r="BQ55" s="1"/>
  <c r="BO56"/>
  <c r="BQ56" s="1"/>
  <c r="BO57"/>
  <c r="BQ57" s="1"/>
  <c r="BO58"/>
  <c r="BQ58" s="1"/>
  <c r="BO59"/>
  <c r="BQ59" s="1"/>
  <c r="BO60"/>
  <c r="BQ60" s="1"/>
  <c r="BO61"/>
  <c r="BQ61" s="1"/>
  <c r="BO62"/>
  <c r="BQ62" s="1"/>
  <c r="BO63"/>
  <c r="BQ63" s="1"/>
  <c r="BO64"/>
  <c r="BQ64" s="1"/>
  <c r="BO65"/>
  <c r="BQ65" s="1"/>
  <c r="BO66"/>
  <c r="BQ66" s="1"/>
  <c r="BO67"/>
  <c r="BQ67" s="1"/>
  <c r="BO68"/>
  <c r="BQ68" s="1"/>
  <c r="BO69"/>
  <c r="BQ69" s="1"/>
  <c r="BO70"/>
  <c r="BQ70" s="1"/>
  <c r="BO71"/>
  <c r="BQ71" s="1"/>
  <c r="BO72"/>
  <c r="BQ72" s="1"/>
  <c r="BO73"/>
  <c r="BQ73" s="1"/>
  <c r="BO75"/>
  <c r="BQ75" s="1"/>
  <c r="BO76"/>
  <c r="BQ76" s="1"/>
  <c r="BO77"/>
  <c r="BQ77" s="1"/>
  <c r="BO78"/>
  <c r="BQ78" s="1"/>
  <c r="BO79"/>
  <c r="BQ79" s="1"/>
  <c r="BO80"/>
  <c r="BQ80" s="1"/>
  <c r="BO81"/>
  <c r="BQ81" s="1"/>
  <c r="BO82"/>
  <c r="BQ82" s="1"/>
  <c r="BO83"/>
  <c r="BQ83" s="1"/>
  <c r="BO84"/>
  <c r="BQ84" s="1"/>
  <c r="BO85"/>
  <c r="BQ85" s="1"/>
  <c r="BO86"/>
  <c r="BQ86" s="1"/>
  <c r="BO87"/>
  <c r="BQ87" s="1"/>
  <c r="BO88"/>
  <c r="BQ88" s="1"/>
  <c r="BO89"/>
  <c r="BQ89" s="1"/>
  <c r="BO90"/>
  <c r="BQ90" s="1"/>
  <c r="BO91"/>
  <c r="BQ91" s="1"/>
  <c r="BO92"/>
  <c r="BQ92" s="1"/>
  <c r="BO93"/>
  <c r="BQ93" s="1"/>
  <c r="BO94"/>
  <c r="BQ94" s="1"/>
  <c r="BO95"/>
  <c r="BQ95" s="1"/>
  <c r="BO96"/>
  <c r="BQ96" s="1"/>
  <c r="BO97"/>
  <c r="BQ97" s="1"/>
  <c r="BO98"/>
  <c r="BQ98" s="1"/>
  <c r="BO99"/>
  <c r="BQ99" s="1"/>
  <c r="BO100"/>
  <c r="BQ100" s="1"/>
  <c r="BO101"/>
  <c r="BQ101" s="1"/>
  <c r="BO102"/>
  <c r="BQ102" s="1"/>
  <c r="BO103"/>
  <c r="BQ103" s="1"/>
  <c r="BO104"/>
  <c r="BQ104" s="1"/>
  <c r="BO105"/>
  <c r="BQ105" s="1"/>
  <c r="BO106"/>
  <c r="BQ106" s="1"/>
  <c r="BO107"/>
  <c r="BQ107" s="1"/>
  <c r="BO108"/>
  <c r="BQ108" s="1"/>
  <c r="BO112"/>
  <c r="BQ112" s="1"/>
  <c r="BO113"/>
  <c r="BQ113" s="1"/>
  <c r="BO114"/>
  <c r="BQ114" s="1"/>
  <c r="BO115"/>
  <c r="BQ115" s="1"/>
  <c r="BO116"/>
  <c r="BQ116" s="1"/>
  <c r="BO117"/>
  <c r="BQ117" s="1"/>
  <c r="BO118"/>
  <c r="BQ118" s="1"/>
  <c r="BO119"/>
  <c r="BQ119" s="1"/>
  <c r="BO120"/>
  <c r="BQ120" s="1"/>
  <c r="BO121"/>
  <c r="BQ121" s="1"/>
  <c r="BO122"/>
  <c r="BQ122" s="1"/>
  <c r="BO123"/>
  <c r="BQ123" s="1"/>
  <c r="BO124"/>
  <c r="BQ124" s="1"/>
  <c r="BO125"/>
  <c r="BQ125" s="1"/>
  <c r="BO126"/>
  <c r="BQ126" s="1"/>
  <c r="BO127"/>
  <c r="BQ127" s="1"/>
  <c r="BO128"/>
  <c r="BQ128" s="1"/>
  <c r="BO129"/>
  <c r="BQ129" s="1"/>
  <c r="BO130"/>
  <c r="BQ130" s="1"/>
  <c r="BO131"/>
  <c r="BQ131" s="1"/>
  <c r="BO132"/>
  <c r="BQ132" s="1"/>
  <c r="BO134"/>
  <c r="BQ134" s="1"/>
  <c r="BO135"/>
  <c r="BQ135" s="1"/>
  <c r="BO136"/>
  <c r="BQ136" s="1"/>
  <c r="BO137"/>
  <c r="BQ137" s="1"/>
  <c r="BO138"/>
  <c r="BQ138" s="1"/>
  <c r="BO139"/>
  <c r="BQ139" s="1"/>
  <c r="BO140"/>
  <c r="BQ140" s="1"/>
  <c r="BO141"/>
  <c r="BQ141" s="1"/>
  <c r="BO142"/>
  <c r="BQ142" s="1"/>
  <c r="BO143"/>
  <c r="BQ143" s="1"/>
  <c r="BO144"/>
  <c r="BQ144" s="1"/>
  <c r="BO145"/>
  <c r="BQ145" s="1"/>
  <c r="BO146"/>
  <c r="BQ146" s="1"/>
  <c r="BO147"/>
  <c r="BQ147" s="1"/>
  <c r="BO148"/>
  <c r="BQ148" s="1"/>
  <c r="BO149"/>
  <c r="BQ149" s="1"/>
  <c r="BO150"/>
  <c r="BQ150" s="1"/>
  <c r="BO151"/>
  <c r="BQ151" s="1"/>
  <c r="BO152"/>
  <c r="BQ152" s="1"/>
  <c r="BO153"/>
  <c r="BQ153" s="1"/>
  <c r="BO154"/>
  <c r="BQ154" s="1"/>
  <c r="BO155"/>
  <c r="BQ155" s="1"/>
  <c r="BO156"/>
  <c r="BQ156" s="1"/>
  <c r="BO157"/>
  <c r="BQ157" s="1"/>
  <c r="BO158"/>
  <c r="BQ158" s="1"/>
  <c r="BO159"/>
  <c r="BQ159" s="1"/>
  <c r="BO160"/>
  <c r="BQ160" s="1"/>
  <c r="BO161"/>
  <c r="BQ161" s="1"/>
  <c r="BO162"/>
  <c r="BQ162" s="1"/>
  <c r="BO163"/>
  <c r="BQ163" s="1"/>
  <c r="BO164"/>
  <c r="BQ164" s="1"/>
  <c r="BO165"/>
  <c r="BQ165" s="1"/>
  <c r="BO169"/>
  <c r="BQ169" s="1"/>
  <c r="BO170"/>
  <c r="BQ170" s="1"/>
  <c r="BO171"/>
  <c r="BQ171" s="1"/>
  <c r="BO172"/>
  <c r="BQ172" s="1"/>
  <c r="BO173"/>
  <c r="BQ173" s="1"/>
  <c r="BO174"/>
  <c r="BQ174" s="1"/>
  <c r="BO175"/>
  <c r="BQ175" s="1"/>
  <c r="BO176"/>
  <c r="BQ176" s="1"/>
  <c r="BO177"/>
  <c r="BQ177" s="1"/>
  <c r="BO178"/>
  <c r="BQ178" s="1"/>
  <c r="BO179"/>
  <c r="BQ179" s="1"/>
  <c r="BO180"/>
  <c r="BQ180" s="1"/>
  <c r="BO181"/>
  <c r="BQ181" s="1"/>
  <c r="BO182"/>
  <c r="BQ182" s="1"/>
  <c r="BO183"/>
  <c r="BQ183" s="1"/>
  <c r="BO184"/>
  <c r="BQ184" s="1"/>
  <c r="BO185"/>
  <c r="BQ185" s="1"/>
  <c r="BO186"/>
  <c r="BQ186" s="1"/>
  <c r="BO187"/>
  <c r="BQ187" s="1"/>
  <c r="BO189"/>
  <c r="BQ189" s="1"/>
  <c r="BO190"/>
  <c r="BQ190" s="1"/>
  <c r="BO191"/>
  <c r="BQ191" s="1"/>
  <c r="BO192"/>
  <c r="BQ192" s="1"/>
  <c r="BO193"/>
  <c r="BQ193" s="1"/>
  <c r="BO194"/>
  <c r="BQ194" s="1"/>
  <c r="BO195"/>
  <c r="BQ195" s="1"/>
  <c r="BO196"/>
  <c r="BQ196" s="1"/>
  <c r="BO197"/>
  <c r="BQ197" s="1"/>
  <c r="BO198"/>
  <c r="BQ198" s="1"/>
  <c r="BO199"/>
  <c r="BQ199" s="1"/>
  <c r="BO200"/>
  <c r="BQ200" s="1"/>
  <c r="BO201"/>
  <c r="BQ201" s="1"/>
  <c r="BO202"/>
  <c r="BQ202" s="1"/>
  <c r="BO203"/>
  <c r="BQ203" s="1"/>
  <c r="BO204"/>
  <c r="BQ204" s="1"/>
  <c r="BO205"/>
  <c r="BQ205" s="1"/>
  <c r="BO206"/>
  <c r="BQ206" s="1"/>
  <c r="BO207"/>
  <c r="BQ207" s="1"/>
  <c r="BO208"/>
  <c r="BQ208" s="1"/>
  <c r="BO209"/>
  <c r="BQ209" s="1"/>
  <c r="BO210"/>
  <c r="BQ210" s="1"/>
  <c r="BO211"/>
  <c r="BQ211" s="1"/>
  <c r="BO212"/>
  <c r="BQ212" s="1"/>
  <c r="BO213"/>
  <c r="BQ213" s="1"/>
  <c r="BO214"/>
  <c r="BQ214" s="1"/>
  <c r="BO215"/>
  <c r="BQ215" s="1"/>
  <c r="BO216"/>
  <c r="BQ216" s="1"/>
  <c r="BO217"/>
  <c r="BQ217" s="1"/>
  <c r="BO218"/>
  <c r="BQ218" s="1"/>
  <c r="BO219"/>
  <c r="BQ219" s="1"/>
  <c r="BO220"/>
  <c r="BQ220" s="1"/>
  <c r="BO221"/>
  <c r="BQ221" s="1"/>
  <c r="BO223"/>
  <c r="BQ223" s="1"/>
  <c r="BO224"/>
  <c r="BQ224" s="1"/>
  <c r="BO225"/>
  <c r="BQ225" s="1"/>
  <c r="BO226"/>
  <c r="BQ226" s="1"/>
  <c r="BO227"/>
  <c r="BQ227" s="1"/>
  <c r="BO228"/>
  <c r="BQ228" s="1"/>
  <c r="BO229"/>
  <c r="BQ229" s="1"/>
  <c r="BO230"/>
  <c r="BQ230" s="1"/>
  <c r="BO231"/>
  <c r="BQ231" s="1"/>
  <c r="BO232"/>
  <c r="BQ232" s="1"/>
  <c r="BO233"/>
  <c r="BQ233" s="1"/>
  <c r="BO234"/>
  <c r="BQ234" s="1"/>
  <c r="BO235"/>
  <c r="BQ235" s="1"/>
  <c r="BO236"/>
  <c r="BQ236" s="1"/>
  <c r="BO237"/>
  <c r="BQ237" s="1"/>
  <c r="BO238"/>
  <c r="BQ238" s="1"/>
  <c r="BO239"/>
  <c r="BQ239" s="1"/>
  <c r="BO240"/>
  <c r="BQ240" s="1"/>
  <c r="BO241"/>
  <c r="BQ241" s="1"/>
  <c r="BO243"/>
  <c r="BQ243" s="1"/>
  <c r="BO7"/>
  <c r="BQ7" s="1"/>
  <c r="BE166"/>
  <c r="AK15" i="2" s="1"/>
  <c r="AX71" i="4"/>
  <c r="BE71"/>
  <c r="BN71"/>
  <c r="BE86"/>
  <c r="BE25"/>
  <c r="BW222" i="5" l="1"/>
  <c r="BW185"/>
  <c r="BW181"/>
  <c r="BW180"/>
  <c r="BW151"/>
  <c r="BW166" s="1"/>
  <c r="BW167" s="1"/>
  <c r="BY167" s="1"/>
  <c r="BZ167" s="1"/>
  <c r="BW133"/>
  <c r="BW106"/>
  <c r="BW109" s="1"/>
  <c r="BW74"/>
  <c r="BW34"/>
  <c r="BW25"/>
  <c r="BW21"/>
  <c r="BN180" i="4"/>
  <c r="BN185"/>
  <c r="BN34"/>
  <c r="BN21"/>
  <c r="BN181"/>
  <c r="BW41" i="5" l="1"/>
  <c r="BW244" s="1"/>
  <c r="BW188"/>
  <c r="BW111"/>
  <c r="BY111" s="1"/>
  <c r="BZ111" s="1"/>
  <c r="BW110"/>
  <c r="BY110" s="1"/>
  <c r="BZ110" s="1"/>
  <c r="BW168"/>
  <c r="BY168" s="1"/>
  <c r="BZ168" s="1"/>
  <c r="AS179" i="4"/>
  <c r="BV245"/>
  <c r="BN166"/>
  <c r="AN15" i="2" s="1"/>
  <c r="BN133" i="4"/>
  <c r="AN14" i="2" l="1"/>
  <c r="BW242" i="5"/>
  <c r="BN109" i="4"/>
  <c r="AN13" i="2" s="1"/>
  <c r="BV40" i="4"/>
  <c r="BX40" i="5" s="1"/>
  <c r="BV15" i="4"/>
  <c r="BX15" i="5" s="1"/>
  <c r="BV151" i="4"/>
  <c r="BU41"/>
  <c r="BR41"/>
  <c r="BL27"/>
  <c r="BV26"/>
  <c r="BN41"/>
  <c r="BV107"/>
  <c r="BW107" s="1"/>
  <c r="BX107" s="1"/>
  <c r="AN11" i="2" l="1"/>
  <c r="BV41" i="4"/>
  <c r="BN151"/>
  <c r="BE151"/>
  <c r="BN25"/>
  <c r="BE106"/>
  <c r="BN168"/>
  <c r="BO168" s="1"/>
  <c r="BQ168" s="1"/>
  <c r="BN111"/>
  <c r="BO111" s="1"/>
  <c r="BQ111" s="1"/>
  <c r="BN167"/>
  <c r="BN110"/>
  <c r="BN74"/>
  <c r="BR74"/>
  <c r="BU74"/>
  <c r="BB51"/>
  <c r="BA51"/>
  <c r="BO110" l="1"/>
  <c r="BQ110" s="1"/>
  <c r="AN12" i="2"/>
  <c r="BO166" i="4"/>
  <c r="BQ166" s="1"/>
  <c r="BO167"/>
  <c r="BQ167" s="1"/>
  <c r="BN222"/>
  <c r="BN106"/>
  <c r="BE85"/>
  <c r="BN188"/>
  <c r="BE181"/>
  <c r="AS199"/>
  <c r="AS200"/>
  <c r="AS201"/>
  <c r="AS202"/>
  <c r="AS203"/>
  <c r="AS204"/>
  <c r="AS205"/>
  <c r="AS206"/>
  <c r="AS207"/>
  <c r="AS208"/>
  <c r="AS210"/>
  <c r="AS211"/>
  <c r="AS212"/>
  <c r="AS213"/>
  <c r="AS214"/>
  <c r="AS215"/>
  <c r="AS216"/>
  <c r="AS217"/>
  <c r="AS218"/>
  <c r="AS219"/>
  <c r="AS220"/>
  <c r="AS221"/>
  <c r="AS164"/>
  <c r="AS40"/>
  <c r="BV8"/>
  <c r="BV9"/>
  <c r="BV10"/>
  <c r="BV11"/>
  <c r="BV12"/>
  <c r="BV13"/>
  <c r="BV14"/>
  <c r="BX14" i="5" s="1"/>
  <c r="BV16" i="4"/>
  <c r="BV17"/>
  <c r="BV18"/>
  <c r="BV19"/>
  <c r="BX19" i="5" s="1"/>
  <c r="BV20" i="4"/>
  <c r="BV21"/>
  <c r="BV22"/>
  <c r="BV23"/>
  <c r="BV24"/>
  <c r="BV25"/>
  <c r="BV27"/>
  <c r="BV28"/>
  <c r="BV29"/>
  <c r="BV30"/>
  <c r="BV31"/>
  <c r="BV32"/>
  <c r="BV33"/>
  <c r="BV34"/>
  <c r="BV35"/>
  <c r="BV36"/>
  <c r="BV37"/>
  <c r="BV38"/>
  <c r="BV39"/>
  <c r="BW39" s="1"/>
  <c r="BX39" s="1"/>
  <c r="BV42"/>
  <c r="BW42" s="1"/>
  <c r="BX42" s="1"/>
  <c r="BV43"/>
  <c r="BW43" s="1"/>
  <c r="BX43" s="1"/>
  <c r="BV44"/>
  <c r="BW44" s="1"/>
  <c r="BX44" s="1"/>
  <c r="BV45"/>
  <c r="BW45" s="1"/>
  <c r="BX45" s="1"/>
  <c r="BV46"/>
  <c r="BW46" s="1"/>
  <c r="BX46" s="1"/>
  <c r="BV47"/>
  <c r="BW47" s="1"/>
  <c r="BX47" s="1"/>
  <c r="BV48"/>
  <c r="BW48" s="1"/>
  <c r="BX48" s="1"/>
  <c r="BV49"/>
  <c r="BV51"/>
  <c r="BV52"/>
  <c r="BV53"/>
  <c r="BV54"/>
  <c r="BV55"/>
  <c r="BV56"/>
  <c r="BV57"/>
  <c r="BV58"/>
  <c r="BV59"/>
  <c r="BV60"/>
  <c r="BV61"/>
  <c r="BV62"/>
  <c r="BV63"/>
  <c r="BV64"/>
  <c r="BV65"/>
  <c r="BV66"/>
  <c r="BV67"/>
  <c r="BV68"/>
  <c r="BV69"/>
  <c r="BV70"/>
  <c r="BV71"/>
  <c r="BV72"/>
  <c r="BV73"/>
  <c r="BV74"/>
  <c r="BV75"/>
  <c r="BW75" s="1"/>
  <c r="BX75" s="1"/>
  <c r="BV76"/>
  <c r="BW76" s="1"/>
  <c r="BX76" s="1"/>
  <c r="BV77"/>
  <c r="BV78"/>
  <c r="BW78" s="1"/>
  <c r="BX78" s="1"/>
  <c r="BV79"/>
  <c r="BW79" s="1"/>
  <c r="BX79" s="1"/>
  <c r="BV80"/>
  <c r="BW80" s="1"/>
  <c r="BX80" s="1"/>
  <c r="BV81"/>
  <c r="BW81" s="1"/>
  <c r="BX81" s="1"/>
  <c r="BV82"/>
  <c r="BW82" s="1"/>
  <c r="BX82" s="1"/>
  <c r="BV83"/>
  <c r="BW83" s="1"/>
  <c r="BX83" s="1"/>
  <c r="BV85"/>
  <c r="BV86"/>
  <c r="BV87"/>
  <c r="BV88"/>
  <c r="BV89"/>
  <c r="BV90"/>
  <c r="BV91"/>
  <c r="BV92"/>
  <c r="BV93"/>
  <c r="BV94"/>
  <c r="BV95"/>
  <c r="BV96"/>
  <c r="BV97"/>
  <c r="BV98"/>
  <c r="BV99"/>
  <c r="BV100"/>
  <c r="BV101"/>
  <c r="BV102"/>
  <c r="BV103"/>
  <c r="BV104"/>
  <c r="BV105"/>
  <c r="BV106"/>
  <c r="BV108"/>
  <c r="BX108" i="5" s="1"/>
  <c r="BV110" i="4"/>
  <c r="BV111"/>
  <c r="BV112"/>
  <c r="BW112" s="1"/>
  <c r="BX112" s="1"/>
  <c r="BV113"/>
  <c r="BW113" s="1"/>
  <c r="BX113" s="1"/>
  <c r="BV114"/>
  <c r="BW114" s="1"/>
  <c r="BX114" s="1"/>
  <c r="BV115"/>
  <c r="BW115" s="1"/>
  <c r="BX115" s="1"/>
  <c r="BV116"/>
  <c r="BW116" s="1"/>
  <c r="BX116" s="1"/>
  <c r="BV117"/>
  <c r="BW117" s="1"/>
  <c r="BX117" s="1"/>
  <c r="BV118"/>
  <c r="BW118" s="1"/>
  <c r="BX118" s="1"/>
  <c r="BV120"/>
  <c r="BV121"/>
  <c r="BV122"/>
  <c r="BV123"/>
  <c r="BV124"/>
  <c r="BV125"/>
  <c r="BV126"/>
  <c r="BV127"/>
  <c r="BV128"/>
  <c r="BV129"/>
  <c r="BV130"/>
  <c r="BV131"/>
  <c r="BV132"/>
  <c r="BV134"/>
  <c r="BW134" s="1"/>
  <c r="BX134" s="1"/>
  <c r="BV135"/>
  <c r="BW135" s="1"/>
  <c r="BX135" s="1"/>
  <c r="BV136"/>
  <c r="BW136" s="1"/>
  <c r="BX136" s="1"/>
  <c r="BV137"/>
  <c r="BW137" s="1"/>
  <c r="BX137" s="1"/>
  <c r="BV138"/>
  <c r="BW138" s="1"/>
  <c r="BX138" s="1"/>
  <c r="BV139"/>
  <c r="BW139" s="1"/>
  <c r="BX139" s="1"/>
  <c r="BV140"/>
  <c r="BW140" s="1"/>
  <c r="BX140" s="1"/>
  <c r="BV141"/>
  <c r="BW141" s="1"/>
  <c r="BX141" s="1"/>
  <c r="BV142"/>
  <c r="BW142" s="1"/>
  <c r="BX142" s="1"/>
  <c r="BV143"/>
  <c r="BW143" s="1"/>
  <c r="BX143" s="1"/>
  <c r="BV144"/>
  <c r="BW144" s="1"/>
  <c r="BX144" s="1"/>
  <c r="BV146"/>
  <c r="BV147"/>
  <c r="BV148"/>
  <c r="BV149"/>
  <c r="BV150"/>
  <c r="BV152"/>
  <c r="BV153"/>
  <c r="BV154"/>
  <c r="BV155"/>
  <c r="BV156"/>
  <c r="BV157"/>
  <c r="BV159"/>
  <c r="BV160"/>
  <c r="BV161"/>
  <c r="BV162"/>
  <c r="BV163"/>
  <c r="BV164"/>
  <c r="BW164" s="1"/>
  <c r="BX164" s="1"/>
  <c r="BV165"/>
  <c r="BX165" i="5" s="1"/>
  <c r="BV167" i="4"/>
  <c r="BV168"/>
  <c r="BV169"/>
  <c r="BW169" s="1"/>
  <c r="BX169" s="1"/>
  <c r="BV170"/>
  <c r="BW170" s="1"/>
  <c r="BX170" s="1"/>
  <c r="BV171"/>
  <c r="BW171" s="1"/>
  <c r="BX171" s="1"/>
  <c r="BV172"/>
  <c r="BW172" s="1"/>
  <c r="BX172" s="1"/>
  <c r="BV173"/>
  <c r="BW173" s="1"/>
  <c r="BX173" s="1"/>
  <c r="BV174"/>
  <c r="BW174" s="1"/>
  <c r="BX174" s="1"/>
  <c r="BV175"/>
  <c r="BW175" s="1"/>
  <c r="BX175" s="1"/>
  <c r="BV176"/>
  <c r="BW176" s="1"/>
  <c r="BX176" s="1"/>
  <c r="BV177"/>
  <c r="BW177" s="1"/>
  <c r="BX177" s="1"/>
  <c r="BV179"/>
  <c r="BV180"/>
  <c r="BV181"/>
  <c r="BV182"/>
  <c r="BV183"/>
  <c r="BV184"/>
  <c r="BV185"/>
  <c r="BV186"/>
  <c r="BW186" s="1"/>
  <c r="BX186" s="1"/>
  <c r="BV187"/>
  <c r="BV189"/>
  <c r="BW189" s="1"/>
  <c r="BX189" s="1"/>
  <c r="BV190"/>
  <c r="BW190" s="1"/>
  <c r="BX190" s="1"/>
  <c r="BV191"/>
  <c r="BW191" s="1"/>
  <c r="BX191" s="1"/>
  <c r="BV192"/>
  <c r="BW192" s="1"/>
  <c r="BX192" s="1"/>
  <c r="BV193"/>
  <c r="BW193" s="1"/>
  <c r="BX193" s="1"/>
  <c r="BV194"/>
  <c r="BW194" s="1"/>
  <c r="BX194" s="1"/>
  <c r="BV195"/>
  <c r="BW195" s="1"/>
  <c r="BX195" s="1"/>
  <c r="BV196"/>
  <c r="BW196" s="1"/>
  <c r="BX196" s="1"/>
  <c r="BV198"/>
  <c r="BV199"/>
  <c r="BV200"/>
  <c r="BV201"/>
  <c r="BV202"/>
  <c r="BV203"/>
  <c r="BV204"/>
  <c r="BV205"/>
  <c r="BV206"/>
  <c r="BV207"/>
  <c r="BV208"/>
  <c r="BV209"/>
  <c r="BV210"/>
  <c r="BV211"/>
  <c r="BV212"/>
  <c r="BV213"/>
  <c r="BV214"/>
  <c r="BV215"/>
  <c r="BV216"/>
  <c r="BV217"/>
  <c r="BV218"/>
  <c r="BV219"/>
  <c r="BV220"/>
  <c r="BV221"/>
  <c r="BV223"/>
  <c r="BW223" s="1"/>
  <c r="BX223" s="1"/>
  <c r="BV224"/>
  <c r="BW224" s="1"/>
  <c r="BX224" s="1"/>
  <c r="BV225"/>
  <c r="BW225" s="1"/>
  <c r="BX225" s="1"/>
  <c r="BV226"/>
  <c r="BW226" s="1"/>
  <c r="BX226" s="1"/>
  <c r="BV227"/>
  <c r="BV228"/>
  <c r="BV229"/>
  <c r="BV230"/>
  <c r="BV231"/>
  <c r="BV232"/>
  <c r="BV233"/>
  <c r="BV234"/>
  <c r="BV235"/>
  <c r="BV236"/>
  <c r="BV237"/>
  <c r="BV238"/>
  <c r="BV239"/>
  <c r="BV240"/>
  <c r="BV241"/>
  <c r="BV7"/>
  <c r="BL7"/>
  <c r="BW49"/>
  <c r="BX49" s="1"/>
  <c r="BW77"/>
  <c r="BX77" s="1"/>
  <c r="E11" i="9"/>
  <c r="E10"/>
  <c r="E9"/>
  <c r="E8"/>
  <c r="E7"/>
  <c r="E6"/>
  <c r="E5"/>
  <c r="E4"/>
  <c r="E3"/>
  <c r="E2"/>
  <c r="E12"/>
  <c r="E13"/>
  <c r="E14"/>
  <c r="E15"/>
  <c r="AN16" i="2" l="1"/>
  <c r="AN17"/>
  <c r="BV188" i="4"/>
  <c r="BV166"/>
  <c r="BV109"/>
  <c r="BV222"/>
  <c r="BN242"/>
  <c r="BV133"/>
  <c r="BW167"/>
  <c r="BX167" s="1"/>
  <c r="BX167" i="5"/>
  <c r="BW111" i="4"/>
  <c r="BX111" s="1"/>
  <c r="BX111" i="5"/>
  <c r="BW168" i="4"/>
  <c r="BX168" s="1"/>
  <c r="BX168" i="5"/>
  <c r="BW110" i="4"/>
  <c r="BX110" s="1"/>
  <c r="BX110" i="5"/>
  <c r="BX220"/>
  <c r="BX216"/>
  <c r="BX212"/>
  <c r="BX208"/>
  <c r="BX204"/>
  <c r="BX200"/>
  <c r="BX186"/>
  <c r="BX182"/>
  <c r="BX161"/>
  <c r="BX153"/>
  <c r="BX149"/>
  <c r="BX132"/>
  <c r="BX128"/>
  <c r="BX124"/>
  <c r="BX120"/>
  <c r="BX106"/>
  <c r="BX102"/>
  <c r="BX98"/>
  <c r="BX94"/>
  <c r="BX90"/>
  <c r="BX86"/>
  <c r="BX73"/>
  <c r="BX69"/>
  <c r="BX65"/>
  <c r="BX61"/>
  <c r="BX57"/>
  <c r="BX53"/>
  <c r="BX36"/>
  <c r="BX32"/>
  <c r="BX28"/>
  <c r="BX24"/>
  <c r="BX20"/>
  <c r="BX16"/>
  <c r="BX12"/>
  <c r="BX8"/>
  <c r="BX219"/>
  <c r="BX215"/>
  <c r="BX211"/>
  <c r="BX207"/>
  <c r="BX203"/>
  <c r="BX199"/>
  <c r="BX185"/>
  <c r="BX181"/>
  <c r="BX156"/>
  <c r="BX152"/>
  <c r="BX148"/>
  <c r="BX131"/>
  <c r="BX127"/>
  <c r="BX123"/>
  <c r="BX105"/>
  <c r="BX101"/>
  <c r="BX97"/>
  <c r="BX93"/>
  <c r="BX89"/>
  <c r="BX85"/>
  <c r="BX72"/>
  <c r="BX68"/>
  <c r="BX64"/>
  <c r="BX60"/>
  <c r="BX56"/>
  <c r="BX52"/>
  <c r="BX39"/>
  <c r="BX35"/>
  <c r="BX31"/>
  <c r="BX27"/>
  <c r="BX23"/>
  <c r="BX11"/>
  <c r="BX7"/>
  <c r="BX218"/>
  <c r="BX214"/>
  <c r="BX210"/>
  <c r="BX206"/>
  <c r="BX202"/>
  <c r="BX198"/>
  <c r="BX184"/>
  <c r="BX180"/>
  <c r="BX163"/>
  <c r="BX159"/>
  <c r="BX155"/>
  <c r="BX151"/>
  <c r="BX147"/>
  <c r="BX130"/>
  <c r="BX126"/>
  <c r="BX122"/>
  <c r="BX104"/>
  <c r="BX100"/>
  <c r="BX96"/>
  <c r="BX92"/>
  <c r="BX88"/>
  <c r="BX71"/>
  <c r="BX67"/>
  <c r="BX63"/>
  <c r="BX59"/>
  <c r="BX55"/>
  <c r="BX51"/>
  <c r="BX38"/>
  <c r="BX34"/>
  <c r="BX30"/>
  <c r="BX26"/>
  <c r="BX22"/>
  <c r="BX18"/>
  <c r="BX10"/>
  <c r="BX221"/>
  <c r="BX217"/>
  <c r="BX213"/>
  <c r="BX209"/>
  <c r="BX205"/>
  <c r="BX201"/>
  <c r="BX187"/>
  <c r="BX183"/>
  <c r="BX179"/>
  <c r="BX162"/>
  <c r="BX154"/>
  <c r="BX150"/>
  <c r="BX146"/>
  <c r="BX129"/>
  <c r="BX125"/>
  <c r="BX121"/>
  <c r="BX103"/>
  <c r="BX99"/>
  <c r="BX95"/>
  <c r="BX91"/>
  <c r="BX87"/>
  <c r="BX70"/>
  <c r="BX66"/>
  <c r="BX62"/>
  <c r="BX58"/>
  <c r="BX54"/>
  <c r="BX37"/>
  <c r="BX33"/>
  <c r="BX29"/>
  <c r="BX25"/>
  <c r="BX21"/>
  <c r="BX17"/>
  <c r="BX13"/>
  <c r="BX9"/>
  <c r="BW7" i="4"/>
  <c r="BX7" s="1"/>
  <c r="AN16" i="3"/>
  <c r="AN15"/>
  <c r="AN14"/>
  <c r="AN12"/>
  <c r="AN13"/>
  <c r="BX164" i="5"/>
  <c r="BX160"/>
  <c r="BX157"/>
  <c r="BC221" i="4"/>
  <c r="BD221" s="1"/>
  <c r="BC210"/>
  <c r="BC211"/>
  <c r="BD211" s="1"/>
  <c r="BC212"/>
  <c r="BC213"/>
  <c r="BD213" s="1"/>
  <c r="BC214"/>
  <c r="BD214" s="1"/>
  <c r="BC215"/>
  <c r="BD215" s="1"/>
  <c r="BC216"/>
  <c r="BC217"/>
  <c r="BD217" s="1"/>
  <c r="BC218"/>
  <c r="BD218" s="1"/>
  <c r="BC219"/>
  <c r="BD219" s="1"/>
  <c r="BC220"/>
  <c r="BD220" s="1"/>
  <c r="BC199"/>
  <c r="BD199" s="1"/>
  <c r="BC200"/>
  <c r="BD200" s="1"/>
  <c r="BC201"/>
  <c r="BD201" s="1"/>
  <c r="BC202"/>
  <c r="BD202" s="1"/>
  <c r="BC203"/>
  <c r="BC204"/>
  <c r="BD204" s="1"/>
  <c r="BC205"/>
  <c r="BD205" s="1"/>
  <c r="BC206"/>
  <c r="BD206" s="1"/>
  <c r="BC207"/>
  <c r="BD207" s="1"/>
  <c r="BC208"/>
  <c r="BC184"/>
  <c r="BD184" s="1"/>
  <c r="BC185"/>
  <c r="BC187"/>
  <c r="BD187" s="1"/>
  <c r="BC159"/>
  <c r="BD159" s="1"/>
  <c r="BC160"/>
  <c r="BD160" s="1"/>
  <c r="BC161"/>
  <c r="BD161" s="1"/>
  <c r="BC164"/>
  <c r="BD164" s="1"/>
  <c r="BC165"/>
  <c r="BC149"/>
  <c r="BC152"/>
  <c r="BD152" s="1"/>
  <c r="BC153"/>
  <c r="BD153" s="1"/>
  <c r="BC154"/>
  <c r="BD154" s="1"/>
  <c r="BC155"/>
  <c r="BD155" s="1"/>
  <c r="BC156"/>
  <c r="BD156" s="1"/>
  <c r="BC157"/>
  <c r="BC158"/>
  <c r="BD158" s="1"/>
  <c r="BC122"/>
  <c r="BD122" s="1"/>
  <c r="BC124"/>
  <c r="BD124" s="1"/>
  <c r="BC125"/>
  <c r="BD125" s="1"/>
  <c r="BC127"/>
  <c r="BD127" s="1"/>
  <c r="BC128"/>
  <c r="BC130"/>
  <c r="BD130" s="1"/>
  <c r="BC131"/>
  <c r="BD131" s="1"/>
  <c r="BC132"/>
  <c r="BD132" s="1"/>
  <c r="BC120"/>
  <c r="BD120" s="1"/>
  <c r="BC106"/>
  <c r="BD106" s="1"/>
  <c r="BC108"/>
  <c r="BD108" s="1"/>
  <c r="BC87"/>
  <c r="BD87" s="1"/>
  <c r="BC89"/>
  <c r="BD89" s="1"/>
  <c r="BC90"/>
  <c r="BD90" s="1"/>
  <c r="BC91"/>
  <c r="BC92"/>
  <c r="BC93"/>
  <c r="BC94"/>
  <c r="BD94" s="1"/>
  <c r="BC95"/>
  <c r="BD95" s="1"/>
  <c r="BC98"/>
  <c r="BD98" s="1"/>
  <c r="BC99"/>
  <c r="BD99" s="1"/>
  <c r="BC100"/>
  <c r="BD100" s="1"/>
  <c r="BC101"/>
  <c r="BC103"/>
  <c r="BD103" s="1"/>
  <c r="BC105"/>
  <c r="BD105" s="1"/>
  <c r="BC64"/>
  <c r="BD64" s="1"/>
  <c r="BC65"/>
  <c r="BC66"/>
  <c r="BD66" s="1"/>
  <c r="BC67"/>
  <c r="BD67" s="1"/>
  <c r="BC68"/>
  <c r="BD68" s="1"/>
  <c r="BC69"/>
  <c r="BD69" s="1"/>
  <c r="BC70"/>
  <c r="BC71"/>
  <c r="BD71" s="1"/>
  <c r="BC72"/>
  <c r="BC73"/>
  <c r="BD73" s="1"/>
  <c r="BC53"/>
  <c r="BD53" s="1"/>
  <c r="BC55"/>
  <c r="BD55" s="1"/>
  <c r="BC57"/>
  <c r="BD57" s="1"/>
  <c r="BC59"/>
  <c r="BC60"/>
  <c r="BD60" s="1"/>
  <c r="BC15"/>
  <c r="BD15" s="1"/>
  <c r="BC37"/>
  <c r="BD37" s="1"/>
  <c r="BC38"/>
  <c r="BC40"/>
  <c r="BC26"/>
  <c r="BD26" s="1"/>
  <c r="BC27"/>
  <c r="BD27" s="1"/>
  <c r="BC29"/>
  <c r="BD29" s="1"/>
  <c r="BC30"/>
  <c r="BD30" s="1"/>
  <c r="BC31"/>
  <c r="BD31" s="1"/>
  <c r="BC33"/>
  <c r="BD33" s="1"/>
  <c r="BC8"/>
  <c r="BD8" s="1"/>
  <c r="BC9"/>
  <c r="BD9" s="1"/>
  <c r="BC10"/>
  <c r="BD10" s="1"/>
  <c r="BC11"/>
  <c r="BC12"/>
  <c r="BC14"/>
  <c r="BC16"/>
  <c r="BD16" s="1"/>
  <c r="BC17"/>
  <c r="BC19"/>
  <c r="BC20"/>
  <c r="BD20" s="1"/>
  <c r="BC21"/>
  <c r="BD21" s="1"/>
  <c r="BC22"/>
  <c r="BC25"/>
  <c r="BC7"/>
  <c r="BD7" s="1"/>
  <c r="BB186"/>
  <c r="AS186" s="1"/>
  <c r="BA186"/>
  <c r="BC186" s="1"/>
  <c r="BD186" s="1"/>
  <c r="AN18" i="2" l="1"/>
  <c r="BX222" i="5"/>
  <c r="AN17" i="3"/>
  <c r="BV242" i="4"/>
  <c r="BX41" i="5"/>
  <c r="BX166"/>
  <c r="BX74"/>
  <c r="BX109"/>
  <c r="BX133"/>
  <c r="BX188"/>
  <c r="AN11" i="3"/>
  <c r="BB39" i="4"/>
  <c r="AS39" s="1"/>
  <c r="BA39"/>
  <c r="BB209"/>
  <c r="AS209" s="1"/>
  <c r="BA209"/>
  <c r="BB198"/>
  <c r="BA198"/>
  <c r="BB183"/>
  <c r="BA183"/>
  <c r="BB181"/>
  <c r="BA181"/>
  <c r="BB179"/>
  <c r="BA179"/>
  <c r="BB182"/>
  <c r="BA182"/>
  <c r="BB180"/>
  <c r="BA180"/>
  <c r="BB148"/>
  <c r="BA148"/>
  <c r="BB147"/>
  <c r="BA147"/>
  <c r="BB162"/>
  <c r="BA162"/>
  <c r="BB146"/>
  <c r="BA146"/>
  <c r="BB163"/>
  <c r="BA163"/>
  <c r="BB150"/>
  <c r="BA150"/>
  <c r="BB151"/>
  <c r="BA151"/>
  <c r="BB129"/>
  <c r="BA129"/>
  <c r="BB123"/>
  <c r="BA123"/>
  <c r="BB121"/>
  <c r="BA121"/>
  <c r="BB126"/>
  <c r="BA126"/>
  <c r="BB104"/>
  <c r="BA104"/>
  <c r="BB96"/>
  <c r="BA96"/>
  <c r="BB97"/>
  <c r="BA97"/>
  <c r="BB88"/>
  <c r="BA88"/>
  <c r="BB102"/>
  <c r="BA102"/>
  <c r="BB86"/>
  <c r="BA86"/>
  <c r="BB85"/>
  <c r="BB109" s="1"/>
  <c r="BA85"/>
  <c r="BB54"/>
  <c r="BA54"/>
  <c r="BB56"/>
  <c r="BA56"/>
  <c r="BB61"/>
  <c r="BA61"/>
  <c r="BB62"/>
  <c r="BA62"/>
  <c r="BB58"/>
  <c r="BA58"/>
  <c r="BB63"/>
  <c r="BA63"/>
  <c r="BB52"/>
  <c r="BA52"/>
  <c r="BB36"/>
  <c r="BA36"/>
  <c r="BB24"/>
  <c r="BA24"/>
  <c r="BA35"/>
  <c r="BC35" s="1"/>
  <c r="BD35" s="1"/>
  <c r="BB23"/>
  <c r="BA23"/>
  <c r="BB28"/>
  <c r="BA28"/>
  <c r="BB32"/>
  <c r="BA32"/>
  <c r="BB18"/>
  <c r="BA18"/>
  <c r="BB13"/>
  <c r="BA13"/>
  <c r="BB34"/>
  <c r="BA34"/>
  <c r="AX219"/>
  <c r="AX217"/>
  <c r="AX215"/>
  <c r="AX205"/>
  <c r="BE204"/>
  <c r="BE185"/>
  <c r="BE180"/>
  <c r="AX179"/>
  <c r="BE163"/>
  <c r="BE148"/>
  <c r="BE146"/>
  <c r="AX129"/>
  <c r="BE126"/>
  <c r="BE125"/>
  <c r="AX104"/>
  <c r="BE88"/>
  <c r="BE63"/>
  <c r="AX63"/>
  <c r="BE61"/>
  <c r="BE56"/>
  <c r="AX54"/>
  <c r="BE52"/>
  <c r="AX52"/>
  <c r="BE51"/>
  <c r="BE32"/>
  <c r="BE21"/>
  <c r="BE24"/>
  <c r="BE53"/>
  <c r="BE150"/>
  <c r="AX181"/>
  <c r="AX180"/>
  <c r="AX163"/>
  <c r="AX161"/>
  <c r="AX121"/>
  <c r="AX85"/>
  <c r="AX88"/>
  <c r="AX53"/>
  <c r="AX126"/>
  <c r="AX21"/>
  <c r="AX24"/>
  <c r="AX25"/>
  <c r="AX56"/>
  <c r="AX61"/>
  <c r="AN18" i="3" l="1"/>
  <c r="BX244" i="5"/>
  <c r="BB74" i="4"/>
  <c r="BB222"/>
  <c r="AS222" s="1"/>
  <c r="AS198"/>
  <c r="BB41"/>
  <c r="BC51"/>
  <c r="BD51" s="1"/>
  <c r="BC34"/>
  <c r="BD34" s="1"/>
  <c r="BC13"/>
  <c r="BD13" s="1"/>
  <c r="BC18"/>
  <c r="BD18" s="1"/>
  <c r="BC32"/>
  <c r="BD32" s="1"/>
  <c r="BC28"/>
  <c r="BD28" s="1"/>
  <c r="BC23"/>
  <c r="BD23" s="1"/>
  <c r="BB133"/>
  <c r="BB166"/>
  <c r="BB188"/>
  <c r="BC24"/>
  <c r="BD24" s="1"/>
  <c r="BC36"/>
  <c r="BD36" s="1"/>
  <c r="BC52"/>
  <c r="BD52" s="1"/>
  <c r="BC63"/>
  <c r="BD63" s="1"/>
  <c r="BC58"/>
  <c r="BD58" s="1"/>
  <c r="BC62"/>
  <c r="BD62" s="1"/>
  <c r="BC61"/>
  <c r="BD61" s="1"/>
  <c r="BC56"/>
  <c r="BD56" s="1"/>
  <c r="BC54"/>
  <c r="BD54" s="1"/>
  <c r="BC85"/>
  <c r="BD85" s="1"/>
  <c r="BC86"/>
  <c r="BD86" s="1"/>
  <c r="BC102"/>
  <c r="BD102" s="1"/>
  <c r="BC88"/>
  <c r="BD88" s="1"/>
  <c r="BC97"/>
  <c r="BD97" s="1"/>
  <c r="BC96"/>
  <c r="BD96" s="1"/>
  <c r="BC104"/>
  <c r="BD104" s="1"/>
  <c r="BC126"/>
  <c r="BD126" s="1"/>
  <c r="BC121"/>
  <c r="BD121" s="1"/>
  <c r="BC123"/>
  <c r="BD123" s="1"/>
  <c r="BC129"/>
  <c r="BD129" s="1"/>
  <c r="BC151"/>
  <c r="BD151" s="1"/>
  <c r="BC150"/>
  <c r="BD150" s="1"/>
  <c r="BC163"/>
  <c r="BD163" s="1"/>
  <c r="BC146"/>
  <c r="BD146" s="1"/>
  <c r="BC162"/>
  <c r="BD162" s="1"/>
  <c r="BC147"/>
  <c r="BD147" s="1"/>
  <c r="BC148"/>
  <c r="BD148" s="1"/>
  <c r="BC180"/>
  <c r="BD180" s="1"/>
  <c r="BC182"/>
  <c r="BD182" s="1"/>
  <c r="BC179"/>
  <c r="BD179" s="1"/>
  <c r="BC181"/>
  <c r="BD181" s="1"/>
  <c r="BC183"/>
  <c r="BD183" s="1"/>
  <c r="BC198"/>
  <c r="BD198" s="1"/>
  <c r="BC209"/>
  <c r="BD209" s="1"/>
  <c r="BC39"/>
  <c r="BD39" s="1"/>
  <c r="BE198"/>
  <c r="BE183"/>
  <c r="BE182"/>
  <c r="BE179"/>
  <c r="BL179" s="1"/>
  <c r="BW179" s="1"/>
  <c r="BX179" s="1"/>
  <c r="BE162"/>
  <c r="BE147"/>
  <c r="BE127"/>
  <c r="BE123"/>
  <c r="BE121"/>
  <c r="BE104"/>
  <c r="BE64"/>
  <c r="BE58"/>
  <c r="BE54"/>
  <c r="BE34"/>
  <c r="BL34" s="1"/>
  <c r="BW34" s="1"/>
  <c r="BX34" s="1"/>
  <c r="BE28"/>
  <c r="BE35"/>
  <c r="BE18"/>
  <c r="BE13"/>
  <c r="AX151"/>
  <c r="BL24"/>
  <c r="BW24" s="1"/>
  <c r="BX24" s="1"/>
  <c r="BL163"/>
  <c r="BW163" s="1"/>
  <c r="BX163" s="1"/>
  <c r="AA163"/>
  <c r="AF163"/>
  <c r="X56" l="1"/>
  <c r="AX146"/>
  <c r="AX124"/>
  <c r="U123"/>
  <c r="R123"/>
  <c r="O123"/>
  <c r="L123"/>
  <c r="I123"/>
  <c r="F123"/>
  <c r="C123"/>
  <c r="AX106"/>
  <c r="BL10"/>
  <c r="BW10" s="1"/>
  <c r="BX10" s="1"/>
  <c r="BK74"/>
  <c r="BK133"/>
  <c r="BK188"/>
  <c r="BK166"/>
  <c r="BK109"/>
  <c r="BL13"/>
  <c r="BW13" s="1"/>
  <c r="BX13" s="1"/>
  <c r="BK41"/>
  <c r="BK242" l="1"/>
  <c r="BH222"/>
  <c r="BH188"/>
  <c r="BH151"/>
  <c r="BH166" s="1"/>
  <c r="BH133"/>
  <c r="BH86"/>
  <c r="BH109" s="1"/>
  <c r="BH74" l="1"/>
  <c r="BH41"/>
  <c r="BL20"/>
  <c r="BL19"/>
  <c r="AA106"/>
  <c r="X106"/>
  <c r="AF106"/>
  <c r="AY106" s="1"/>
  <c r="BM241" i="5"/>
  <c r="BN241" s="1"/>
  <c r="BM240"/>
  <c r="BN240" s="1"/>
  <c r="BM239"/>
  <c r="BN239" s="1"/>
  <c r="BM238"/>
  <c r="BN238" s="1"/>
  <c r="BM237"/>
  <c r="BN237" s="1"/>
  <c r="BM236"/>
  <c r="BN236" s="1"/>
  <c r="BM235"/>
  <c r="BN235" s="1"/>
  <c r="BM234"/>
  <c r="BN234" s="1"/>
  <c r="BM233"/>
  <c r="BN233" s="1"/>
  <c r="BM232"/>
  <c r="BN232" s="1"/>
  <c r="BM231"/>
  <c r="BN231" s="1"/>
  <c r="BM230"/>
  <c r="BN230" s="1"/>
  <c r="BM229"/>
  <c r="BN229" s="1"/>
  <c r="BM228"/>
  <c r="BN228" s="1"/>
  <c r="BL241"/>
  <c r="BL240"/>
  <c r="BL239"/>
  <c r="BL238"/>
  <c r="BL237"/>
  <c r="BL236"/>
  <c r="BL235"/>
  <c r="BL234"/>
  <c r="BL233"/>
  <c r="BL232"/>
  <c r="BL231"/>
  <c r="BL230"/>
  <c r="BL229"/>
  <c r="BL228"/>
  <c r="I106" i="4"/>
  <c r="L106"/>
  <c r="O106"/>
  <c r="BU20" i="5" l="1"/>
  <c r="BW20" i="4"/>
  <c r="BX20" s="1"/>
  <c r="BU19" i="5"/>
  <c r="BW19" i="4"/>
  <c r="BX19" s="1"/>
  <c r="BH242"/>
  <c r="BL241"/>
  <c r="BL240"/>
  <c r="BL239"/>
  <c r="BL238"/>
  <c r="BL237"/>
  <c r="BL236"/>
  <c r="BL235"/>
  <c r="BL234"/>
  <c r="BL233"/>
  <c r="BL232"/>
  <c r="BL231"/>
  <c r="BL230"/>
  <c r="BL229"/>
  <c r="BL228"/>
  <c r="BL227"/>
  <c r="BL221"/>
  <c r="BL220"/>
  <c r="BL219"/>
  <c r="BL218"/>
  <c r="BL217"/>
  <c r="BL216"/>
  <c r="BL215"/>
  <c r="BL214"/>
  <c r="BL213"/>
  <c r="BL212"/>
  <c r="BL211"/>
  <c r="BL210"/>
  <c r="BL209"/>
  <c r="BL208"/>
  <c r="BL207"/>
  <c r="BL206"/>
  <c r="BL205"/>
  <c r="BL204"/>
  <c r="BL203"/>
  <c r="BL202"/>
  <c r="BL201"/>
  <c r="BL200"/>
  <c r="BL199"/>
  <c r="BL198"/>
  <c r="BL187"/>
  <c r="BL185"/>
  <c r="BL184"/>
  <c r="BL183"/>
  <c r="BL182"/>
  <c r="BL181"/>
  <c r="BL180"/>
  <c r="BU179" i="5"/>
  <c r="BL165" i="4"/>
  <c r="BU163" i="5"/>
  <c r="BL162" i="4"/>
  <c r="BL161"/>
  <c r="BL160"/>
  <c r="BL159"/>
  <c r="BL158"/>
  <c r="BL157"/>
  <c r="BL156"/>
  <c r="BL155"/>
  <c r="BL154"/>
  <c r="BL153"/>
  <c r="BL152"/>
  <c r="BL151"/>
  <c r="BW151" s="1"/>
  <c r="BX151" s="1"/>
  <c r="BL150"/>
  <c r="BL149"/>
  <c r="BL148"/>
  <c r="BL147"/>
  <c r="BL146"/>
  <c r="BL132"/>
  <c r="BL131"/>
  <c r="BL130"/>
  <c r="BL129"/>
  <c r="BL128"/>
  <c r="BL127"/>
  <c r="BL126"/>
  <c r="BL125"/>
  <c r="BL124"/>
  <c r="BL123"/>
  <c r="BL122"/>
  <c r="BL121"/>
  <c r="BL120"/>
  <c r="BL108"/>
  <c r="BL106"/>
  <c r="BL105"/>
  <c r="BL104"/>
  <c r="BL103"/>
  <c r="BL102"/>
  <c r="BL101"/>
  <c r="BL100"/>
  <c r="BL99"/>
  <c r="BL98"/>
  <c r="BW98" s="1"/>
  <c r="BX98" s="1"/>
  <c r="BL97"/>
  <c r="BW97" s="1"/>
  <c r="BX97" s="1"/>
  <c r="BL96"/>
  <c r="BW96" s="1"/>
  <c r="BX96" s="1"/>
  <c r="BL95"/>
  <c r="BW95" s="1"/>
  <c r="BX95" s="1"/>
  <c r="BL94"/>
  <c r="BW94" s="1"/>
  <c r="BX94" s="1"/>
  <c r="BL93"/>
  <c r="BL92"/>
  <c r="BL91"/>
  <c r="BL90"/>
  <c r="BL89"/>
  <c r="BW89" s="1"/>
  <c r="BX89" s="1"/>
  <c r="BL88"/>
  <c r="BW88" s="1"/>
  <c r="BX88" s="1"/>
  <c r="BL87"/>
  <c r="BL86"/>
  <c r="BW86" s="1"/>
  <c r="BX86" s="1"/>
  <c r="BL85"/>
  <c r="BW85" s="1"/>
  <c r="BX85" s="1"/>
  <c r="BL73"/>
  <c r="BL72"/>
  <c r="BL71"/>
  <c r="BL70"/>
  <c r="BL69"/>
  <c r="BL68"/>
  <c r="BL67"/>
  <c r="BL66"/>
  <c r="BL65"/>
  <c r="BL64"/>
  <c r="BL63"/>
  <c r="BL62"/>
  <c r="BL61"/>
  <c r="BL60"/>
  <c r="BL59"/>
  <c r="BL58"/>
  <c r="BL57"/>
  <c r="BL56"/>
  <c r="BL55"/>
  <c r="BL54"/>
  <c r="BL53"/>
  <c r="BL52"/>
  <c r="BL51"/>
  <c r="BL40"/>
  <c r="BL38"/>
  <c r="BL37"/>
  <c r="BL36"/>
  <c r="BL35"/>
  <c r="BU34" i="5"/>
  <c r="BL33" i="4"/>
  <c r="BL32"/>
  <c r="BL31"/>
  <c r="BL30"/>
  <c r="BL29"/>
  <c r="BL28"/>
  <c r="BL26"/>
  <c r="BL25"/>
  <c r="BU24" i="5"/>
  <c r="BL23" i="4"/>
  <c r="BL22"/>
  <c r="BL21"/>
  <c r="BL18"/>
  <c r="BL17"/>
  <c r="BL16"/>
  <c r="BL15"/>
  <c r="BL14"/>
  <c r="BU13" i="5"/>
  <c r="BL12" i="4"/>
  <c r="BL11"/>
  <c r="BU10" i="5"/>
  <c r="BL9" i="4"/>
  <c r="BL8"/>
  <c r="BU7" i="5"/>
  <c r="BL221"/>
  <c r="BM221" s="1"/>
  <c r="BL220"/>
  <c r="BL219"/>
  <c r="BL218"/>
  <c r="BL217"/>
  <c r="BL216"/>
  <c r="BL215"/>
  <c r="BL214"/>
  <c r="BL213"/>
  <c r="BL212"/>
  <c r="BL211"/>
  <c r="BL210"/>
  <c r="BL209"/>
  <c r="BL208"/>
  <c r="BL207"/>
  <c r="BL206"/>
  <c r="BL205"/>
  <c r="BL204"/>
  <c r="BL203"/>
  <c r="BL202"/>
  <c r="BL201"/>
  <c r="BL200"/>
  <c r="BL199"/>
  <c r="BL198"/>
  <c r="AR187" i="4"/>
  <c r="AS187" s="1"/>
  <c r="AR185"/>
  <c r="AS185" s="1"/>
  <c r="AR184"/>
  <c r="AS184" s="1"/>
  <c r="AS183"/>
  <c r="AS180"/>
  <c r="AQ166"/>
  <c r="AP166"/>
  <c r="AR165"/>
  <c r="AS165" s="1"/>
  <c r="AR163"/>
  <c r="AS163" s="1"/>
  <c r="AR162"/>
  <c r="AS162" s="1"/>
  <c r="AR161"/>
  <c r="AS161" s="1"/>
  <c r="AR160"/>
  <c r="AS160" s="1"/>
  <c r="AR159"/>
  <c r="AS159" s="1"/>
  <c r="AR158"/>
  <c r="AS158" s="1"/>
  <c r="AR157"/>
  <c r="AS157" s="1"/>
  <c r="AR156"/>
  <c r="AS156" s="1"/>
  <c r="AR155"/>
  <c r="AS155" s="1"/>
  <c r="AR154"/>
  <c r="AS154" s="1"/>
  <c r="AR153"/>
  <c r="AS153" s="1"/>
  <c r="AR152"/>
  <c r="AS152" s="1"/>
  <c r="AR151"/>
  <c r="AS151" s="1"/>
  <c r="AR150"/>
  <c r="AS150" s="1"/>
  <c r="AR149"/>
  <c r="AS149" s="1"/>
  <c r="AR148"/>
  <c r="AS148" s="1"/>
  <c r="AR147"/>
  <c r="AS147" s="1"/>
  <c r="AR146"/>
  <c r="AS146" s="1"/>
  <c r="AQ133"/>
  <c r="AP133"/>
  <c r="AR132"/>
  <c r="AS132" s="1"/>
  <c r="AR131"/>
  <c r="AS131" s="1"/>
  <c r="AR130"/>
  <c r="AS130" s="1"/>
  <c r="AR129"/>
  <c r="AS129" s="1"/>
  <c r="AR128"/>
  <c r="AS128" s="1"/>
  <c r="AR127"/>
  <c r="AS127" s="1"/>
  <c r="AR126"/>
  <c r="AS126" s="1"/>
  <c r="AR125"/>
  <c r="AS125" s="1"/>
  <c r="AR124"/>
  <c r="AS124" s="1"/>
  <c r="AR123"/>
  <c r="AS123" s="1"/>
  <c r="AR122"/>
  <c r="AS122" s="1"/>
  <c r="AR121"/>
  <c r="AS121" s="1"/>
  <c r="AR120"/>
  <c r="AS120" s="1"/>
  <c r="AQ109"/>
  <c r="AP109"/>
  <c r="AR108"/>
  <c r="AS108" s="1"/>
  <c r="AR106"/>
  <c r="AR105"/>
  <c r="AR104"/>
  <c r="AS104" s="1"/>
  <c r="AR103"/>
  <c r="AR102"/>
  <c r="AS102" s="1"/>
  <c r="AR101"/>
  <c r="AS101" s="1"/>
  <c r="AR100"/>
  <c r="AS100" s="1"/>
  <c r="AR99"/>
  <c r="AS99" s="1"/>
  <c r="AR98"/>
  <c r="AS98" s="1"/>
  <c r="AR97"/>
  <c r="AS97" s="1"/>
  <c r="AR96"/>
  <c r="AS96" s="1"/>
  <c r="AR95"/>
  <c r="AS95" s="1"/>
  <c r="AR94"/>
  <c r="AS94" s="1"/>
  <c r="AR93"/>
  <c r="AS93" s="1"/>
  <c r="AR92"/>
  <c r="AS92" s="1"/>
  <c r="AR91"/>
  <c r="AS91" s="1"/>
  <c r="AR90"/>
  <c r="AS90" s="1"/>
  <c r="AR89"/>
  <c r="AS89" s="1"/>
  <c r="AR88"/>
  <c r="AS88" s="1"/>
  <c r="AR87"/>
  <c r="AS87" s="1"/>
  <c r="AR86"/>
  <c r="AS86" s="1"/>
  <c r="AR85"/>
  <c r="AS85" s="1"/>
  <c r="AR73"/>
  <c r="AS73" s="1"/>
  <c r="AR72"/>
  <c r="AS72" s="1"/>
  <c r="AR71"/>
  <c r="AS71" s="1"/>
  <c r="AR70"/>
  <c r="AS70" s="1"/>
  <c r="AR69"/>
  <c r="AS69" s="1"/>
  <c r="AR68"/>
  <c r="AS68" s="1"/>
  <c r="AR67"/>
  <c r="AS67" s="1"/>
  <c r="AR66"/>
  <c r="AS66" s="1"/>
  <c r="AR65"/>
  <c r="AS65" s="1"/>
  <c r="AR64"/>
  <c r="AS64" s="1"/>
  <c r="AR63"/>
  <c r="AS63" s="1"/>
  <c r="AR62"/>
  <c r="AS62" s="1"/>
  <c r="AR61"/>
  <c r="AS61" s="1"/>
  <c r="AR60"/>
  <c r="AS60" s="1"/>
  <c r="AR59"/>
  <c r="AS59" s="1"/>
  <c r="AR58"/>
  <c r="AS58" s="1"/>
  <c r="AR57"/>
  <c r="AS57" s="1"/>
  <c r="AR56"/>
  <c r="AS56" s="1"/>
  <c r="AR55"/>
  <c r="AS55" s="1"/>
  <c r="AR54"/>
  <c r="AS54" s="1"/>
  <c r="AR53"/>
  <c r="AS53" s="1"/>
  <c r="AR52"/>
  <c r="AS52" s="1"/>
  <c r="AR51"/>
  <c r="AS51" s="1"/>
  <c r="AR38"/>
  <c r="AS38" s="1"/>
  <c r="AR37"/>
  <c r="AS37" s="1"/>
  <c r="AR36"/>
  <c r="AS36" s="1"/>
  <c r="AR35"/>
  <c r="AS35" s="1"/>
  <c r="AR34"/>
  <c r="AS34" s="1"/>
  <c r="AR33"/>
  <c r="AS33" s="1"/>
  <c r="AR32"/>
  <c r="AS32" s="1"/>
  <c r="AR31"/>
  <c r="AS31" s="1"/>
  <c r="AR30"/>
  <c r="AS30" s="1"/>
  <c r="AR29"/>
  <c r="AS29" s="1"/>
  <c r="AR28"/>
  <c r="AS28" s="1"/>
  <c r="AR27"/>
  <c r="AS27" s="1"/>
  <c r="BM27" s="1"/>
  <c r="AR26"/>
  <c r="AS26" s="1"/>
  <c r="AR25"/>
  <c r="AS25" s="1"/>
  <c r="AR24"/>
  <c r="AS24" s="1"/>
  <c r="AR23"/>
  <c r="AS23" s="1"/>
  <c r="AR22"/>
  <c r="AS22" s="1"/>
  <c r="AR21"/>
  <c r="AS21" s="1"/>
  <c r="AR20"/>
  <c r="AS20" s="1"/>
  <c r="AR19"/>
  <c r="AS19" s="1"/>
  <c r="AR18"/>
  <c r="AS18" s="1"/>
  <c r="AR17"/>
  <c r="AS17" s="1"/>
  <c r="AR16"/>
  <c r="AS16" s="1"/>
  <c r="AR15"/>
  <c r="AS15" s="1"/>
  <c r="AR14"/>
  <c r="AS14" s="1"/>
  <c r="AR13"/>
  <c r="AS13" s="1"/>
  <c r="AR12"/>
  <c r="AR11"/>
  <c r="AR10"/>
  <c r="AS10" s="1"/>
  <c r="AR9"/>
  <c r="AS9" s="1"/>
  <c r="AR8"/>
  <c r="AS8" s="1"/>
  <c r="AR7"/>
  <c r="AY163"/>
  <c r="BR163" i="5"/>
  <c r="BY163" s="1"/>
  <c r="BZ163" s="1"/>
  <c r="U146" i="4"/>
  <c r="R146"/>
  <c r="O146"/>
  <c r="L146"/>
  <c r="I146"/>
  <c r="F146"/>
  <c r="C146"/>
  <c r="B146"/>
  <c r="B146" i="5" s="1"/>
  <c r="M162" i="4"/>
  <c r="N162" s="1"/>
  <c r="M161"/>
  <c r="N161" s="1"/>
  <c r="J162"/>
  <c r="K162" s="1"/>
  <c r="J161"/>
  <c r="K161" s="1"/>
  <c r="G162"/>
  <c r="H162" s="1"/>
  <c r="G161"/>
  <c r="H161" s="1"/>
  <c r="D162"/>
  <c r="E162" s="1"/>
  <c r="D161"/>
  <c r="E161" s="1"/>
  <c r="D158"/>
  <c r="X150"/>
  <c r="U150"/>
  <c r="R150"/>
  <c r="O150"/>
  <c r="L150"/>
  <c r="I150"/>
  <c r="F150"/>
  <c r="C150"/>
  <c r="B150"/>
  <c r="G163"/>
  <c r="H163" s="1"/>
  <c r="D163"/>
  <c r="E163" s="1"/>
  <c r="M163"/>
  <c r="N163" s="1"/>
  <c r="J163"/>
  <c r="K163"/>
  <c r="S163"/>
  <c r="T163" s="1"/>
  <c r="V163"/>
  <c r="W163" s="1"/>
  <c r="P163"/>
  <c r="Q163" s="1"/>
  <c r="AS7" l="1"/>
  <c r="BM7" s="1"/>
  <c r="AS11"/>
  <c r="BL11" i="5" s="1"/>
  <c r="AS106" i="4"/>
  <c r="BL106" i="5" s="1"/>
  <c r="AS12" i="4"/>
  <c r="BL12" i="5" s="1"/>
  <c r="AS103" i="4"/>
  <c r="BL103" i="5" s="1"/>
  <c r="AS105" i="4"/>
  <c r="BL105" i="5" s="1"/>
  <c r="BU9"/>
  <c r="BW9" i="4"/>
  <c r="BX9" s="1"/>
  <c r="BU11" i="5"/>
  <c r="BW11" i="4"/>
  <c r="BX11" s="1"/>
  <c r="BU15" i="5"/>
  <c r="BW15" i="4"/>
  <c r="BX15" s="1"/>
  <c r="BU17" i="5"/>
  <c r="BW17" i="4"/>
  <c r="BX17" s="1"/>
  <c r="BU21" i="5"/>
  <c r="BW21" i="4"/>
  <c r="BX21" s="1"/>
  <c r="BU23" i="5"/>
  <c r="BW23" i="4"/>
  <c r="BX23" s="1"/>
  <c r="BU25" i="5"/>
  <c r="BW25" i="4"/>
  <c r="BX25" s="1"/>
  <c r="BU27" i="5"/>
  <c r="BW27" i="4"/>
  <c r="BX27" s="1"/>
  <c r="BU29" i="5"/>
  <c r="BW29" i="4"/>
  <c r="BX29" s="1"/>
  <c r="BU31" i="5"/>
  <c r="BW31" i="4"/>
  <c r="BX31" s="1"/>
  <c r="BU33" i="5"/>
  <c r="BW33" i="4"/>
  <c r="BX33" s="1"/>
  <c r="BU35" i="5"/>
  <c r="BW35" i="4"/>
  <c r="BX35" s="1"/>
  <c r="BU37" i="5"/>
  <c r="BW37" i="4"/>
  <c r="BX37" s="1"/>
  <c r="BU40" i="5"/>
  <c r="BW40" i="4"/>
  <c r="BX40" s="1"/>
  <c r="BU52" i="5"/>
  <c r="BW52" i="4"/>
  <c r="BX52" s="1"/>
  <c r="BU54" i="5"/>
  <c r="BW54" i="4"/>
  <c r="BX54" s="1"/>
  <c r="BU56" i="5"/>
  <c r="BW56" i="4"/>
  <c r="BX56" s="1"/>
  <c r="BU58" i="5"/>
  <c r="BW58" i="4"/>
  <c r="BX58" s="1"/>
  <c r="BU60" i="5"/>
  <c r="BW60" i="4"/>
  <c r="BX60" s="1"/>
  <c r="BU62" i="5"/>
  <c r="BW62" i="4"/>
  <c r="BX62" s="1"/>
  <c r="BU64" i="5"/>
  <c r="BW64" i="4"/>
  <c r="BX64" s="1"/>
  <c r="BU66" i="5"/>
  <c r="BW66" i="4"/>
  <c r="BX66" s="1"/>
  <c r="BU68" i="5"/>
  <c r="BW68" i="4"/>
  <c r="BX68" s="1"/>
  <c r="BU70" i="5"/>
  <c r="BW70" i="4"/>
  <c r="BX70" s="1"/>
  <c r="BU72" i="5"/>
  <c r="BW72" i="4"/>
  <c r="BX72" s="1"/>
  <c r="BU87" i="5"/>
  <c r="BW87" i="4"/>
  <c r="BX87" s="1"/>
  <c r="BU91" i="5"/>
  <c r="BW91" i="4"/>
  <c r="BX91" s="1"/>
  <c r="BU93" i="5"/>
  <c r="BW93" i="4"/>
  <c r="BX93" s="1"/>
  <c r="BU99" i="5"/>
  <c r="BW99" i="4"/>
  <c r="BX99" s="1"/>
  <c r="BU101" i="5"/>
  <c r="BW101" i="4"/>
  <c r="BX101" s="1"/>
  <c r="BU103" i="5"/>
  <c r="BW103" i="4"/>
  <c r="BX103" s="1"/>
  <c r="BU105" i="5"/>
  <c r="BW105" i="4"/>
  <c r="BX105" s="1"/>
  <c r="BU108" i="5"/>
  <c r="BW108" i="4"/>
  <c r="BX108" s="1"/>
  <c r="BU121" i="5"/>
  <c r="BW121" i="4"/>
  <c r="BX121" s="1"/>
  <c r="BU123" i="5"/>
  <c r="BW123" i="4"/>
  <c r="BX123" s="1"/>
  <c r="BU125" i="5"/>
  <c r="BW125" i="4"/>
  <c r="BX125" s="1"/>
  <c r="BU127" i="5"/>
  <c r="BW127" i="4"/>
  <c r="BX127" s="1"/>
  <c r="BU129" i="5"/>
  <c r="BW129" i="4"/>
  <c r="BX129" s="1"/>
  <c r="BU131" i="5"/>
  <c r="BW131" i="4"/>
  <c r="BX131" s="1"/>
  <c r="BU146" i="5"/>
  <c r="BW146" i="4"/>
  <c r="BX146" s="1"/>
  <c r="BU148" i="5"/>
  <c r="BW148" i="4"/>
  <c r="BX148" s="1"/>
  <c r="BU150" i="5"/>
  <c r="BW150" i="4"/>
  <c r="BX150" s="1"/>
  <c r="BU152" i="5"/>
  <c r="BW152" i="4"/>
  <c r="BX152" s="1"/>
  <c r="BU154" i="5"/>
  <c r="BW154" i="4"/>
  <c r="BX154" s="1"/>
  <c r="BU156" i="5"/>
  <c r="BW156" i="4"/>
  <c r="BX156" s="1"/>
  <c r="BU158" i="5"/>
  <c r="BW158" i="4"/>
  <c r="BX158" s="1"/>
  <c r="BU160" i="5"/>
  <c r="BW160" i="4"/>
  <c r="BX160" s="1"/>
  <c r="BU162" i="5"/>
  <c r="BW162" i="4"/>
  <c r="BX162" s="1"/>
  <c r="BU164" i="5"/>
  <c r="BW165" i="4"/>
  <c r="BX165" s="1"/>
  <c r="BU180" i="5"/>
  <c r="BW180" i="4"/>
  <c r="BX180" s="1"/>
  <c r="BU182" i="5"/>
  <c r="BW182" i="4"/>
  <c r="BX182" s="1"/>
  <c r="BU184" i="5"/>
  <c r="BW184" i="4"/>
  <c r="BX184" s="1"/>
  <c r="BU187" i="5"/>
  <c r="BW187" i="4"/>
  <c r="BX187" s="1"/>
  <c r="BU199" i="5"/>
  <c r="BW199" i="4"/>
  <c r="BX199" s="1"/>
  <c r="BU201" i="5"/>
  <c r="BW201" i="4"/>
  <c r="BX201" s="1"/>
  <c r="BU203" i="5"/>
  <c r="BW203" i="4"/>
  <c r="BX203" s="1"/>
  <c r="BU205" i="5"/>
  <c r="BW205" i="4"/>
  <c r="BX205" s="1"/>
  <c r="BU207" i="5"/>
  <c r="BW207" i="4"/>
  <c r="BX207" s="1"/>
  <c r="BU209" i="5"/>
  <c r="BW209" i="4"/>
  <c r="BX209" s="1"/>
  <c r="BU211" i="5"/>
  <c r="BW211" i="4"/>
  <c r="BX211" s="1"/>
  <c r="BU213" i="5"/>
  <c r="BW213" i="4"/>
  <c r="BX213" s="1"/>
  <c r="BU215" i="5"/>
  <c r="BW215" i="4"/>
  <c r="BX215" s="1"/>
  <c r="BU217" i="5"/>
  <c r="BW217" i="4"/>
  <c r="BX217" s="1"/>
  <c r="BU219" i="5"/>
  <c r="BW219" i="4"/>
  <c r="BX219" s="1"/>
  <c r="BU221" i="5"/>
  <c r="BW221" i="4"/>
  <c r="BX221" s="1"/>
  <c r="BU228" i="5"/>
  <c r="BW228" i="4"/>
  <c r="BX228" s="1"/>
  <c r="BU230" i="5"/>
  <c r="BW230" i="4"/>
  <c r="BX230" s="1"/>
  <c r="BU232" i="5"/>
  <c r="BW232" i="4"/>
  <c r="BX232" s="1"/>
  <c r="BU234" i="5"/>
  <c r="BW234" i="4"/>
  <c r="BX234" s="1"/>
  <c r="BU236" i="5"/>
  <c r="BW236" i="4"/>
  <c r="BX236" s="1"/>
  <c r="BU238" i="5"/>
  <c r="BW238" i="4"/>
  <c r="BX238" s="1"/>
  <c r="BU240" i="5"/>
  <c r="BW240" i="4"/>
  <c r="BX240" s="1"/>
  <c r="BU8" i="5"/>
  <c r="BW8" i="4"/>
  <c r="BX8" s="1"/>
  <c r="BU12" i="5"/>
  <c r="BW12" i="4"/>
  <c r="BX12" s="1"/>
  <c r="BU14" i="5"/>
  <c r="BW14" i="4"/>
  <c r="BX14" s="1"/>
  <c r="BU16" i="5"/>
  <c r="BW16" i="4"/>
  <c r="BX16" s="1"/>
  <c r="BU18" i="5"/>
  <c r="BW18" i="4"/>
  <c r="BX18" s="1"/>
  <c r="BU22" i="5"/>
  <c r="BW22" i="4"/>
  <c r="BX22" s="1"/>
  <c r="BU26" i="5"/>
  <c r="BW26" i="4"/>
  <c r="BX26" s="1"/>
  <c r="BU28" i="5"/>
  <c r="BW28" i="4"/>
  <c r="BX28" s="1"/>
  <c r="BU30" i="5"/>
  <c r="BW30" i="4"/>
  <c r="BX30" s="1"/>
  <c r="BU32" i="5"/>
  <c r="BW32" i="4"/>
  <c r="BX32" s="1"/>
  <c r="BU36" i="5"/>
  <c r="BW36" i="4"/>
  <c r="BX36" s="1"/>
  <c r="BU38" i="5"/>
  <c r="BW38" i="4"/>
  <c r="BX38" s="1"/>
  <c r="BU51" i="5"/>
  <c r="BW51" i="4"/>
  <c r="BX51" s="1"/>
  <c r="BU53" i="5"/>
  <c r="BW53" i="4"/>
  <c r="BX53" s="1"/>
  <c r="BU55" i="5"/>
  <c r="BW55" i="4"/>
  <c r="BX55" s="1"/>
  <c r="BU57" i="5"/>
  <c r="BW57" i="4"/>
  <c r="BX57" s="1"/>
  <c r="BU59" i="5"/>
  <c r="BW59" i="4"/>
  <c r="BX59" s="1"/>
  <c r="BU61" i="5"/>
  <c r="BW61" i="4"/>
  <c r="BX61" s="1"/>
  <c r="BU63" i="5"/>
  <c r="BW63" i="4"/>
  <c r="BX63" s="1"/>
  <c r="BU65" i="5"/>
  <c r="BW65" i="4"/>
  <c r="BX65" s="1"/>
  <c r="BU67" i="5"/>
  <c r="BW67" i="4"/>
  <c r="BX67" s="1"/>
  <c r="BU69" i="5"/>
  <c r="BW69" i="4"/>
  <c r="BX69" s="1"/>
  <c r="BU71" i="5"/>
  <c r="BW71" i="4"/>
  <c r="BX71" s="1"/>
  <c r="BU73" i="5"/>
  <c r="BW73" i="4"/>
  <c r="BX73" s="1"/>
  <c r="BU90" i="5"/>
  <c r="BW90" i="4"/>
  <c r="BX90" s="1"/>
  <c r="BU92" i="5"/>
  <c r="BW92" i="4"/>
  <c r="BX92" s="1"/>
  <c r="BU100" i="5"/>
  <c r="BW100" i="4"/>
  <c r="BX100" s="1"/>
  <c r="BU102" i="5"/>
  <c r="BW102" i="4"/>
  <c r="BX102" s="1"/>
  <c r="BU104" i="5"/>
  <c r="BW104" i="4"/>
  <c r="BX104" s="1"/>
  <c r="BU106" i="5"/>
  <c r="BW106" i="4"/>
  <c r="BX106" s="1"/>
  <c r="BU120" i="5"/>
  <c r="BW120" i="4"/>
  <c r="BX120" s="1"/>
  <c r="BU122" i="5"/>
  <c r="BW122" i="4"/>
  <c r="BX122" s="1"/>
  <c r="BU124" i="5"/>
  <c r="BW124" i="4"/>
  <c r="BX124" s="1"/>
  <c r="BU126" i="5"/>
  <c r="BW126" i="4"/>
  <c r="BX126" s="1"/>
  <c r="BU128" i="5"/>
  <c r="BW128" i="4"/>
  <c r="BX128" s="1"/>
  <c r="BU130" i="5"/>
  <c r="BW130" i="4"/>
  <c r="BX130" s="1"/>
  <c r="BU132" i="5"/>
  <c r="BW132" i="4"/>
  <c r="BX132" s="1"/>
  <c r="BU147" i="5"/>
  <c r="BW147" i="4"/>
  <c r="BX147" s="1"/>
  <c r="BU149" i="5"/>
  <c r="BW149" i="4"/>
  <c r="BX149" s="1"/>
  <c r="BU153" i="5"/>
  <c r="BW153" i="4"/>
  <c r="BX153" s="1"/>
  <c r="BU155" i="5"/>
  <c r="BW155" i="4"/>
  <c r="BX155" s="1"/>
  <c r="BU157" i="5"/>
  <c r="BW157" i="4"/>
  <c r="BX157" s="1"/>
  <c r="BU159" i="5"/>
  <c r="BW159" i="4"/>
  <c r="BX159" s="1"/>
  <c r="BU161" i="5"/>
  <c r="BW161" i="4"/>
  <c r="BX161" s="1"/>
  <c r="BU181" i="5"/>
  <c r="BW181" i="4"/>
  <c r="BX181" s="1"/>
  <c r="BU183" i="5"/>
  <c r="BW183" i="4"/>
  <c r="BX183" s="1"/>
  <c r="BU185" i="5"/>
  <c r="BW185" i="4"/>
  <c r="BX185" s="1"/>
  <c r="BU198" i="5"/>
  <c r="BW198" i="4"/>
  <c r="BX198" s="1"/>
  <c r="BU200" i="5"/>
  <c r="BW200" i="4"/>
  <c r="BX200" s="1"/>
  <c r="BU202" i="5"/>
  <c r="BW202" i="4"/>
  <c r="BX202" s="1"/>
  <c r="BU204" i="5"/>
  <c r="BW204" i="4"/>
  <c r="BX204" s="1"/>
  <c r="BU206" i="5"/>
  <c r="BW206" i="4"/>
  <c r="BX206" s="1"/>
  <c r="BU208" i="5"/>
  <c r="BW208" i="4"/>
  <c r="BX208" s="1"/>
  <c r="BU210" i="5"/>
  <c r="BW210" i="4"/>
  <c r="BX210" s="1"/>
  <c r="BU212" i="5"/>
  <c r="BW212" i="4"/>
  <c r="BX212" s="1"/>
  <c r="BU214" i="5"/>
  <c r="BW214" i="4"/>
  <c r="BX214" s="1"/>
  <c r="BU216" i="5"/>
  <c r="BW216" i="4"/>
  <c r="BX216" s="1"/>
  <c r="BU218" i="5"/>
  <c r="BW218" i="4"/>
  <c r="BX218" s="1"/>
  <c r="BU220" i="5"/>
  <c r="BW220" i="4"/>
  <c r="BX220" s="1"/>
  <c r="BM227"/>
  <c r="BP227" s="1"/>
  <c r="BW227"/>
  <c r="BX227" s="1"/>
  <c r="BU229" i="5"/>
  <c r="BW229" i="4"/>
  <c r="BX229" s="1"/>
  <c r="BU231" i="5"/>
  <c r="BW231" i="4"/>
  <c r="BX231" s="1"/>
  <c r="BU233" i="5"/>
  <c r="BW233" i="4"/>
  <c r="BX233" s="1"/>
  <c r="BU235" i="5"/>
  <c r="BW235" i="4"/>
  <c r="BX235" s="1"/>
  <c r="BU237" i="5"/>
  <c r="BW237" i="4"/>
  <c r="BX237" s="1"/>
  <c r="BU239" i="5"/>
  <c r="BW239" i="4"/>
  <c r="BX239" s="1"/>
  <c r="BU241" i="5"/>
  <c r="BW241" i="4"/>
  <c r="BX241" s="1"/>
  <c r="BV215" i="5"/>
  <c r="BL222"/>
  <c r="BL8"/>
  <c r="AT8" i="4"/>
  <c r="BL9" i="5"/>
  <c r="AT9" i="4"/>
  <c r="BL10" i="5"/>
  <c r="BL13"/>
  <c r="AT13" i="4"/>
  <c r="BL14" i="5"/>
  <c r="AT14" i="4"/>
  <c r="BL15" i="5"/>
  <c r="AT15" i="4"/>
  <c r="BL16" i="5"/>
  <c r="AT16" i="4"/>
  <c r="BL17" i="5"/>
  <c r="AT17" i="4"/>
  <c r="BL18" i="5"/>
  <c r="AT18" i="4"/>
  <c r="BL19" i="5"/>
  <c r="BM19" i="4"/>
  <c r="BP19" s="1"/>
  <c r="AT19"/>
  <c r="BL20" i="5"/>
  <c r="BM20" i="4"/>
  <c r="BP20" s="1"/>
  <c r="AT20"/>
  <c r="BL21" i="5"/>
  <c r="AT21" i="4"/>
  <c r="BL22" i="5"/>
  <c r="AT22" i="4"/>
  <c r="BL23" i="5"/>
  <c r="AT23" i="4"/>
  <c r="BL24" i="5"/>
  <c r="AT24" i="4"/>
  <c r="BL25" i="5"/>
  <c r="AT25" i="4"/>
  <c r="BL26" i="5"/>
  <c r="AT26" i="4"/>
  <c r="BL27" i="5"/>
  <c r="AT27" i="4"/>
  <c r="BL28" i="5"/>
  <c r="AT28" i="4"/>
  <c r="BL29" i="5"/>
  <c r="AT29" i="4"/>
  <c r="BL30" i="5"/>
  <c r="AT30" i="4"/>
  <c r="BL31" i="5"/>
  <c r="AT31" i="4"/>
  <c r="BL32" i="5"/>
  <c r="AT32" i="4"/>
  <c r="BL33" i="5"/>
  <c r="AT33" i="4"/>
  <c r="BL34" i="5"/>
  <c r="AT34" i="4"/>
  <c r="BL35" i="5"/>
  <c r="AT35" i="4"/>
  <c r="BL36" i="5"/>
  <c r="AT36" i="4"/>
  <c r="BL37" i="5"/>
  <c r="AT37" i="4"/>
  <c r="BL38" i="5"/>
  <c r="AT38" i="4"/>
  <c r="BL51" i="5"/>
  <c r="AT51" i="4"/>
  <c r="BL52" i="5"/>
  <c r="AT52" i="4"/>
  <c r="BL53" i="5"/>
  <c r="AT53" i="4"/>
  <c r="BL54" i="5"/>
  <c r="AT54" i="4"/>
  <c r="BL55" i="5"/>
  <c r="AT55" i="4"/>
  <c r="BL56" i="5"/>
  <c r="AT56" i="4"/>
  <c r="BL57" i="5"/>
  <c r="AT57" i="4"/>
  <c r="BL58" i="5"/>
  <c r="AT58" i="4"/>
  <c r="BL59" i="5"/>
  <c r="AT59" i="4"/>
  <c r="BL60" i="5"/>
  <c r="AT60" i="4"/>
  <c r="BL61" i="5"/>
  <c r="AT61" i="4"/>
  <c r="BL62" i="5"/>
  <c r="AT62" i="4"/>
  <c r="BL63" i="5"/>
  <c r="AT63" i="4"/>
  <c r="BL64" i="5"/>
  <c r="AT64" i="4"/>
  <c r="BL65" i="5"/>
  <c r="AT65" i="4"/>
  <c r="BL66" i="5"/>
  <c r="AT66" i="4"/>
  <c r="BL67" i="5"/>
  <c r="AT67" i="4"/>
  <c r="BL68" i="5"/>
  <c r="AT68" i="4"/>
  <c r="BL69" i="5"/>
  <c r="AT69" i="4"/>
  <c r="BL70" i="5"/>
  <c r="AT70" i="4"/>
  <c r="BL71" i="5"/>
  <c r="AT71" i="4"/>
  <c r="BL72" i="5"/>
  <c r="AT72" i="4"/>
  <c r="BL73" i="5"/>
  <c r="AT73" i="4"/>
  <c r="BL85" i="5"/>
  <c r="AT85" i="4"/>
  <c r="BL86" i="5"/>
  <c r="AT86" i="4"/>
  <c r="BL87" i="5"/>
  <c r="AT87" i="4"/>
  <c r="BL88" i="5"/>
  <c r="AT88" i="4"/>
  <c r="BL89" i="5"/>
  <c r="AT89" i="4"/>
  <c r="BL90" i="5"/>
  <c r="AT90" i="4"/>
  <c r="BL91" i="5"/>
  <c r="BM91" s="1"/>
  <c r="AT91" i="4"/>
  <c r="BL92" i="5"/>
  <c r="AT92" i="4"/>
  <c r="BL93" i="5"/>
  <c r="AT93" i="4"/>
  <c r="BL94" i="5"/>
  <c r="AT94" i="4"/>
  <c r="BL95" i="5"/>
  <c r="AT95" i="4"/>
  <c r="BL96" i="5"/>
  <c r="AT96" i="4"/>
  <c r="BL97" i="5"/>
  <c r="AT97" i="4"/>
  <c r="BL98" i="5"/>
  <c r="AT98" i="4"/>
  <c r="BL99" i="5"/>
  <c r="AT99" i="4"/>
  <c r="BL100" i="5"/>
  <c r="AT100" i="4"/>
  <c r="BL101" i="5"/>
  <c r="AT101" i="4"/>
  <c r="AT102"/>
  <c r="BL102" i="5"/>
  <c r="BL7"/>
  <c r="BV7" s="1"/>
  <c r="AT7" i="4"/>
  <c r="AU7" s="1"/>
  <c r="BL104" i="5"/>
  <c r="BL108"/>
  <c r="AT108" i="4"/>
  <c r="BL120" i="5"/>
  <c r="AT120" i="4"/>
  <c r="BL121" i="5"/>
  <c r="AT121" i="4"/>
  <c r="BL122" i="5"/>
  <c r="AT122" i="4"/>
  <c r="BL123" i="5"/>
  <c r="AT123" i="4"/>
  <c r="BL124" i="5"/>
  <c r="AT124" i="4"/>
  <c r="BL125" i="5"/>
  <c r="AT125" i="4"/>
  <c r="BL126" i="5"/>
  <c r="AT126" i="4"/>
  <c r="BL127" i="5"/>
  <c r="AT127" i="4"/>
  <c r="BL128" i="5"/>
  <c r="BM128" s="1"/>
  <c r="AT128" i="4"/>
  <c r="BL129" i="5"/>
  <c r="AT129" i="4"/>
  <c r="BL130" i="5"/>
  <c r="AT130" i="4"/>
  <c r="BL131" i="5"/>
  <c r="AT131" i="4"/>
  <c r="BL132" i="5"/>
  <c r="AT132" i="4"/>
  <c r="BL146" i="5"/>
  <c r="AT146" i="4"/>
  <c r="BL147" i="5"/>
  <c r="AT147" i="4"/>
  <c r="BL148" i="5"/>
  <c r="AT148" i="4"/>
  <c r="BL149" i="5"/>
  <c r="AT149" i="4"/>
  <c r="BL150" i="5"/>
  <c r="AT150" i="4"/>
  <c r="BL151" i="5"/>
  <c r="AT151" i="4"/>
  <c r="BL152" i="5"/>
  <c r="AT152" i="4"/>
  <c r="BL153" i="5"/>
  <c r="AT153" i="4"/>
  <c r="BL154" i="5"/>
  <c r="AT154" i="4"/>
  <c r="BL155" i="5"/>
  <c r="AT155" i="4"/>
  <c r="BL156" i="5"/>
  <c r="AT156" i="4"/>
  <c r="BL157" i="5"/>
  <c r="AT157" i="4"/>
  <c r="BL158" i="5"/>
  <c r="AT158" i="4"/>
  <c r="BL159" i="5"/>
  <c r="AT159" i="4"/>
  <c r="BL160" i="5"/>
  <c r="AT160" i="4"/>
  <c r="BL161" i="5"/>
  <c r="AT161" i="4"/>
  <c r="BL162" i="5"/>
  <c r="AT162" i="4"/>
  <c r="BL163" i="5"/>
  <c r="AT163" i="4"/>
  <c r="BL164" i="5"/>
  <c r="AT165" i="4"/>
  <c r="BL179" i="5"/>
  <c r="AT179" i="4"/>
  <c r="BL180" i="5"/>
  <c r="AT180" i="4"/>
  <c r="BL183" i="5"/>
  <c r="AT183" i="4"/>
  <c r="BL184" i="5"/>
  <c r="AT184" i="4"/>
  <c r="BL185" i="5"/>
  <c r="AT185" i="4"/>
  <c r="BL187" i="5"/>
  <c r="AT187" i="4"/>
  <c r="BL40" i="5"/>
  <c r="AT40" i="4"/>
  <c r="AR41"/>
  <c r="AS41" s="1"/>
  <c r="AR109"/>
  <c r="AS109" s="1"/>
  <c r="AR133"/>
  <c r="AS133" s="1"/>
  <c r="AR166"/>
  <c r="AS166" s="1"/>
  <c r="BM85"/>
  <c r="BU85" i="5"/>
  <c r="BM86" i="4"/>
  <c r="BU86" i="5"/>
  <c r="BM88" i="4"/>
  <c r="BU88" i="5"/>
  <c r="BM89" i="4"/>
  <c r="BU89" i="5"/>
  <c r="BM94" i="4"/>
  <c r="BU94" i="5"/>
  <c r="BM95" i="4"/>
  <c r="BU95" i="5"/>
  <c r="BM96" i="4"/>
  <c r="BU96" i="5"/>
  <c r="BM97" i="4"/>
  <c r="BU97" i="5"/>
  <c r="BM98" i="4"/>
  <c r="BU98" i="5"/>
  <c r="AT198" i="4"/>
  <c r="AT199"/>
  <c r="AT200"/>
  <c r="AT201"/>
  <c r="AT202"/>
  <c r="AT203"/>
  <c r="AT204"/>
  <c r="AT205"/>
  <c r="AT206"/>
  <c r="AT207"/>
  <c r="AT208"/>
  <c r="AT209"/>
  <c r="AT210"/>
  <c r="AT211"/>
  <c r="AT212"/>
  <c r="AT213"/>
  <c r="AT214"/>
  <c r="AT215"/>
  <c r="AT216"/>
  <c r="AT217"/>
  <c r="AT218"/>
  <c r="AT219"/>
  <c r="AT220"/>
  <c r="AT221"/>
  <c r="BM73"/>
  <c r="BM87"/>
  <c r="BM90"/>
  <c r="BM91"/>
  <c r="BM92"/>
  <c r="BM93"/>
  <c r="BM99"/>
  <c r="BM100"/>
  <c r="BM101"/>
  <c r="BM104"/>
  <c r="BM108"/>
  <c r="BM120"/>
  <c r="BM121"/>
  <c r="BM122"/>
  <c r="BM123"/>
  <c r="BM124"/>
  <c r="BM125"/>
  <c r="BM126"/>
  <c r="BM127"/>
  <c r="BM128"/>
  <c r="BM129"/>
  <c r="BM130"/>
  <c r="BM131"/>
  <c r="BM132"/>
  <c r="BM146"/>
  <c r="BM147"/>
  <c r="BM148"/>
  <c r="BM149"/>
  <c r="BM150"/>
  <c r="BM153"/>
  <c r="BM154"/>
  <c r="BM157"/>
  <c r="BM158"/>
  <c r="BM162"/>
  <c r="BM163"/>
  <c r="BM165"/>
  <c r="BM179"/>
  <c r="BM180"/>
  <c r="BM183"/>
  <c r="BM184"/>
  <c r="BM185"/>
  <c r="BM187"/>
  <c r="BM198"/>
  <c r="BM199"/>
  <c r="BM200"/>
  <c r="BM201"/>
  <c r="BM202"/>
  <c r="BM203"/>
  <c r="BM204"/>
  <c r="BM205"/>
  <c r="BM206"/>
  <c r="BM207"/>
  <c r="BM208"/>
  <c r="BM209"/>
  <c r="BM210"/>
  <c r="BM211"/>
  <c r="BM212"/>
  <c r="BM213"/>
  <c r="BM214"/>
  <c r="BM215"/>
  <c r="BM216"/>
  <c r="BM217"/>
  <c r="BM218"/>
  <c r="BM219"/>
  <c r="BM220"/>
  <c r="BM221"/>
  <c r="BM228"/>
  <c r="BM229"/>
  <c r="BM230"/>
  <c r="BM231"/>
  <c r="BM232"/>
  <c r="BM233"/>
  <c r="BM234"/>
  <c r="BM235"/>
  <c r="BM236"/>
  <c r="BM237"/>
  <c r="BM238"/>
  <c r="BM239"/>
  <c r="BM240"/>
  <c r="BM241"/>
  <c r="BM8"/>
  <c r="BM10"/>
  <c r="BM14"/>
  <c r="BM16"/>
  <c r="BM18"/>
  <c r="BM22"/>
  <c r="BM24"/>
  <c r="BM26"/>
  <c r="BM28"/>
  <c r="BM30"/>
  <c r="BM32"/>
  <c r="BM34"/>
  <c r="BM36"/>
  <c r="BM38"/>
  <c r="BP38" s="1"/>
  <c r="BM51"/>
  <c r="BM53"/>
  <c r="BM55"/>
  <c r="BM57"/>
  <c r="BM59"/>
  <c r="BM61"/>
  <c r="BM63"/>
  <c r="BM65"/>
  <c r="BM67"/>
  <c r="BM69"/>
  <c r="BM71"/>
  <c r="BM9"/>
  <c r="BM13"/>
  <c r="BM15"/>
  <c r="BM17"/>
  <c r="BM21"/>
  <c r="BM23"/>
  <c r="BM25"/>
  <c r="BM29"/>
  <c r="BM31"/>
  <c r="BM33"/>
  <c r="BM35"/>
  <c r="BM37"/>
  <c r="BM40"/>
  <c r="BM52"/>
  <c r="BM54"/>
  <c r="BM56"/>
  <c r="BM58"/>
  <c r="BM60"/>
  <c r="BM62"/>
  <c r="BM64"/>
  <c r="BM66"/>
  <c r="BM68"/>
  <c r="BM70"/>
  <c r="BM72"/>
  <c r="BM161"/>
  <c r="BM160"/>
  <c r="BM159"/>
  <c r="BM156"/>
  <c r="BM155"/>
  <c r="BM152"/>
  <c r="BM151"/>
  <c r="BU151" i="5"/>
  <c r="AT105" i="4"/>
  <c r="BM105"/>
  <c r="BM103"/>
  <c r="AT103"/>
  <c r="AT106"/>
  <c r="AT11"/>
  <c r="BM12"/>
  <c r="AT12"/>
  <c r="BM11"/>
  <c r="BM102"/>
  <c r="BM106"/>
  <c r="BF163"/>
  <c r="BG163" s="1"/>
  <c r="D150"/>
  <c r="AG106"/>
  <c r="AH106" s="1"/>
  <c r="AY202"/>
  <c r="AZ202" s="1"/>
  <c r="AY214"/>
  <c r="AF104"/>
  <c r="AF104" i="5" s="1"/>
  <c r="AF10" i="4"/>
  <c r="AT10" s="1"/>
  <c r="AD10"/>
  <c r="AA10"/>
  <c r="X10"/>
  <c r="X41" s="1"/>
  <c r="X41" i="5" s="1"/>
  <c r="U51" i="4"/>
  <c r="R51"/>
  <c r="R51" i="5" s="1"/>
  <c r="L68" i="4"/>
  <c r="P68" s="1"/>
  <c r="U18"/>
  <c r="R18"/>
  <c r="R18" i="5" s="1"/>
  <c r="O18" i="4"/>
  <c r="O18" i="5" s="1"/>
  <c r="L18" i="4"/>
  <c r="I18"/>
  <c r="F18"/>
  <c r="F17" i="5" s="1"/>
  <c r="M16" i="4"/>
  <c r="N16" s="1"/>
  <c r="I15"/>
  <c r="AY198"/>
  <c r="BE222"/>
  <c r="AX222"/>
  <c r="AH17" i="2" s="1"/>
  <c r="AH17" i="3" s="1"/>
  <c r="AF222" i="4"/>
  <c r="AE17" i="2" s="1"/>
  <c r="AE17" i="3" s="1"/>
  <c r="BE188" i="4"/>
  <c r="AX188"/>
  <c r="BO188" i="5" s="1"/>
  <c r="AF188" i="4"/>
  <c r="BL166"/>
  <c r="AX166"/>
  <c r="BO166" i="5" s="1"/>
  <c r="AF166" i="4"/>
  <c r="AE15" i="2" s="1"/>
  <c r="AE15" i="3" s="1"/>
  <c r="BE133" i="4"/>
  <c r="AX133"/>
  <c r="AF133"/>
  <c r="AE14" i="2" s="1"/>
  <c r="AE14" i="3" s="1"/>
  <c r="BE109" i="4"/>
  <c r="AX109"/>
  <c r="BO109" i="5" s="1"/>
  <c r="AX74" i="4"/>
  <c r="BE74"/>
  <c r="AF74"/>
  <c r="AE12" i="2" s="1"/>
  <c r="AE12" i="3" s="1"/>
  <c r="AX41" i="4"/>
  <c r="BE41"/>
  <c r="AA41"/>
  <c r="U41"/>
  <c r="U41" i="5" s="1"/>
  <c r="R41" i="4"/>
  <c r="O41"/>
  <c r="L41"/>
  <c r="L41" i="5" s="1"/>
  <c r="B7"/>
  <c r="BP242"/>
  <c r="BQ242" s="1"/>
  <c r="BP241"/>
  <c r="BQ241" s="1"/>
  <c r="BP240"/>
  <c r="BQ240" s="1"/>
  <c r="BP239"/>
  <c r="BQ239" s="1"/>
  <c r="BP238"/>
  <c r="BQ238" s="1"/>
  <c r="BP237"/>
  <c r="BQ237" s="1"/>
  <c r="BP236"/>
  <c r="BQ236" s="1"/>
  <c r="BP235"/>
  <c r="BQ235" s="1"/>
  <c r="BP234"/>
  <c r="BQ234" s="1"/>
  <c r="BP233"/>
  <c r="BQ233" s="1"/>
  <c r="BP232"/>
  <c r="BQ232" s="1"/>
  <c r="BP231"/>
  <c r="BQ231" s="1"/>
  <c r="BP230"/>
  <c r="BQ230" s="1"/>
  <c r="BP229"/>
  <c r="BQ229" s="1"/>
  <c r="BP228"/>
  <c r="BQ228" s="1"/>
  <c r="BR242"/>
  <c r="BY242" s="1"/>
  <c r="BZ242" s="1"/>
  <c r="BR241"/>
  <c r="BY241" s="1"/>
  <c r="BZ241" s="1"/>
  <c r="BR240"/>
  <c r="BY240" s="1"/>
  <c r="BZ240" s="1"/>
  <c r="BR239"/>
  <c r="BY239" s="1"/>
  <c r="BZ239" s="1"/>
  <c r="BR238"/>
  <c r="BY238" s="1"/>
  <c r="BZ238" s="1"/>
  <c r="BR237"/>
  <c r="BY237" s="1"/>
  <c r="BZ237" s="1"/>
  <c r="BR236"/>
  <c r="BY236" s="1"/>
  <c r="BZ236" s="1"/>
  <c r="BR235"/>
  <c r="BY235" s="1"/>
  <c r="BZ235" s="1"/>
  <c r="BR234"/>
  <c r="BY234" s="1"/>
  <c r="BZ234" s="1"/>
  <c r="BR233"/>
  <c r="BY233" s="1"/>
  <c r="BZ233" s="1"/>
  <c r="BR232"/>
  <c r="BY232" s="1"/>
  <c r="BZ232" s="1"/>
  <c r="BR231"/>
  <c r="BY231" s="1"/>
  <c r="BZ231" s="1"/>
  <c r="BR230"/>
  <c r="BY230" s="1"/>
  <c r="BZ230" s="1"/>
  <c r="BR229"/>
  <c r="BY229" s="1"/>
  <c r="BZ229" s="1"/>
  <c r="BR228"/>
  <c r="BY228" s="1"/>
  <c r="BZ228" s="1"/>
  <c r="BR221"/>
  <c r="BY221" s="1"/>
  <c r="BZ221" s="1"/>
  <c r="BR220"/>
  <c r="BY220" s="1"/>
  <c r="BZ220" s="1"/>
  <c r="BR219"/>
  <c r="BY219" s="1"/>
  <c r="BZ219" s="1"/>
  <c r="BR218"/>
  <c r="BY218" s="1"/>
  <c r="BZ218" s="1"/>
  <c r="BR217"/>
  <c r="BY217" s="1"/>
  <c r="BZ217" s="1"/>
  <c r="BR215"/>
  <c r="BY215" s="1"/>
  <c r="BZ215" s="1"/>
  <c r="BR214"/>
  <c r="BY214" s="1"/>
  <c r="BZ214" s="1"/>
  <c r="BR213"/>
  <c r="BY213" s="1"/>
  <c r="BZ213" s="1"/>
  <c r="BR212"/>
  <c r="BY212" s="1"/>
  <c r="BZ212" s="1"/>
  <c r="BR211"/>
  <c r="BY211" s="1"/>
  <c r="BZ211" s="1"/>
  <c r="BR210"/>
  <c r="BY210" s="1"/>
  <c r="BZ210" s="1"/>
  <c r="BR209"/>
  <c r="BY209" s="1"/>
  <c r="BZ209" s="1"/>
  <c r="BR208"/>
  <c r="BY208" s="1"/>
  <c r="BZ208" s="1"/>
  <c r="BR207"/>
  <c r="BY207" s="1"/>
  <c r="BZ207" s="1"/>
  <c r="BR206"/>
  <c r="BY206" s="1"/>
  <c r="BZ206" s="1"/>
  <c r="BR205"/>
  <c r="BY205" s="1"/>
  <c r="BZ205" s="1"/>
  <c r="BR204"/>
  <c r="BY204" s="1"/>
  <c r="BZ204" s="1"/>
  <c r="BR203"/>
  <c r="BY203" s="1"/>
  <c r="BZ203" s="1"/>
  <c r="BR202"/>
  <c r="BY202" s="1"/>
  <c r="BZ202" s="1"/>
  <c r="BR201"/>
  <c r="BY201" s="1"/>
  <c r="BZ201" s="1"/>
  <c r="BR200"/>
  <c r="BY200" s="1"/>
  <c r="BZ200" s="1"/>
  <c r="BR199"/>
  <c r="BY199" s="1"/>
  <c r="BZ199" s="1"/>
  <c r="BR198"/>
  <c r="BY198" s="1"/>
  <c r="BZ198" s="1"/>
  <c r="BR187"/>
  <c r="BY187" s="1"/>
  <c r="BZ187" s="1"/>
  <c r="BR185"/>
  <c r="BY185" s="1"/>
  <c r="BZ185" s="1"/>
  <c r="BR184"/>
  <c r="BY184" s="1"/>
  <c r="BZ184" s="1"/>
  <c r="BR183"/>
  <c r="BY183" s="1"/>
  <c r="BZ183" s="1"/>
  <c r="BR182"/>
  <c r="BY182" s="1"/>
  <c r="BZ182" s="1"/>
  <c r="BR181"/>
  <c r="BY181" s="1"/>
  <c r="BZ181" s="1"/>
  <c r="BR180"/>
  <c r="BY180" s="1"/>
  <c r="BZ180" s="1"/>
  <c r="BR179"/>
  <c r="BY179" s="1"/>
  <c r="BZ179" s="1"/>
  <c r="BR164"/>
  <c r="BY164" s="1"/>
  <c r="BZ164" s="1"/>
  <c r="BR162"/>
  <c r="BY162" s="1"/>
  <c r="BZ162" s="1"/>
  <c r="BR161"/>
  <c r="BY161" s="1"/>
  <c r="BZ161" s="1"/>
  <c r="BR160"/>
  <c r="BY160" s="1"/>
  <c r="BZ160" s="1"/>
  <c r="BR159"/>
  <c r="BY159" s="1"/>
  <c r="BZ159" s="1"/>
  <c r="BR158"/>
  <c r="BY158" s="1"/>
  <c r="BZ158" s="1"/>
  <c r="BR157"/>
  <c r="BY157" s="1"/>
  <c r="BZ157" s="1"/>
  <c r="BR156"/>
  <c r="BY156" s="1"/>
  <c r="BZ156" s="1"/>
  <c r="BR155"/>
  <c r="BY155" s="1"/>
  <c r="BZ155" s="1"/>
  <c r="BR154"/>
  <c r="BY154" s="1"/>
  <c r="BZ154" s="1"/>
  <c r="BR153"/>
  <c r="BY153" s="1"/>
  <c r="BZ153" s="1"/>
  <c r="BR152"/>
  <c r="BY152" s="1"/>
  <c r="BZ152" s="1"/>
  <c r="BR151"/>
  <c r="BY151" s="1"/>
  <c r="BZ151" s="1"/>
  <c r="BR150"/>
  <c r="BY150" s="1"/>
  <c r="BZ150" s="1"/>
  <c r="BR149"/>
  <c r="BY149" s="1"/>
  <c r="BZ149" s="1"/>
  <c r="BR148"/>
  <c r="BY148" s="1"/>
  <c r="BZ148" s="1"/>
  <c r="BR147"/>
  <c r="BY147" s="1"/>
  <c r="BZ147" s="1"/>
  <c r="BR146"/>
  <c r="BY146" s="1"/>
  <c r="BZ146" s="1"/>
  <c r="BR132"/>
  <c r="BY132" s="1"/>
  <c r="BZ132" s="1"/>
  <c r="BR131"/>
  <c r="BY131" s="1"/>
  <c r="BZ131" s="1"/>
  <c r="BR130"/>
  <c r="BY130" s="1"/>
  <c r="BZ130" s="1"/>
  <c r="BR129"/>
  <c r="BY129" s="1"/>
  <c r="BZ129" s="1"/>
  <c r="BR128"/>
  <c r="BY128" s="1"/>
  <c r="BZ128" s="1"/>
  <c r="BR127"/>
  <c r="BY127" s="1"/>
  <c r="BZ127" s="1"/>
  <c r="BR126"/>
  <c r="BY126" s="1"/>
  <c r="BZ126" s="1"/>
  <c r="BR125"/>
  <c r="BY125" s="1"/>
  <c r="BZ125" s="1"/>
  <c r="BR124"/>
  <c r="BY124" s="1"/>
  <c r="BZ124" s="1"/>
  <c r="BR123"/>
  <c r="BY123" s="1"/>
  <c r="BZ123" s="1"/>
  <c r="BR122"/>
  <c r="BY122" s="1"/>
  <c r="BZ122" s="1"/>
  <c r="BR121"/>
  <c r="BY121" s="1"/>
  <c r="BZ121" s="1"/>
  <c r="BR120"/>
  <c r="BY120" s="1"/>
  <c r="BZ120" s="1"/>
  <c r="BR108"/>
  <c r="BY108" s="1"/>
  <c r="BZ108" s="1"/>
  <c r="BR106"/>
  <c r="BY106" s="1"/>
  <c r="BZ106" s="1"/>
  <c r="BR105"/>
  <c r="BY105" s="1"/>
  <c r="BZ105" s="1"/>
  <c r="BR104"/>
  <c r="BY104" s="1"/>
  <c r="BZ104" s="1"/>
  <c r="BR103"/>
  <c r="BY103" s="1"/>
  <c r="BZ103" s="1"/>
  <c r="BR102"/>
  <c r="BY102" s="1"/>
  <c r="BZ102" s="1"/>
  <c r="BR101"/>
  <c r="BY101" s="1"/>
  <c r="BZ101" s="1"/>
  <c r="BR100"/>
  <c r="BY100" s="1"/>
  <c r="BZ100" s="1"/>
  <c r="BR99"/>
  <c r="BY99" s="1"/>
  <c r="BZ99" s="1"/>
  <c r="BR98"/>
  <c r="BY98" s="1"/>
  <c r="BZ98" s="1"/>
  <c r="BR97"/>
  <c r="BY97" s="1"/>
  <c r="BZ97" s="1"/>
  <c r="BR96"/>
  <c r="BY96" s="1"/>
  <c r="BZ96" s="1"/>
  <c r="BR95"/>
  <c r="BY95" s="1"/>
  <c r="BZ95" s="1"/>
  <c r="BR94"/>
  <c r="BY94" s="1"/>
  <c r="BZ94" s="1"/>
  <c r="BR93"/>
  <c r="BY93" s="1"/>
  <c r="BZ93" s="1"/>
  <c r="BR92"/>
  <c r="BY92" s="1"/>
  <c r="BZ92" s="1"/>
  <c r="BR91"/>
  <c r="BY91" s="1"/>
  <c r="BZ91" s="1"/>
  <c r="BR90"/>
  <c r="BY90" s="1"/>
  <c r="BZ90" s="1"/>
  <c r="BR89"/>
  <c r="BY89" s="1"/>
  <c r="BZ89" s="1"/>
  <c r="BR88"/>
  <c r="BY88" s="1"/>
  <c r="BZ88" s="1"/>
  <c r="BR87"/>
  <c r="BY87" s="1"/>
  <c r="BZ87" s="1"/>
  <c r="BR86"/>
  <c r="BY86" s="1"/>
  <c r="BZ86" s="1"/>
  <c r="BR85"/>
  <c r="BY85" s="1"/>
  <c r="BZ85" s="1"/>
  <c r="BR73"/>
  <c r="BY73" s="1"/>
  <c r="BZ73" s="1"/>
  <c r="BR72"/>
  <c r="BY72" s="1"/>
  <c r="BZ72" s="1"/>
  <c r="BR71"/>
  <c r="BY71" s="1"/>
  <c r="BZ71" s="1"/>
  <c r="BR70"/>
  <c r="BY70" s="1"/>
  <c r="BZ70" s="1"/>
  <c r="BR69"/>
  <c r="BY69" s="1"/>
  <c r="BZ69" s="1"/>
  <c r="BR68"/>
  <c r="BY68" s="1"/>
  <c r="BZ68" s="1"/>
  <c r="BR67"/>
  <c r="BY67" s="1"/>
  <c r="BZ67" s="1"/>
  <c r="BR66"/>
  <c r="BY66" s="1"/>
  <c r="BZ66" s="1"/>
  <c r="BR65"/>
  <c r="BY65" s="1"/>
  <c r="BZ65" s="1"/>
  <c r="BR64"/>
  <c r="BY64" s="1"/>
  <c r="BZ64" s="1"/>
  <c r="BR63"/>
  <c r="BY63" s="1"/>
  <c r="BZ63" s="1"/>
  <c r="BR62"/>
  <c r="BY62" s="1"/>
  <c r="BZ62" s="1"/>
  <c r="BR61"/>
  <c r="BY61" s="1"/>
  <c r="BZ61" s="1"/>
  <c r="BR60"/>
  <c r="BY60" s="1"/>
  <c r="BZ60" s="1"/>
  <c r="BR59"/>
  <c r="BY59" s="1"/>
  <c r="BZ59" s="1"/>
  <c r="BR58"/>
  <c r="BY58" s="1"/>
  <c r="BZ58" s="1"/>
  <c r="BR57"/>
  <c r="BY57" s="1"/>
  <c r="BZ57" s="1"/>
  <c r="BR56"/>
  <c r="BY56" s="1"/>
  <c r="BZ56" s="1"/>
  <c r="BR55"/>
  <c r="BY55" s="1"/>
  <c r="BZ55" s="1"/>
  <c r="BR54"/>
  <c r="BY54" s="1"/>
  <c r="BZ54" s="1"/>
  <c r="BR53"/>
  <c r="BY53" s="1"/>
  <c r="BZ53" s="1"/>
  <c r="BR52"/>
  <c r="BY52" s="1"/>
  <c r="BZ52" s="1"/>
  <c r="BR51"/>
  <c r="BY51" s="1"/>
  <c r="BZ51" s="1"/>
  <c r="BR40"/>
  <c r="BY40" s="1"/>
  <c r="BZ40" s="1"/>
  <c r="BR38"/>
  <c r="BY38" s="1"/>
  <c r="BZ38" s="1"/>
  <c r="BR37"/>
  <c r="BY37" s="1"/>
  <c r="BZ37" s="1"/>
  <c r="BR36"/>
  <c r="BY36" s="1"/>
  <c r="BZ36" s="1"/>
  <c r="BR35"/>
  <c r="BY35" s="1"/>
  <c r="BZ35" s="1"/>
  <c r="BR34"/>
  <c r="BY34" s="1"/>
  <c r="BZ34" s="1"/>
  <c r="BR33"/>
  <c r="BY33" s="1"/>
  <c r="BZ33" s="1"/>
  <c r="BR32"/>
  <c r="BY32" s="1"/>
  <c r="BZ32" s="1"/>
  <c r="BR31"/>
  <c r="BY31" s="1"/>
  <c r="BZ31" s="1"/>
  <c r="BR30"/>
  <c r="BY30" s="1"/>
  <c r="BZ30" s="1"/>
  <c r="BR29"/>
  <c r="BY29" s="1"/>
  <c r="BZ29" s="1"/>
  <c r="BR28"/>
  <c r="BY28" s="1"/>
  <c r="BZ28" s="1"/>
  <c r="BR27"/>
  <c r="BY27" s="1"/>
  <c r="BZ27" s="1"/>
  <c r="BR26"/>
  <c r="BY26" s="1"/>
  <c r="BZ26" s="1"/>
  <c r="BR25"/>
  <c r="BY25" s="1"/>
  <c r="BZ25" s="1"/>
  <c r="BR24"/>
  <c r="BY24" s="1"/>
  <c r="BZ24" s="1"/>
  <c r="BR23"/>
  <c r="BY23" s="1"/>
  <c r="BZ23" s="1"/>
  <c r="BR22"/>
  <c r="BY22" s="1"/>
  <c r="BZ22" s="1"/>
  <c r="BR21"/>
  <c r="BY21" s="1"/>
  <c r="BZ21" s="1"/>
  <c r="BR20"/>
  <c r="BY20" s="1"/>
  <c r="BZ20" s="1"/>
  <c r="BR19"/>
  <c r="BY19" s="1"/>
  <c r="BZ19" s="1"/>
  <c r="BR18"/>
  <c r="BY18" s="1"/>
  <c r="BZ18" s="1"/>
  <c r="BR17"/>
  <c r="BY17" s="1"/>
  <c r="BZ17" s="1"/>
  <c r="BR16"/>
  <c r="BY16" s="1"/>
  <c r="BZ16" s="1"/>
  <c r="BR15"/>
  <c r="BY15" s="1"/>
  <c r="BZ15" s="1"/>
  <c r="BR14"/>
  <c r="BY14" s="1"/>
  <c r="BZ14" s="1"/>
  <c r="BR13"/>
  <c r="BY13" s="1"/>
  <c r="BZ13" s="1"/>
  <c r="BR12"/>
  <c r="BY12" s="1"/>
  <c r="BZ12" s="1"/>
  <c r="BR11"/>
  <c r="BY11" s="1"/>
  <c r="BZ11" s="1"/>
  <c r="BR10"/>
  <c r="BY10" s="1"/>
  <c r="BZ10" s="1"/>
  <c r="BR9"/>
  <c r="BY9" s="1"/>
  <c r="BZ9" s="1"/>
  <c r="BR8"/>
  <c r="BY8" s="1"/>
  <c r="BZ8" s="1"/>
  <c r="BO221"/>
  <c r="BP221" s="1"/>
  <c r="BQ221" s="1"/>
  <c r="BO220"/>
  <c r="BO219"/>
  <c r="BO218"/>
  <c r="BO217"/>
  <c r="BO216"/>
  <c r="BO215"/>
  <c r="BO214"/>
  <c r="BO213"/>
  <c r="BO212"/>
  <c r="BO211"/>
  <c r="BO210"/>
  <c r="BO209"/>
  <c r="BO208"/>
  <c r="BO207"/>
  <c r="BO206"/>
  <c r="BO205"/>
  <c r="BO204"/>
  <c r="BO203"/>
  <c r="BO202"/>
  <c r="BO201"/>
  <c r="BO200"/>
  <c r="BO199"/>
  <c r="BO198"/>
  <c r="BO187"/>
  <c r="BO185"/>
  <c r="BO184"/>
  <c r="BO183"/>
  <c r="BO182"/>
  <c r="BO181"/>
  <c r="BO180"/>
  <c r="BO179"/>
  <c r="BO164"/>
  <c r="BO163"/>
  <c r="BO162"/>
  <c r="BO161"/>
  <c r="BO160"/>
  <c r="BO159"/>
  <c r="BO158"/>
  <c r="BO157"/>
  <c r="BO156"/>
  <c r="BO155"/>
  <c r="BO154"/>
  <c r="BO153"/>
  <c r="BO152"/>
  <c r="BO151"/>
  <c r="BO150"/>
  <c r="BO149"/>
  <c r="BO148"/>
  <c r="BO147"/>
  <c r="BO146"/>
  <c r="BO132"/>
  <c r="BO131"/>
  <c r="BO130"/>
  <c r="BO129"/>
  <c r="BO128"/>
  <c r="BP128" s="1"/>
  <c r="BQ128" s="1"/>
  <c r="BO127"/>
  <c r="BO126"/>
  <c r="BO125"/>
  <c r="BO124"/>
  <c r="BO123"/>
  <c r="BO122"/>
  <c r="BO121"/>
  <c r="BO120"/>
  <c r="BO108"/>
  <c r="BO106"/>
  <c r="BO105"/>
  <c r="BO104"/>
  <c r="BO103"/>
  <c r="BO102"/>
  <c r="BO101"/>
  <c r="BO100"/>
  <c r="BO99"/>
  <c r="BO98"/>
  <c r="BO97"/>
  <c r="BO96"/>
  <c r="BO95"/>
  <c r="BO94"/>
  <c r="BO93"/>
  <c r="BO92"/>
  <c r="BO91"/>
  <c r="BP91" s="1"/>
  <c r="BQ91" s="1"/>
  <c r="BO90"/>
  <c r="BO89"/>
  <c r="BO88"/>
  <c r="BO87"/>
  <c r="BO86"/>
  <c r="BO85"/>
  <c r="BO73"/>
  <c r="BO72"/>
  <c r="BO71"/>
  <c r="BO70"/>
  <c r="BO69"/>
  <c r="BO68"/>
  <c r="BO67"/>
  <c r="BO66"/>
  <c r="BO65"/>
  <c r="BO64"/>
  <c r="BO63"/>
  <c r="BO62"/>
  <c r="BO61"/>
  <c r="BO60"/>
  <c r="BO59"/>
  <c r="BO58"/>
  <c r="BO57"/>
  <c r="BO56"/>
  <c r="BO55"/>
  <c r="BO54"/>
  <c r="BO53"/>
  <c r="BO52"/>
  <c r="BO51"/>
  <c r="BO40"/>
  <c r="BO38"/>
  <c r="BO37"/>
  <c r="BO36"/>
  <c r="BO35"/>
  <c r="BO34"/>
  <c r="BO33"/>
  <c r="BO32"/>
  <c r="BO31"/>
  <c r="BO30"/>
  <c r="BO29"/>
  <c r="BO28"/>
  <c r="BO27"/>
  <c r="BO26"/>
  <c r="BO25"/>
  <c r="BO24"/>
  <c r="BO23"/>
  <c r="BO22"/>
  <c r="BO21"/>
  <c r="BO20"/>
  <c r="BO19"/>
  <c r="BO18"/>
  <c r="BO17"/>
  <c r="BO16"/>
  <c r="BO15"/>
  <c r="BO14"/>
  <c r="BO13"/>
  <c r="BO12"/>
  <c r="BO11"/>
  <c r="BO10"/>
  <c r="BO9"/>
  <c r="BO8"/>
  <c r="BR7"/>
  <c r="BY7" s="1"/>
  <c r="BZ7" s="1"/>
  <c r="BO7"/>
  <c r="AF220"/>
  <c r="BM220" s="1"/>
  <c r="AF219"/>
  <c r="BM219" s="1"/>
  <c r="AF218"/>
  <c r="BM218" s="1"/>
  <c r="AF217"/>
  <c r="BM217" s="1"/>
  <c r="AF216"/>
  <c r="BM216" s="1"/>
  <c r="AF215"/>
  <c r="BM215" s="1"/>
  <c r="AF214"/>
  <c r="BM214" s="1"/>
  <c r="AF213"/>
  <c r="BM213" s="1"/>
  <c r="AF212"/>
  <c r="BM212" s="1"/>
  <c r="AF211"/>
  <c r="BM211" s="1"/>
  <c r="AF210"/>
  <c r="BM210" s="1"/>
  <c r="AF209"/>
  <c r="BM209" s="1"/>
  <c r="AF208"/>
  <c r="BM208" s="1"/>
  <c r="AF207"/>
  <c r="BM207" s="1"/>
  <c r="AF206"/>
  <c r="BM206" s="1"/>
  <c r="AF205"/>
  <c r="BM205" s="1"/>
  <c r="AF204"/>
  <c r="BM204" s="1"/>
  <c r="AF203"/>
  <c r="BM203" s="1"/>
  <c r="AF202"/>
  <c r="BM202" s="1"/>
  <c r="AF201"/>
  <c r="BM201" s="1"/>
  <c r="AF200"/>
  <c r="BM200" s="1"/>
  <c r="AF199"/>
  <c r="BM199" s="1"/>
  <c r="AF198"/>
  <c r="BM198" s="1"/>
  <c r="AF187"/>
  <c r="AF185"/>
  <c r="AF184"/>
  <c r="AF183"/>
  <c r="AF182"/>
  <c r="AF181"/>
  <c r="AF180"/>
  <c r="AF179"/>
  <c r="AF164"/>
  <c r="AF163"/>
  <c r="AF162"/>
  <c r="AF161"/>
  <c r="AF160"/>
  <c r="AF159"/>
  <c r="AF158"/>
  <c r="AF157"/>
  <c r="AF156"/>
  <c r="AF155"/>
  <c r="AF154"/>
  <c r="AF153"/>
  <c r="AF152"/>
  <c r="AF151"/>
  <c r="AF150"/>
  <c r="AF149"/>
  <c r="AF148"/>
  <c r="AF147"/>
  <c r="AF146"/>
  <c r="AF132"/>
  <c r="AF131"/>
  <c r="AF130"/>
  <c r="AF129"/>
  <c r="AF127"/>
  <c r="AF126"/>
  <c r="AF125"/>
  <c r="AF124"/>
  <c r="AF123"/>
  <c r="AF122"/>
  <c r="AF121"/>
  <c r="AF120"/>
  <c r="AF106"/>
  <c r="AF108"/>
  <c r="AF105"/>
  <c r="AF103"/>
  <c r="AF102"/>
  <c r="AF101"/>
  <c r="AF100"/>
  <c r="AF99"/>
  <c r="AF98"/>
  <c r="AF97"/>
  <c r="AF96"/>
  <c r="AF95"/>
  <c r="AF94"/>
  <c r="AF93"/>
  <c r="AF92"/>
  <c r="AF90"/>
  <c r="AF89"/>
  <c r="AF88"/>
  <c r="AF87"/>
  <c r="AF86"/>
  <c r="AF85"/>
  <c r="AF74"/>
  <c r="AF73"/>
  <c r="AF72"/>
  <c r="AF71"/>
  <c r="AF70"/>
  <c r="AF69"/>
  <c r="AF68"/>
  <c r="AF67"/>
  <c r="AF66"/>
  <c r="AF65"/>
  <c r="AF64"/>
  <c r="AF63"/>
  <c r="AF62"/>
  <c r="AF61"/>
  <c r="AF60"/>
  <c r="AF59"/>
  <c r="AF58"/>
  <c r="AF57"/>
  <c r="AF56"/>
  <c r="AF55"/>
  <c r="AF54"/>
  <c r="AF53"/>
  <c r="AF52"/>
  <c r="AF51"/>
  <c r="AF40"/>
  <c r="AF38"/>
  <c r="AF37"/>
  <c r="AF36"/>
  <c r="AF35"/>
  <c r="AF34"/>
  <c r="AF33"/>
  <c r="AF32"/>
  <c r="AF31"/>
  <c r="AF30"/>
  <c r="AF29"/>
  <c r="AF28"/>
  <c r="AF27"/>
  <c r="AF26"/>
  <c r="AF25"/>
  <c r="AF24"/>
  <c r="AF23"/>
  <c r="AF22"/>
  <c r="AF21"/>
  <c r="AF20"/>
  <c r="AF19"/>
  <c r="AF18"/>
  <c r="AF17"/>
  <c r="AF16"/>
  <c r="AF15"/>
  <c r="AF14"/>
  <c r="AF13"/>
  <c r="AF12"/>
  <c r="AF11"/>
  <c r="AF10"/>
  <c r="AF9"/>
  <c r="AF8"/>
  <c r="AF7"/>
  <c r="AA221"/>
  <c r="AA220"/>
  <c r="AA219"/>
  <c r="AA218"/>
  <c r="AA217"/>
  <c r="AA216"/>
  <c r="AA215"/>
  <c r="AA214"/>
  <c r="AA213"/>
  <c r="AA212"/>
  <c r="AA211"/>
  <c r="AA210"/>
  <c r="AA209"/>
  <c r="AA208"/>
  <c r="AA207"/>
  <c r="AA206"/>
  <c r="AA205"/>
  <c r="AA204"/>
  <c r="AA203"/>
  <c r="AA202"/>
  <c r="AA201"/>
  <c r="AA200"/>
  <c r="AA199"/>
  <c r="AA198"/>
  <c r="AA187"/>
  <c r="AA185"/>
  <c r="AA184"/>
  <c r="AA183"/>
  <c r="AA182"/>
  <c r="AA181"/>
  <c r="AA180"/>
  <c r="AA179"/>
  <c r="AA164"/>
  <c r="AA163"/>
  <c r="AA162"/>
  <c r="AA161"/>
  <c r="AA160"/>
  <c r="AA159"/>
  <c r="AA158"/>
  <c r="AA157"/>
  <c r="AA156"/>
  <c r="AA155"/>
  <c r="AA154"/>
  <c r="AA153"/>
  <c r="AA152"/>
  <c r="AA151"/>
  <c r="AA150"/>
  <c r="AA149"/>
  <c r="AA148"/>
  <c r="AA147"/>
  <c r="AA146"/>
  <c r="AA132"/>
  <c r="AA131"/>
  <c r="AA130"/>
  <c r="AA129"/>
  <c r="AA127"/>
  <c r="AA126"/>
  <c r="AA125"/>
  <c r="AA124"/>
  <c r="AA123"/>
  <c r="AA122"/>
  <c r="AA121"/>
  <c r="AA120"/>
  <c r="AA108"/>
  <c r="AA106"/>
  <c r="AA105"/>
  <c r="AA104"/>
  <c r="AA103"/>
  <c r="AA102"/>
  <c r="AA101"/>
  <c r="AA100"/>
  <c r="AA99"/>
  <c r="AA98"/>
  <c r="AA97"/>
  <c r="AA96"/>
  <c r="AA95"/>
  <c r="AA94"/>
  <c r="AA93"/>
  <c r="AA92"/>
  <c r="AA90"/>
  <c r="AA89"/>
  <c r="AA88"/>
  <c r="AA87"/>
  <c r="AA86"/>
  <c r="AA85"/>
  <c r="AA73"/>
  <c r="AB73" s="1"/>
  <c r="AC73" s="1"/>
  <c r="AA72"/>
  <c r="AB72" s="1"/>
  <c r="AC72" s="1"/>
  <c r="AA71"/>
  <c r="AA70"/>
  <c r="AA69"/>
  <c r="AA68"/>
  <c r="AA67"/>
  <c r="AA66"/>
  <c r="AA65"/>
  <c r="AA64"/>
  <c r="AA63"/>
  <c r="AA62"/>
  <c r="AA61"/>
  <c r="AA60"/>
  <c r="AA59"/>
  <c r="AA58"/>
  <c r="AA57"/>
  <c r="AA55"/>
  <c r="AA54"/>
  <c r="AA53"/>
  <c r="AA52"/>
  <c r="AA41"/>
  <c r="AA34"/>
  <c r="AA33"/>
  <c r="AA32"/>
  <c r="AA31"/>
  <c r="AA30"/>
  <c r="AA29"/>
  <c r="AA28"/>
  <c r="AA27"/>
  <c r="AA26"/>
  <c r="AA25"/>
  <c r="AA24"/>
  <c r="AA23"/>
  <c r="AA22"/>
  <c r="AA21"/>
  <c r="AA20"/>
  <c r="AA19"/>
  <c r="AA18"/>
  <c r="AA17"/>
  <c r="AA16"/>
  <c r="AA15"/>
  <c r="AA14"/>
  <c r="AA13"/>
  <c r="AA12"/>
  <c r="AA11"/>
  <c r="AA10"/>
  <c r="AA9"/>
  <c r="AA8"/>
  <c r="AA7"/>
  <c r="X215"/>
  <c r="X214"/>
  <c r="X213"/>
  <c r="X212"/>
  <c r="X211"/>
  <c r="X210"/>
  <c r="X209"/>
  <c r="X208"/>
  <c r="X207"/>
  <c r="X206"/>
  <c r="X205"/>
  <c r="X204"/>
  <c r="X203"/>
  <c r="X202"/>
  <c r="X201"/>
  <c r="X200"/>
  <c r="X199"/>
  <c r="X198"/>
  <c r="X187"/>
  <c r="X185"/>
  <c r="X184"/>
  <c r="X183"/>
  <c r="X182"/>
  <c r="X181"/>
  <c r="X180"/>
  <c r="X179"/>
  <c r="X164"/>
  <c r="X163"/>
  <c r="X144" s="1"/>
  <c r="X162"/>
  <c r="X161"/>
  <c r="X160"/>
  <c r="X159"/>
  <c r="X158"/>
  <c r="X157"/>
  <c r="X156"/>
  <c r="X155"/>
  <c r="X154"/>
  <c r="X153"/>
  <c r="X152"/>
  <c r="X151"/>
  <c r="X150"/>
  <c r="X149"/>
  <c r="X148"/>
  <c r="X147"/>
  <c r="X146"/>
  <c r="X132"/>
  <c r="X131"/>
  <c r="X130"/>
  <c r="X129"/>
  <c r="X127"/>
  <c r="X126"/>
  <c r="X125"/>
  <c r="X124"/>
  <c r="X123"/>
  <c r="X122"/>
  <c r="X121"/>
  <c r="X120"/>
  <c r="X108"/>
  <c r="X106"/>
  <c r="X105"/>
  <c r="X104"/>
  <c r="X103"/>
  <c r="X102"/>
  <c r="X101"/>
  <c r="X100"/>
  <c r="X99"/>
  <c r="X98"/>
  <c r="X97"/>
  <c r="X96"/>
  <c r="X95"/>
  <c r="X94"/>
  <c r="X93"/>
  <c r="X92"/>
  <c r="X90"/>
  <c r="X89"/>
  <c r="X88"/>
  <c r="X87"/>
  <c r="X86"/>
  <c r="X85"/>
  <c r="X71"/>
  <c r="X70"/>
  <c r="X69"/>
  <c r="X68"/>
  <c r="X67"/>
  <c r="X66"/>
  <c r="X65"/>
  <c r="X64"/>
  <c r="X63"/>
  <c r="X62"/>
  <c r="X61"/>
  <c r="X60"/>
  <c r="X59"/>
  <c r="X58"/>
  <c r="X57"/>
  <c r="X55"/>
  <c r="X54"/>
  <c r="X53"/>
  <c r="X52"/>
  <c r="X38"/>
  <c r="X34"/>
  <c r="X33"/>
  <c r="X32"/>
  <c r="X31"/>
  <c r="X30"/>
  <c r="X29"/>
  <c r="X28"/>
  <c r="X27"/>
  <c r="X26"/>
  <c r="X25"/>
  <c r="X24"/>
  <c r="X23"/>
  <c r="X22"/>
  <c r="X21"/>
  <c r="X20"/>
  <c r="X19"/>
  <c r="X18"/>
  <c r="X17"/>
  <c r="X16"/>
  <c r="X15"/>
  <c r="X14"/>
  <c r="X13"/>
  <c r="X12"/>
  <c r="X11"/>
  <c r="X10"/>
  <c r="X9"/>
  <c r="X8"/>
  <c r="X7"/>
  <c r="U214"/>
  <c r="U213"/>
  <c r="U212"/>
  <c r="U211"/>
  <c r="U210"/>
  <c r="U209"/>
  <c r="U208"/>
  <c r="U207"/>
  <c r="U206"/>
  <c r="U205"/>
  <c r="U204"/>
  <c r="U203"/>
  <c r="U202"/>
  <c r="U201"/>
  <c r="U200"/>
  <c r="U199"/>
  <c r="U198"/>
  <c r="U187"/>
  <c r="U185"/>
  <c r="U184"/>
  <c r="U183"/>
  <c r="U182"/>
  <c r="U181"/>
  <c r="U180"/>
  <c r="U179"/>
  <c r="U164"/>
  <c r="U163"/>
  <c r="U162"/>
  <c r="U161"/>
  <c r="U160"/>
  <c r="U159"/>
  <c r="U158"/>
  <c r="U157"/>
  <c r="U156"/>
  <c r="U155"/>
  <c r="U154"/>
  <c r="U153"/>
  <c r="U152"/>
  <c r="U151"/>
  <c r="U150"/>
  <c r="U149"/>
  <c r="U148"/>
  <c r="U147"/>
  <c r="U146"/>
  <c r="U131"/>
  <c r="U130"/>
  <c r="U129"/>
  <c r="U128"/>
  <c r="U127"/>
  <c r="U126"/>
  <c r="U125"/>
  <c r="U124"/>
  <c r="U123"/>
  <c r="U122"/>
  <c r="U121"/>
  <c r="U120"/>
  <c r="U104"/>
  <c r="U103"/>
  <c r="U102"/>
  <c r="U101"/>
  <c r="U100"/>
  <c r="U99"/>
  <c r="U98"/>
  <c r="U97"/>
  <c r="U96"/>
  <c r="U95"/>
  <c r="U94"/>
  <c r="U93"/>
  <c r="U92"/>
  <c r="U90"/>
  <c r="U89"/>
  <c r="U88"/>
  <c r="U87"/>
  <c r="U86"/>
  <c r="U85"/>
  <c r="U71"/>
  <c r="U70"/>
  <c r="U69"/>
  <c r="U68"/>
  <c r="U67"/>
  <c r="U66"/>
  <c r="U65"/>
  <c r="U64"/>
  <c r="U63"/>
  <c r="U62"/>
  <c r="U61"/>
  <c r="U60"/>
  <c r="U59"/>
  <c r="U58"/>
  <c r="U57"/>
  <c r="U55"/>
  <c r="U54"/>
  <c r="U53"/>
  <c r="U52"/>
  <c r="U51"/>
  <c r="U34"/>
  <c r="U33"/>
  <c r="U32"/>
  <c r="U31"/>
  <c r="U30"/>
  <c r="U29"/>
  <c r="U28"/>
  <c r="U27"/>
  <c r="U26"/>
  <c r="U25"/>
  <c r="U24"/>
  <c r="U23"/>
  <c r="U22"/>
  <c r="U21"/>
  <c r="U20"/>
  <c r="U19"/>
  <c r="U18"/>
  <c r="U17"/>
  <c r="U16"/>
  <c r="U15"/>
  <c r="U14"/>
  <c r="U13"/>
  <c r="U10"/>
  <c r="U9"/>
  <c r="U8"/>
  <c r="U7"/>
  <c r="R214"/>
  <c r="R213"/>
  <c r="R212"/>
  <c r="R211"/>
  <c r="R210"/>
  <c r="R209"/>
  <c r="R208"/>
  <c r="R207"/>
  <c r="R206"/>
  <c r="R205"/>
  <c r="R204"/>
  <c r="R203"/>
  <c r="R202"/>
  <c r="R201"/>
  <c r="R200"/>
  <c r="R199"/>
  <c r="R198"/>
  <c r="R187"/>
  <c r="R185"/>
  <c r="R184"/>
  <c r="R183"/>
  <c r="R182"/>
  <c r="R181"/>
  <c r="R180"/>
  <c r="R179"/>
  <c r="R162"/>
  <c r="R161"/>
  <c r="R160"/>
  <c r="R159"/>
  <c r="R158"/>
  <c r="R157"/>
  <c r="R156"/>
  <c r="R155"/>
  <c r="R154"/>
  <c r="R153"/>
  <c r="R152"/>
  <c r="R151"/>
  <c r="R150"/>
  <c r="R149"/>
  <c r="R148"/>
  <c r="R147"/>
  <c r="R146"/>
  <c r="R127"/>
  <c r="R126"/>
  <c r="R125"/>
  <c r="R124"/>
  <c r="R123"/>
  <c r="R122"/>
  <c r="R121"/>
  <c r="R120"/>
  <c r="R104"/>
  <c r="R103"/>
  <c r="R102"/>
  <c r="R101"/>
  <c r="R100"/>
  <c r="R99"/>
  <c r="R98"/>
  <c r="R97"/>
  <c r="R96"/>
  <c r="R95"/>
  <c r="R94"/>
  <c r="R93"/>
  <c r="R92"/>
  <c r="R90"/>
  <c r="R89"/>
  <c r="R88"/>
  <c r="R87"/>
  <c r="R86"/>
  <c r="R85"/>
  <c r="R71"/>
  <c r="R70"/>
  <c r="R69"/>
  <c r="R68"/>
  <c r="R67"/>
  <c r="R66"/>
  <c r="R65"/>
  <c r="R64"/>
  <c r="R63"/>
  <c r="R62"/>
  <c r="R61"/>
  <c r="R60"/>
  <c r="R59"/>
  <c r="R58"/>
  <c r="R57"/>
  <c r="R56"/>
  <c r="R55"/>
  <c r="R54"/>
  <c r="R53"/>
  <c r="R52"/>
  <c r="R41"/>
  <c r="R34"/>
  <c r="R33"/>
  <c r="R32"/>
  <c r="R31"/>
  <c r="R30"/>
  <c r="R29"/>
  <c r="R28"/>
  <c r="R27"/>
  <c r="R26"/>
  <c r="R25"/>
  <c r="R24"/>
  <c r="R23"/>
  <c r="R22"/>
  <c r="R21"/>
  <c r="R20"/>
  <c r="R19"/>
  <c r="R17"/>
  <c r="R16"/>
  <c r="R15"/>
  <c r="R14"/>
  <c r="R13"/>
  <c r="R10"/>
  <c r="R9"/>
  <c r="R8"/>
  <c r="R7"/>
  <c r="O214"/>
  <c r="O213"/>
  <c r="O212"/>
  <c r="O211"/>
  <c r="O210"/>
  <c r="O209"/>
  <c r="O208"/>
  <c r="O207"/>
  <c r="O206"/>
  <c r="O205"/>
  <c r="O204"/>
  <c r="O203"/>
  <c r="O202"/>
  <c r="O201"/>
  <c r="O200"/>
  <c r="O199"/>
  <c r="O198"/>
  <c r="O187"/>
  <c r="O185"/>
  <c r="O184"/>
  <c r="O183"/>
  <c r="O182"/>
  <c r="O181"/>
  <c r="O180"/>
  <c r="O179"/>
  <c r="O162"/>
  <c r="O161"/>
  <c r="O160"/>
  <c r="O159"/>
  <c r="O158"/>
  <c r="O157"/>
  <c r="O156"/>
  <c r="O155"/>
  <c r="O154"/>
  <c r="O153"/>
  <c r="O152"/>
  <c r="O151"/>
  <c r="O150"/>
  <c r="O149"/>
  <c r="O148"/>
  <c r="O147"/>
  <c r="O146"/>
  <c r="O127"/>
  <c r="O126"/>
  <c r="O125"/>
  <c r="O124"/>
  <c r="O123"/>
  <c r="O122"/>
  <c r="O121"/>
  <c r="O120"/>
  <c r="O104"/>
  <c r="O103"/>
  <c r="O102"/>
  <c r="O101"/>
  <c r="O100"/>
  <c r="O99"/>
  <c r="O98"/>
  <c r="O97"/>
  <c r="O96"/>
  <c r="O95"/>
  <c r="O94"/>
  <c r="O93"/>
  <c r="O92"/>
  <c r="O91"/>
  <c r="O90"/>
  <c r="O89"/>
  <c r="O88"/>
  <c r="O87"/>
  <c r="O86"/>
  <c r="O85"/>
  <c r="O71"/>
  <c r="O70"/>
  <c r="O69"/>
  <c r="O68"/>
  <c r="O67"/>
  <c r="O66"/>
  <c r="O65"/>
  <c r="O64"/>
  <c r="O63"/>
  <c r="O62"/>
  <c r="O61"/>
  <c r="O60"/>
  <c r="O59"/>
  <c r="O58"/>
  <c r="O57"/>
  <c r="O56"/>
  <c r="O55"/>
  <c r="O54"/>
  <c r="O53"/>
  <c r="O52"/>
  <c r="O51"/>
  <c r="O41"/>
  <c r="O34"/>
  <c r="O33"/>
  <c r="O32"/>
  <c r="O31"/>
  <c r="O30"/>
  <c r="O29"/>
  <c r="O28"/>
  <c r="O27"/>
  <c r="O26"/>
  <c r="O25"/>
  <c r="O24"/>
  <c r="O23"/>
  <c r="O22"/>
  <c r="O21"/>
  <c r="O20"/>
  <c r="O19"/>
  <c r="O17"/>
  <c r="O16"/>
  <c r="O15"/>
  <c r="O14"/>
  <c r="O13"/>
  <c r="O10"/>
  <c r="O9"/>
  <c r="O8"/>
  <c r="O7"/>
  <c r="L214"/>
  <c r="L213"/>
  <c r="L212"/>
  <c r="L211"/>
  <c r="L210"/>
  <c r="L209"/>
  <c r="L208"/>
  <c r="L207"/>
  <c r="L206"/>
  <c r="L205"/>
  <c r="L204"/>
  <c r="L203"/>
  <c r="L202"/>
  <c r="L201"/>
  <c r="L200"/>
  <c r="L199"/>
  <c r="L198"/>
  <c r="L187"/>
  <c r="L185"/>
  <c r="L184"/>
  <c r="L183"/>
  <c r="L182"/>
  <c r="L181"/>
  <c r="L180"/>
  <c r="L179"/>
  <c r="L164"/>
  <c r="L163"/>
  <c r="L162"/>
  <c r="L161"/>
  <c r="L160"/>
  <c r="L159"/>
  <c r="L158"/>
  <c r="L157"/>
  <c r="L156"/>
  <c r="L155"/>
  <c r="L154"/>
  <c r="L153"/>
  <c r="L152"/>
  <c r="L151"/>
  <c r="L150"/>
  <c r="L149"/>
  <c r="L148"/>
  <c r="L147"/>
  <c r="L146"/>
  <c r="L128"/>
  <c r="L127"/>
  <c r="L126"/>
  <c r="L125"/>
  <c r="L124"/>
  <c r="L123"/>
  <c r="L122"/>
  <c r="L121"/>
  <c r="L120"/>
  <c r="L104"/>
  <c r="L103"/>
  <c r="L102"/>
  <c r="L101"/>
  <c r="L100"/>
  <c r="L99"/>
  <c r="L98"/>
  <c r="L97"/>
  <c r="L96"/>
  <c r="L95"/>
  <c r="L94"/>
  <c r="L93"/>
  <c r="L92"/>
  <c r="L91"/>
  <c r="L90"/>
  <c r="L89"/>
  <c r="L88"/>
  <c r="L87"/>
  <c r="L86"/>
  <c r="L85"/>
  <c r="L71"/>
  <c r="L70"/>
  <c r="L69"/>
  <c r="L68"/>
  <c r="L67"/>
  <c r="L66"/>
  <c r="L65"/>
  <c r="L64"/>
  <c r="L63"/>
  <c r="L62"/>
  <c r="L61"/>
  <c r="L60"/>
  <c r="L59"/>
  <c r="L58"/>
  <c r="L57"/>
  <c r="L56"/>
  <c r="L55"/>
  <c r="L54"/>
  <c r="L53"/>
  <c r="L52"/>
  <c r="L51"/>
  <c r="L34"/>
  <c r="L33"/>
  <c r="L32"/>
  <c r="L31"/>
  <c r="L30"/>
  <c r="L29"/>
  <c r="L28"/>
  <c r="L27"/>
  <c r="L26"/>
  <c r="L25"/>
  <c r="L24"/>
  <c r="L23"/>
  <c r="L22"/>
  <c r="L21"/>
  <c r="L20"/>
  <c r="L19"/>
  <c r="L18"/>
  <c r="L17"/>
  <c r="L16"/>
  <c r="L15"/>
  <c r="L14"/>
  <c r="L13"/>
  <c r="L10"/>
  <c r="L9"/>
  <c r="L8"/>
  <c r="L7"/>
  <c r="I216"/>
  <c r="I215"/>
  <c r="I214"/>
  <c r="I210"/>
  <c r="I205"/>
  <c r="I204"/>
  <c r="I203"/>
  <c r="I202"/>
  <c r="I201"/>
  <c r="I200"/>
  <c r="I199"/>
  <c r="I198"/>
  <c r="I187"/>
  <c r="I185"/>
  <c r="I184"/>
  <c r="I182"/>
  <c r="I160"/>
  <c r="I159"/>
  <c r="I158"/>
  <c r="I156"/>
  <c r="I155"/>
  <c r="I154"/>
  <c r="I153"/>
  <c r="I152"/>
  <c r="I149"/>
  <c r="I125"/>
  <c r="I124"/>
  <c r="I122"/>
  <c r="I99"/>
  <c r="I98"/>
  <c r="I97"/>
  <c r="I96"/>
  <c r="I95"/>
  <c r="I94"/>
  <c r="I93"/>
  <c r="I92"/>
  <c r="I91"/>
  <c r="I89"/>
  <c r="I88"/>
  <c r="I87"/>
  <c r="I86"/>
  <c r="I69"/>
  <c r="I68"/>
  <c r="I67"/>
  <c r="I66"/>
  <c r="I64"/>
  <c r="I63"/>
  <c r="I60"/>
  <c r="I59"/>
  <c r="I57"/>
  <c r="I55"/>
  <c r="I54"/>
  <c r="I53"/>
  <c r="I52"/>
  <c r="I33"/>
  <c r="I31"/>
  <c r="I30"/>
  <c r="I29"/>
  <c r="I28"/>
  <c r="I27"/>
  <c r="I26"/>
  <c r="I24"/>
  <c r="I23"/>
  <c r="I17"/>
  <c r="I15"/>
  <c r="I14"/>
  <c r="I10"/>
  <c r="I9"/>
  <c r="I8"/>
  <c r="I7"/>
  <c r="F216"/>
  <c r="F215"/>
  <c r="F214"/>
  <c r="F210"/>
  <c r="F205"/>
  <c r="F204"/>
  <c r="F203"/>
  <c r="F202"/>
  <c r="F201"/>
  <c r="F200"/>
  <c r="F199"/>
  <c r="F198"/>
  <c r="F187"/>
  <c r="F185"/>
  <c r="F184"/>
  <c r="F182"/>
  <c r="F179"/>
  <c r="F160"/>
  <c r="F159"/>
  <c r="F158"/>
  <c r="F156"/>
  <c r="F155"/>
  <c r="F154"/>
  <c r="F153"/>
  <c r="F149"/>
  <c r="F125"/>
  <c r="F124"/>
  <c r="F122"/>
  <c r="F99"/>
  <c r="F98"/>
  <c r="F97"/>
  <c r="F95"/>
  <c r="F94"/>
  <c r="F93"/>
  <c r="F92"/>
  <c r="F91"/>
  <c r="F89"/>
  <c r="F87"/>
  <c r="F69"/>
  <c r="F68"/>
  <c r="F67"/>
  <c r="F66"/>
  <c r="F64"/>
  <c r="F63"/>
  <c r="F60"/>
  <c r="F59"/>
  <c r="F57"/>
  <c r="F55"/>
  <c r="F54"/>
  <c r="F53"/>
  <c r="F52"/>
  <c r="F33"/>
  <c r="F31"/>
  <c r="F30"/>
  <c r="F29"/>
  <c r="F28"/>
  <c r="F27"/>
  <c r="F26"/>
  <c r="F23"/>
  <c r="F15"/>
  <c r="F14"/>
  <c r="F10"/>
  <c r="F9"/>
  <c r="F8"/>
  <c r="F7"/>
  <c r="C215"/>
  <c r="C214"/>
  <c r="C210"/>
  <c r="C204"/>
  <c r="C203"/>
  <c r="C202"/>
  <c r="C201"/>
  <c r="C200"/>
  <c r="C199"/>
  <c r="C198"/>
  <c r="C187"/>
  <c r="C185"/>
  <c r="C184"/>
  <c r="C182"/>
  <c r="C179"/>
  <c r="C160"/>
  <c r="C159"/>
  <c r="C158"/>
  <c r="C157"/>
  <c r="C156"/>
  <c r="C155"/>
  <c r="C154"/>
  <c r="C153"/>
  <c r="C149"/>
  <c r="C125"/>
  <c r="C123"/>
  <c r="C122"/>
  <c r="C99"/>
  <c r="C98"/>
  <c r="C97"/>
  <c r="C95"/>
  <c r="C94"/>
  <c r="C93"/>
  <c r="C92"/>
  <c r="C91"/>
  <c r="C87"/>
  <c r="C69"/>
  <c r="C68"/>
  <c r="C67"/>
  <c r="C66"/>
  <c r="C64"/>
  <c r="C60"/>
  <c r="C59"/>
  <c r="C55"/>
  <c r="C54"/>
  <c r="C53"/>
  <c r="C52"/>
  <c r="C31"/>
  <c r="C30"/>
  <c r="C29"/>
  <c r="C28"/>
  <c r="C27"/>
  <c r="C26"/>
  <c r="C23"/>
  <c r="C15"/>
  <c r="C14"/>
  <c r="C10"/>
  <c r="C9"/>
  <c r="C8"/>
  <c r="C7"/>
  <c r="B215"/>
  <c r="B214"/>
  <c r="B210"/>
  <c r="B204"/>
  <c r="B203"/>
  <c r="B202"/>
  <c r="B201"/>
  <c r="B200"/>
  <c r="B199"/>
  <c r="B198"/>
  <c r="B187"/>
  <c r="B185"/>
  <c r="B184"/>
  <c r="B182"/>
  <c r="B179"/>
  <c r="B160"/>
  <c r="B159"/>
  <c r="B158"/>
  <c r="B157"/>
  <c r="B156"/>
  <c r="B155"/>
  <c r="B154"/>
  <c r="B153"/>
  <c r="B149"/>
  <c r="B128"/>
  <c r="B125"/>
  <c r="B123"/>
  <c r="B122"/>
  <c r="B99"/>
  <c r="B98"/>
  <c r="B97"/>
  <c r="B96"/>
  <c r="B95"/>
  <c r="B94"/>
  <c r="B93"/>
  <c r="B92"/>
  <c r="B91"/>
  <c r="B87"/>
  <c r="B69"/>
  <c r="B68"/>
  <c r="B67"/>
  <c r="B66"/>
  <c r="B64"/>
  <c r="B60"/>
  <c r="B59"/>
  <c r="B55"/>
  <c r="B54"/>
  <c r="B53"/>
  <c r="B52"/>
  <c r="B31"/>
  <c r="B30"/>
  <c r="B29"/>
  <c r="B28"/>
  <c r="B26"/>
  <c r="B21"/>
  <c r="B14"/>
  <c r="B10"/>
  <c r="B9"/>
  <c r="B8"/>
  <c r="BF241" i="4"/>
  <c r="BG241" s="1"/>
  <c r="BF240"/>
  <c r="BG240" s="1"/>
  <c r="BF239"/>
  <c r="BG239" s="1"/>
  <c r="BF238"/>
  <c r="BG238" s="1"/>
  <c r="BF237"/>
  <c r="BG237" s="1"/>
  <c r="BF236"/>
  <c r="BG236" s="1"/>
  <c r="BF235"/>
  <c r="BG235" s="1"/>
  <c r="BF234"/>
  <c r="BG234" s="1"/>
  <c r="BF233"/>
  <c r="BG233" s="1"/>
  <c r="BF232"/>
  <c r="BG232" s="1"/>
  <c r="BF231"/>
  <c r="BG231" s="1"/>
  <c r="BF230"/>
  <c r="BG230" s="1"/>
  <c r="BF229"/>
  <c r="BG229" s="1"/>
  <c r="BF228"/>
  <c r="BG228" s="1"/>
  <c r="BF227"/>
  <c r="BG227" s="1"/>
  <c r="BF221"/>
  <c r="BG221" s="1"/>
  <c r="BF220"/>
  <c r="BG220" s="1"/>
  <c r="BF219"/>
  <c r="BG219" s="1"/>
  <c r="BF218"/>
  <c r="BG218" s="1"/>
  <c r="BF217"/>
  <c r="BG217" s="1"/>
  <c r="BF216"/>
  <c r="BG216" s="1"/>
  <c r="BF215"/>
  <c r="BG215" s="1"/>
  <c r="BF214"/>
  <c r="BG214" s="1"/>
  <c r="BF213"/>
  <c r="BG213" s="1"/>
  <c r="BF212"/>
  <c r="BG212" s="1"/>
  <c r="BF211"/>
  <c r="BG211" s="1"/>
  <c r="BF210"/>
  <c r="BG210" s="1"/>
  <c r="BF209"/>
  <c r="BG209" s="1"/>
  <c r="BF208"/>
  <c r="BG208" s="1"/>
  <c r="BF207"/>
  <c r="BG207" s="1"/>
  <c r="BF206"/>
  <c r="BG206" s="1"/>
  <c r="BF205"/>
  <c r="BG205" s="1"/>
  <c r="BF204"/>
  <c r="BG204" s="1"/>
  <c r="BF203"/>
  <c r="BG203" s="1"/>
  <c r="BF202"/>
  <c r="BG202" s="1"/>
  <c r="BF201"/>
  <c r="BG201" s="1"/>
  <c r="BF200"/>
  <c r="BG200" s="1"/>
  <c r="BF199"/>
  <c r="BG199" s="1"/>
  <c r="BF198"/>
  <c r="BG198" s="1"/>
  <c r="BF187"/>
  <c r="BG187" s="1"/>
  <c r="BF185"/>
  <c r="BG185" s="1"/>
  <c r="BF184"/>
  <c r="BG184" s="1"/>
  <c r="BF183"/>
  <c r="BG183" s="1"/>
  <c r="BF182"/>
  <c r="BG182" s="1"/>
  <c r="BF181"/>
  <c r="BG181" s="1"/>
  <c r="BF180"/>
  <c r="BG180" s="1"/>
  <c r="BF179"/>
  <c r="BG179" s="1"/>
  <c r="BF165"/>
  <c r="BG165" s="1"/>
  <c r="BF162"/>
  <c r="BG162" s="1"/>
  <c r="BF161"/>
  <c r="BG161" s="1"/>
  <c r="BF160"/>
  <c r="BG160" s="1"/>
  <c r="BF159"/>
  <c r="BG159" s="1"/>
  <c r="BF158"/>
  <c r="BG158" s="1"/>
  <c r="BF157"/>
  <c r="BG157" s="1"/>
  <c r="BF156"/>
  <c r="BG156" s="1"/>
  <c r="BF155"/>
  <c r="BG155" s="1"/>
  <c r="BF154"/>
  <c r="BG154" s="1"/>
  <c r="BF153"/>
  <c r="BG153" s="1"/>
  <c r="BF152"/>
  <c r="BG152" s="1"/>
  <c r="BF151"/>
  <c r="BG151" s="1"/>
  <c r="BF150"/>
  <c r="BG150" s="1"/>
  <c r="BF149"/>
  <c r="BG149" s="1"/>
  <c r="BF148"/>
  <c r="BG148" s="1"/>
  <c r="BF147"/>
  <c r="BG147" s="1"/>
  <c r="BF146"/>
  <c r="BG146" s="1"/>
  <c r="BF132"/>
  <c r="BG132" s="1"/>
  <c r="BF131"/>
  <c r="BG131" s="1"/>
  <c r="BF130"/>
  <c r="BG130" s="1"/>
  <c r="BF129"/>
  <c r="BG129" s="1"/>
  <c r="BF128"/>
  <c r="BG128" s="1"/>
  <c r="BF127"/>
  <c r="BG127" s="1"/>
  <c r="BF126"/>
  <c r="BG126" s="1"/>
  <c r="BF125"/>
  <c r="BG125" s="1"/>
  <c r="BF124"/>
  <c r="BG124" s="1"/>
  <c r="BF123"/>
  <c r="BG123" s="1"/>
  <c r="BF122"/>
  <c r="BG122" s="1"/>
  <c r="BF121"/>
  <c r="BG121" s="1"/>
  <c r="BF120"/>
  <c r="BG120" s="1"/>
  <c r="BF108"/>
  <c r="BG108" s="1"/>
  <c r="BF106"/>
  <c r="BG106" s="1"/>
  <c r="BF105"/>
  <c r="BG105" s="1"/>
  <c r="BF104"/>
  <c r="BG104" s="1"/>
  <c r="BF103"/>
  <c r="BG103" s="1"/>
  <c r="BF102"/>
  <c r="BG102" s="1"/>
  <c r="BF101"/>
  <c r="BG101" s="1"/>
  <c r="BF100"/>
  <c r="BG100" s="1"/>
  <c r="BF99"/>
  <c r="BG99" s="1"/>
  <c r="BG98"/>
  <c r="BF97"/>
  <c r="BG97" s="1"/>
  <c r="BF96"/>
  <c r="BG96" s="1"/>
  <c r="BF95"/>
  <c r="BG95" s="1"/>
  <c r="BF94"/>
  <c r="BG94" s="1"/>
  <c r="BF93"/>
  <c r="BG93" s="1"/>
  <c r="BF92"/>
  <c r="BG92" s="1"/>
  <c r="BF91"/>
  <c r="BG91" s="1"/>
  <c r="BF90"/>
  <c r="BG90" s="1"/>
  <c r="BF89"/>
  <c r="BG89" s="1"/>
  <c r="BF88"/>
  <c r="BG88" s="1"/>
  <c r="BF87"/>
  <c r="BG87" s="1"/>
  <c r="BF86"/>
  <c r="BG86" s="1"/>
  <c r="BF85"/>
  <c r="BG85" s="1"/>
  <c r="BF73"/>
  <c r="BG73" s="1"/>
  <c r="BF72"/>
  <c r="BG72" s="1"/>
  <c r="BF71"/>
  <c r="BG71" s="1"/>
  <c r="BF70"/>
  <c r="BG70" s="1"/>
  <c r="BF69"/>
  <c r="BG69" s="1"/>
  <c r="BF68"/>
  <c r="BG68" s="1"/>
  <c r="BF67"/>
  <c r="BG67" s="1"/>
  <c r="BF66"/>
  <c r="BG66" s="1"/>
  <c r="BF65"/>
  <c r="BG65" s="1"/>
  <c r="BF64"/>
  <c r="BG64" s="1"/>
  <c r="BF63"/>
  <c r="BG63" s="1"/>
  <c r="BF62"/>
  <c r="BG62" s="1"/>
  <c r="BF61"/>
  <c r="BG61" s="1"/>
  <c r="BF60"/>
  <c r="BG60" s="1"/>
  <c r="BF59"/>
  <c r="BG59" s="1"/>
  <c r="BF58"/>
  <c r="BG58" s="1"/>
  <c r="BF57"/>
  <c r="BG57" s="1"/>
  <c r="BF56"/>
  <c r="BG56" s="1"/>
  <c r="BF55"/>
  <c r="BG55" s="1"/>
  <c r="BF54"/>
  <c r="BG54" s="1"/>
  <c r="BF53"/>
  <c r="BG53" s="1"/>
  <c r="BF52"/>
  <c r="BG52" s="1"/>
  <c r="BF51"/>
  <c r="BG51" s="1"/>
  <c r="BF40"/>
  <c r="BG40" s="1"/>
  <c r="BF38"/>
  <c r="BG38" s="1"/>
  <c r="BF37"/>
  <c r="BG37" s="1"/>
  <c r="BF36"/>
  <c r="BG36" s="1"/>
  <c r="BF35"/>
  <c r="BG35" s="1"/>
  <c r="BF34"/>
  <c r="BG34" s="1"/>
  <c r="BF33"/>
  <c r="BG33" s="1"/>
  <c r="BF32"/>
  <c r="BG32" s="1"/>
  <c r="BF31"/>
  <c r="BG31" s="1"/>
  <c r="BF30"/>
  <c r="BG30" s="1"/>
  <c r="BF29"/>
  <c r="BG29" s="1"/>
  <c r="BF28"/>
  <c r="BG28" s="1"/>
  <c r="BF27"/>
  <c r="BG27" s="1"/>
  <c r="BF26"/>
  <c r="BG26" s="1"/>
  <c r="BF25"/>
  <c r="BG25" s="1"/>
  <c r="BF24"/>
  <c r="BG24" s="1"/>
  <c r="BF23"/>
  <c r="BG23" s="1"/>
  <c r="BF22"/>
  <c r="BG22" s="1"/>
  <c r="BF21"/>
  <c r="BG21" s="1"/>
  <c r="BF20"/>
  <c r="BG20" s="1"/>
  <c r="BF19"/>
  <c r="BG19" s="1"/>
  <c r="BF18"/>
  <c r="BG18" s="1"/>
  <c r="BF17"/>
  <c r="BG17" s="1"/>
  <c r="BF16"/>
  <c r="BG16" s="1"/>
  <c r="BF15"/>
  <c r="BG15" s="1"/>
  <c r="BF14"/>
  <c r="BG14" s="1"/>
  <c r="BF13"/>
  <c r="BG13" s="1"/>
  <c r="BF10"/>
  <c r="BG10" s="1"/>
  <c r="BF9"/>
  <c r="BG9" s="1"/>
  <c r="BF8"/>
  <c r="BG8" s="1"/>
  <c r="BF7"/>
  <c r="BG7" s="1"/>
  <c r="AY121"/>
  <c r="AZ121" s="1"/>
  <c r="AY241"/>
  <c r="AZ241" s="1"/>
  <c r="AY240"/>
  <c r="AZ240" s="1"/>
  <c r="AY239"/>
  <c r="AZ239" s="1"/>
  <c r="AY238"/>
  <c r="AZ238" s="1"/>
  <c r="AY237"/>
  <c r="AZ237" s="1"/>
  <c r="AY236"/>
  <c r="AZ236" s="1"/>
  <c r="AY235"/>
  <c r="AZ235" s="1"/>
  <c r="AY234"/>
  <c r="AZ234" s="1"/>
  <c r="AY233"/>
  <c r="AZ233" s="1"/>
  <c r="AY232"/>
  <c r="AZ232" s="1"/>
  <c r="AY231"/>
  <c r="AZ231" s="1"/>
  <c r="AY230"/>
  <c r="AZ230" s="1"/>
  <c r="AY229"/>
  <c r="AZ229" s="1"/>
  <c r="AY228"/>
  <c r="AZ228" s="1"/>
  <c r="AY227"/>
  <c r="AZ227" s="1"/>
  <c r="AY221"/>
  <c r="AZ221" s="1"/>
  <c r="AY220"/>
  <c r="AZ220" s="1"/>
  <c r="AY219"/>
  <c r="AZ219" s="1"/>
  <c r="AY218"/>
  <c r="AZ218" s="1"/>
  <c r="AY217"/>
  <c r="AZ217" s="1"/>
  <c r="AY216"/>
  <c r="AZ216" s="1"/>
  <c r="AY215"/>
  <c r="AZ215" s="1"/>
  <c r="AZ214"/>
  <c r="AY213"/>
  <c r="AZ213" s="1"/>
  <c r="AY212"/>
  <c r="AZ212" s="1"/>
  <c r="AY211"/>
  <c r="AZ211" s="1"/>
  <c r="AY210"/>
  <c r="AZ210" s="1"/>
  <c r="AY209"/>
  <c r="AZ209" s="1"/>
  <c r="AY208"/>
  <c r="AZ208" s="1"/>
  <c r="AY207"/>
  <c r="AZ207" s="1"/>
  <c r="AY206"/>
  <c r="AZ206" s="1"/>
  <c r="AY205"/>
  <c r="AZ205" s="1"/>
  <c r="AY204"/>
  <c r="AZ204" s="1"/>
  <c r="AY203"/>
  <c r="AZ203" s="1"/>
  <c r="AY201"/>
  <c r="AZ201" s="1"/>
  <c r="AY200"/>
  <c r="AZ200" s="1"/>
  <c r="AY199"/>
  <c r="AZ199" s="1"/>
  <c r="AZ198"/>
  <c r="AY187"/>
  <c r="AZ187" s="1"/>
  <c r="AY185"/>
  <c r="AZ185" s="1"/>
  <c r="AY184"/>
  <c r="AZ184" s="1"/>
  <c r="AY183"/>
  <c r="AZ183" s="1"/>
  <c r="AY182"/>
  <c r="AZ182" s="1"/>
  <c r="AY181"/>
  <c r="AZ181" s="1"/>
  <c r="AY180"/>
  <c r="AZ180" s="1"/>
  <c r="AY179"/>
  <c r="AZ179" s="1"/>
  <c r="AY165"/>
  <c r="AZ165" s="1"/>
  <c r="AZ163"/>
  <c r="AY162"/>
  <c r="AZ162" s="1"/>
  <c r="AY161"/>
  <c r="AZ161" s="1"/>
  <c r="AY160"/>
  <c r="AZ160" s="1"/>
  <c r="AY159"/>
  <c r="AZ159" s="1"/>
  <c r="AY158"/>
  <c r="AZ158" s="1"/>
  <c r="AY157"/>
  <c r="AZ157" s="1"/>
  <c r="AY156"/>
  <c r="AZ156" s="1"/>
  <c r="AY155"/>
  <c r="AZ155" s="1"/>
  <c r="AY154"/>
  <c r="AZ154" s="1"/>
  <c r="AY153"/>
  <c r="AZ153" s="1"/>
  <c r="AY152"/>
  <c r="AZ152" s="1"/>
  <c r="AY151"/>
  <c r="AZ151" s="1"/>
  <c r="AY150"/>
  <c r="AZ150" s="1"/>
  <c r="AY149"/>
  <c r="AZ149" s="1"/>
  <c r="AY148"/>
  <c r="AZ148" s="1"/>
  <c r="AY147"/>
  <c r="AZ147" s="1"/>
  <c r="AY146"/>
  <c r="AZ146" s="1"/>
  <c r="AY132"/>
  <c r="AZ132" s="1"/>
  <c r="AY131"/>
  <c r="AZ131" s="1"/>
  <c r="AY130"/>
  <c r="AZ130" s="1"/>
  <c r="AY129"/>
  <c r="AZ129" s="1"/>
  <c r="AY128"/>
  <c r="AZ128" s="1"/>
  <c r="AY127"/>
  <c r="AZ127" s="1"/>
  <c r="AY126"/>
  <c r="AZ126" s="1"/>
  <c r="AY125"/>
  <c r="AZ125" s="1"/>
  <c r="AY124"/>
  <c r="AZ124" s="1"/>
  <c r="AY123"/>
  <c r="AZ123" s="1"/>
  <c r="AY122"/>
  <c r="AZ122" s="1"/>
  <c r="AY120"/>
  <c r="AZ120" s="1"/>
  <c r="AY108"/>
  <c r="AZ108" s="1"/>
  <c r="AZ106"/>
  <c r="AY105"/>
  <c r="AZ105" s="1"/>
  <c r="AY103"/>
  <c r="AZ103" s="1"/>
  <c r="AY102"/>
  <c r="AZ102" s="1"/>
  <c r="AY101"/>
  <c r="AZ101" s="1"/>
  <c r="AY100"/>
  <c r="AZ100" s="1"/>
  <c r="AY99"/>
  <c r="AZ99" s="1"/>
  <c r="AY98"/>
  <c r="AZ98" s="1"/>
  <c r="AY97"/>
  <c r="AZ97" s="1"/>
  <c r="AY96"/>
  <c r="AZ96" s="1"/>
  <c r="AY95"/>
  <c r="AZ95" s="1"/>
  <c r="AY94"/>
  <c r="AZ94" s="1"/>
  <c r="AY93"/>
  <c r="AZ93" s="1"/>
  <c r="AY92"/>
  <c r="AZ92" s="1"/>
  <c r="AY91"/>
  <c r="AZ91" s="1"/>
  <c r="AY90"/>
  <c r="AZ90" s="1"/>
  <c r="AY89"/>
  <c r="AZ89" s="1"/>
  <c r="AY88"/>
  <c r="AZ88" s="1"/>
  <c r="AY87"/>
  <c r="AZ87" s="1"/>
  <c r="AY86"/>
  <c r="AZ86" s="1"/>
  <c r="AY85"/>
  <c r="AZ85" s="1"/>
  <c r="AY73"/>
  <c r="AZ73" s="1"/>
  <c r="AY72"/>
  <c r="AZ72" s="1"/>
  <c r="AY71"/>
  <c r="AZ71" s="1"/>
  <c r="AY70"/>
  <c r="AZ70" s="1"/>
  <c r="AY69"/>
  <c r="AZ69" s="1"/>
  <c r="AY68"/>
  <c r="AZ68" s="1"/>
  <c r="AY67"/>
  <c r="AZ67" s="1"/>
  <c r="AY66"/>
  <c r="AZ66" s="1"/>
  <c r="AY65"/>
  <c r="AZ65" s="1"/>
  <c r="AY64"/>
  <c r="AZ64" s="1"/>
  <c r="AY63"/>
  <c r="AZ63" s="1"/>
  <c r="AY62"/>
  <c r="AZ62" s="1"/>
  <c r="AY61"/>
  <c r="AZ61" s="1"/>
  <c r="AY60"/>
  <c r="AZ60" s="1"/>
  <c r="AY59"/>
  <c r="AZ59" s="1"/>
  <c r="AY58"/>
  <c r="AZ58" s="1"/>
  <c r="AY57"/>
  <c r="AZ57" s="1"/>
  <c r="AY56"/>
  <c r="AZ56" s="1"/>
  <c r="AY55"/>
  <c r="AZ55" s="1"/>
  <c r="AY54"/>
  <c r="AZ54" s="1"/>
  <c r="AY53"/>
  <c r="AZ53" s="1"/>
  <c r="AY52"/>
  <c r="AZ52" s="1"/>
  <c r="AY51"/>
  <c r="AZ51" s="1"/>
  <c r="AY40"/>
  <c r="AZ40" s="1"/>
  <c r="AY38"/>
  <c r="AZ38" s="1"/>
  <c r="AY37"/>
  <c r="AZ37" s="1"/>
  <c r="AY36"/>
  <c r="AZ36" s="1"/>
  <c r="AY35"/>
  <c r="AZ35" s="1"/>
  <c r="AY34"/>
  <c r="AZ34" s="1"/>
  <c r="AY33"/>
  <c r="AZ33" s="1"/>
  <c r="AY32"/>
  <c r="AZ32" s="1"/>
  <c r="AY31"/>
  <c r="AZ31" s="1"/>
  <c r="AY30"/>
  <c r="AZ30" s="1"/>
  <c r="AY29"/>
  <c r="AZ29" s="1"/>
  <c r="AY28"/>
  <c r="AZ28" s="1"/>
  <c r="AY27"/>
  <c r="AZ27" s="1"/>
  <c r="AY26"/>
  <c r="AZ26" s="1"/>
  <c r="AY25"/>
  <c r="AZ25" s="1"/>
  <c r="AY24"/>
  <c r="AZ24" s="1"/>
  <c r="AY23"/>
  <c r="AZ23" s="1"/>
  <c r="AY22"/>
  <c r="AZ22" s="1"/>
  <c r="AY21"/>
  <c r="AZ21" s="1"/>
  <c r="AY20"/>
  <c r="AZ20" s="1"/>
  <c r="AY19"/>
  <c r="AZ19" s="1"/>
  <c r="AY18"/>
  <c r="AZ18" s="1"/>
  <c r="AY17"/>
  <c r="AZ17" s="1"/>
  <c r="AY16"/>
  <c r="AZ16" s="1"/>
  <c r="AY15"/>
  <c r="AZ15" s="1"/>
  <c r="AY14"/>
  <c r="AZ14" s="1"/>
  <c r="AY13"/>
  <c r="AZ13" s="1"/>
  <c r="AY10"/>
  <c r="AZ10" s="1"/>
  <c r="AY9"/>
  <c r="AZ9" s="1"/>
  <c r="AY8"/>
  <c r="AZ8" s="1"/>
  <c r="AY7"/>
  <c r="AZ7" s="1"/>
  <c r="AG7"/>
  <c r="BU41" i="5" l="1"/>
  <c r="AH11" i="2"/>
  <c r="AH11" i="3" s="1"/>
  <c r="BL133" i="4"/>
  <c r="AK14" i="2"/>
  <c r="BO133" i="4"/>
  <c r="BQ133" s="1"/>
  <c r="BL41"/>
  <c r="AK11" i="2"/>
  <c r="AK11" i="3" s="1"/>
  <c r="AO11" s="1"/>
  <c r="AP11" s="1"/>
  <c r="BO41" i="4"/>
  <c r="BQ41" s="1"/>
  <c r="AK12" i="2"/>
  <c r="BO74" i="4"/>
  <c r="BQ74" s="1"/>
  <c r="BL188"/>
  <c r="AK16" i="2"/>
  <c r="BO188" i="4"/>
  <c r="BQ188" s="1"/>
  <c r="BR109" i="5"/>
  <c r="BY109" s="1"/>
  <c r="BZ109" s="1"/>
  <c r="AK13" i="2"/>
  <c r="BO109" i="4"/>
  <c r="BQ109" s="1"/>
  <c r="BR222" i="5"/>
  <c r="BY222" s="1"/>
  <c r="BZ222" s="1"/>
  <c r="AK17" i="2"/>
  <c r="BO222" i="4"/>
  <c r="BQ222" s="1"/>
  <c r="BS228" i="5"/>
  <c r="BT228" s="1"/>
  <c r="CB228"/>
  <c r="BS230"/>
  <c r="BT230" s="1"/>
  <c r="CB230"/>
  <c r="BS232"/>
  <c r="BT232" s="1"/>
  <c r="CB232"/>
  <c r="BS234"/>
  <c r="BT234" s="1"/>
  <c r="CB234"/>
  <c r="BS236"/>
  <c r="BT236" s="1"/>
  <c r="CB236"/>
  <c r="BS238"/>
  <c r="BT238" s="1"/>
  <c r="CB238"/>
  <c r="BS240"/>
  <c r="BT240" s="1"/>
  <c r="CB240"/>
  <c r="BS242"/>
  <c r="BT242" s="1"/>
  <c r="CB242"/>
  <c r="BR188"/>
  <c r="BY188" s="1"/>
  <c r="BZ188" s="1"/>
  <c r="BS229"/>
  <c r="BT229" s="1"/>
  <c r="CB229"/>
  <c r="BS231"/>
  <c r="BT231" s="1"/>
  <c r="CB231"/>
  <c r="BS233"/>
  <c r="BT233" s="1"/>
  <c r="CB233"/>
  <c r="BS235"/>
  <c r="BT235" s="1"/>
  <c r="CB235"/>
  <c r="BS237"/>
  <c r="BT237" s="1"/>
  <c r="CB237"/>
  <c r="BS239"/>
  <c r="BT239" s="1"/>
  <c r="CB239"/>
  <c r="BS241"/>
  <c r="BT241" s="1"/>
  <c r="CB241"/>
  <c r="BR133"/>
  <c r="BF222" i="4"/>
  <c r="BG222" s="1"/>
  <c r="AF166" i="5"/>
  <c r="BP166" s="1"/>
  <c r="BQ166" s="1"/>
  <c r="AF222"/>
  <c r="BM222" s="1"/>
  <c r="BN222" s="1"/>
  <c r="AF41" i="4"/>
  <c r="AE11" i="2" s="1"/>
  <c r="AE11" i="3" s="1"/>
  <c r="BV11" i="5"/>
  <c r="BM12"/>
  <c r="BN12" s="1"/>
  <c r="BM105"/>
  <c r="BN105" s="1"/>
  <c r="BM106"/>
  <c r="BN106" s="1"/>
  <c r="BV103"/>
  <c r="AY133" i="4"/>
  <c r="AZ133" s="1"/>
  <c r="AY166"/>
  <c r="AZ166" s="1"/>
  <c r="BM11" i="5"/>
  <c r="BM103"/>
  <c r="BN103" s="1"/>
  <c r="AF133"/>
  <c r="BO222"/>
  <c r="BP222" s="1"/>
  <c r="BQ222" s="1"/>
  <c r="BU188"/>
  <c r="BV211"/>
  <c r="BV221"/>
  <c r="BV203"/>
  <c r="BV208"/>
  <c r="AO11" i="2"/>
  <c r="AP11" s="1"/>
  <c r="AH14"/>
  <c r="BV216" i="5"/>
  <c r="BV200"/>
  <c r="BV220"/>
  <c r="BV212"/>
  <c r="BV204"/>
  <c r="BV198"/>
  <c r="BU74"/>
  <c r="BV217"/>
  <c r="BV207"/>
  <c r="BV199"/>
  <c r="BV151"/>
  <c r="BV102"/>
  <c r="BV8"/>
  <c r="BV218"/>
  <c r="BV214"/>
  <c r="BV210"/>
  <c r="BV206"/>
  <c r="BV202"/>
  <c r="BV12"/>
  <c r="BU222"/>
  <c r="BU133"/>
  <c r="BV106"/>
  <c r="BV219"/>
  <c r="BV213"/>
  <c r="BV209"/>
  <c r="BV205"/>
  <c r="BV201"/>
  <c r="BV105"/>
  <c r="BW166" i="4"/>
  <c r="BX166" s="1"/>
  <c r="AF109"/>
  <c r="AE13" i="2" s="1"/>
  <c r="AE13" i="3" s="1"/>
  <c r="BW41" i="4"/>
  <c r="BX41" s="1"/>
  <c r="BW133"/>
  <c r="BX133" s="1"/>
  <c r="BW188"/>
  <c r="BX188" s="1"/>
  <c r="BF109"/>
  <c r="BG109" s="1"/>
  <c r="BF188"/>
  <c r="BG188" s="1"/>
  <c r="M68"/>
  <c r="N68" s="1"/>
  <c r="AT104"/>
  <c r="AU104" s="1"/>
  <c r="AY104"/>
  <c r="AZ104" s="1"/>
  <c r="AY222"/>
  <c r="AZ222" s="1"/>
  <c r="BF133"/>
  <c r="BG133" s="1"/>
  <c r="BO133" i="5"/>
  <c r="AH15" i="2"/>
  <c r="AH15" i="3" s="1"/>
  <c r="AI15" s="1"/>
  <c r="AJ15" s="1"/>
  <c r="BV98" i="5"/>
  <c r="BV97"/>
  <c r="BV89"/>
  <c r="BV88"/>
  <c r="BV86"/>
  <c r="BF166" i="4"/>
  <c r="BG166" s="1"/>
  <c r="BL222"/>
  <c r="BM222" s="1"/>
  <c r="BE242"/>
  <c r="BV96" i="5"/>
  <c r="BV95"/>
  <c r="BV94"/>
  <c r="BO41"/>
  <c r="BM179"/>
  <c r="BN179" s="1"/>
  <c r="BL166"/>
  <c r="BM146"/>
  <c r="BN146" s="1"/>
  <c r="BL133"/>
  <c r="BM120"/>
  <c r="BN120" s="1"/>
  <c r="BL41"/>
  <c r="BV41" s="1"/>
  <c r="BM7"/>
  <c r="BN7" s="1"/>
  <c r="BL109"/>
  <c r="BM85"/>
  <c r="BN85" s="1"/>
  <c r="BM51"/>
  <c r="BN51" s="1"/>
  <c r="BL74"/>
  <c r="BM19"/>
  <c r="BN19" s="1"/>
  <c r="BV19"/>
  <c r="V41"/>
  <c r="AB41"/>
  <c r="AC41" s="1"/>
  <c r="BM40"/>
  <c r="BN40" s="1"/>
  <c r="BM187"/>
  <c r="BN187" s="1"/>
  <c r="BM185"/>
  <c r="BN185" s="1"/>
  <c r="BM184"/>
  <c r="BN184" s="1"/>
  <c r="BM183"/>
  <c r="BN183" s="1"/>
  <c r="BM180"/>
  <c r="BN180" s="1"/>
  <c r="BM164"/>
  <c r="BN164" s="1"/>
  <c r="BM163"/>
  <c r="BN163" s="1"/>
  <c r="BM162"/>
  <c r="BN162" s="1"/>
  <c r="BM161"/>
  <c r="BN161" s="1"/>
  <c r="BM160"/>
  <c r="BN160" s="1"/>
  <c r="BM159"/>
  <c r="BN159" s="1"/>
  <c r="BM158"/>
  <c r="BN158" s="1"/>
  <c r="BM157"/>
  <c r="BN157" s="1"/>
  <c r="BM156"/>
  <c r="BN156" s="1"/>
  <c r="BM155"/>
  <c r="BN155" s="1"/>
  <c r="BM154"/>
  <c r="BN154" s="1"/>
  <c r="BM153"/>
  <c r="BN153" s="1"/>
  <c r="BM152"/>
  <c r="BN152" s="1"/>
  <c r="BM151"/>
  <c r="BN151" s="1"/>
  <c r="BM150"/>
  <c r="BN150" s="1"/>
  <c r="BM149"/>
  <c r="BN149" s="1"/>
  <c r="BM148"/>
  <c r="BN148" s="1"/>
  <c r="BM147"/>
  <c r="BN147" s="1"/>
  <c r="BM132"/>
  <c r="BN132" s="1"/>
  <c r="BM131"/>
  <c r="BN131" s="1"/>
  <c r="BM130"/>
  <c r="BN130" s="1"/>
  <c r="BM129"/>
  <c r="BN129" s="1"/>
  <c r="BM127"/>
  <c r="BN127" s="1"/>
  <c r="BM126"/>
  <c r="BN126" s="1"/>
  <c r="BM125"/>
  <c r="BN125" s="1"/>
  <c r="BM124"/>
  <c r="BN124" s="1"/>
  <c r="BM123"/>
  <c r="BN123" s="1"/>
  <c r="BM122"/>
  <c r="BN122" s="1"/>
  <c r="BM121"/>
  <c r="BN121" s="1"/>
  <c r="BM108"/>
  <c r="BN108" s="1"/>
  <c r="BM104"/>
  <c r="BN104" s="1"/>
  <c r="BM101"/>
  <c r="BN101" s="1"/>
  <c r="BM100"/>
  <c r="BN100" s="1"/>
  <c r="BM99"/>
  <c r="BN99" s="1"/>
  <c r="BM98"/>
  <c r="BN98" s="1"/>
  <c r="BM97"/>
  <c r="BN97" s="1"/>
  <c r="BM96"/>
  <c r="BN96" s="1"/>
  <c r="BM95"/>
  <c r="BN95" s="1"/>
  <c r="BM94"/>
  <c r="BN94" s="1"/>
  <c r="BM93"/>
  <c r="BN93" s="1"/>
  <c r="BM92"/>
  <c r="BN92" s="1"/>
  <c r="BM90"/>
  <c r="BN90" s="1"/>
  <c r="BM89"/>
  <c r="BN89" s="1"/>
  <c r="BM88"/>
  <c r="BN88" s="1"/>
  <c r="BM87"/>
  <c r="BN87" s="1"/>
  <c r="BM86"/>
  <c r="BN86" s="1"/>
  <c r="BM73"/>
  <c r="BN73" s="1"/>
  <c r="BM72"/>
  <c r="BN72" s="1"/>
  <c r="BM71"/>
  <c r="BN71" s="1"/>
  <c r="BM70"/>
  <c r="BN70" s="1"/>
  <c r="BM69"/>
  <c r="BN69" s="1"/>
  <c r="BM68"/>
  <c r="BN68" s="1"/>
  <c r="BM67"/>
  <c r="BN67" s="1"/>
  <c r="BM66"/>
  <c r="BN66" s="1"/>
  <c r="BM65"/>
  <c r="BN65" s="1"/>
  <c r="BM64"/>
  <c r="BN64" s="1"/>
  <c r="BM63"/>
  <c r="BN63" s="1"/>
  <c r="BM62"/>
  <c r="BN62" s="1"/>
  <c r="BM61"/>
  <c r="BN61" s="1"/>
  <c r="BM60"/>
  <c r="BN60" s="1"/>
  <c r="BM59"/>
  <c r="BN59" s="1"/>
  <c r="BM58"/>
  <c r="BN58" s="1"/>
  <c r="BM57"/>
  <c r="BN57" s="1"/>
  <c r="BM56"/>
  <c r="BN56" s="1"/>
  <c r="BM55"/>
  <c r="BN55" s="1"/>
  <c r="BM54"/>
  <c r="BN54" s="1"/>
  <c r="BM53"/>
  <c r="BN53" s="1"/>
  <c r="BM52"/>
  <c r="BN52" s="1"/>
  <c r="BM38"/>
  <c r="BN38" s="1"/>
  <c r="BM37"/>
  <c r="BN37" s="1"/>
  <c r="BM36"/>
  <c r="BN36" s="1"/>
  <c r="BM35"/>
  <c r="BN35" s="1"/>
  <c r="BM34"/>
  <c r="BN34" s="1"/>
  <c r="BM33"/>
  <c r="BN33" s="1"/>
  <c r="BM32"/>
  <c r="BN32" s="1"/>
  <c r="BM31"/>
  <c r="BN31" s="1"/>
  <c r="BM30"/>
  <c r="BN30" s="1"/>
  <c r="BM29"/>
  <c r="BN29" s="1"/>
  <c r="BM28"/>
  <c r="BN28" s="1"/>
  <c r="BM27"/>
  <c r="BN27" s="1"/>
  <c r="BM26"/>
  <c r="BN26" s="1"/>
  <c r="BM25"/>
  <c r="BN25" s="1"/>
  <c r="BM24"/>
  <c r="BN24" s="1"/>
  <c r="BM23"/>
  <c r="BN23" s="1"/>
  <c r="BM22"/>
  <c r="BN22" s="1"/>
  <c r="BM21"/>
  <c r="BN21" s="1"/>
  <c r="BM18"/>
  <c r="BN18" s="1"/>
  <c r="BM17"/>
  <c r="BN17" s="1"/>
  <c r="BM16"/>
  <c r="BN16" s="1"/>
  <c r="BM15"/>
  <c r="BN15" s="1"/>
  <c r="BM14"/>
  <c r="BN14" s="1"/>
  <c r="BM13"/>
  <c r="BN13" s="1"/>
  <c r="BM10"/>
  <c r="BN10" s="1"/>
  <c r="BM9"/>
  <c r="BN9" s="1"/>
  <c r="BM8"/>
  <c r="BN8" s="1"/>
  <c r="BV185"/>
  <c r="BV161"/>
  <c r="BV157"/>
  <c r="BV153"/>
  <c r="BV147"/>
  <c r="BV130"/>
  <c r="BV126"/>
  <c r="BV122"/>
  <c r="BV92"/>
  <c r="BV73"/>
  <c r="BV69"/>
  <c r="BV65"/>
  <c r="BV61"/>
  <c r="BV57"/>
  <c r="BV53"/>
  <c r="BV36"/>
  <c r="BV32"/>
  <c r="BV28"/>
  <c r="BV24"/>
  <c r="BV18"/>
  <c r="BV14"/>
  <c r="BV10"/>
  <c r="BV179"/>
  <c r="BV51"/>
  <c r="BV187"/>
  <c r="BV164"/>
  <c r="BV160"/>
  <c r="BV156"/>
  <c r="BV152"/>
  <c r="BV148"/>
  <c r="BV129"/>
  <c r="BV125"/>
  <c r="BV121"/>
  <c r="BV101"/>
  <c r="BV93"/>
  <c r="BV87"/>
  <c r="BV70"/>
  <c r="BV66"/>
  <c r="BV62"/>
  <c r="BV58"/>
  <c r="BV54"/>
  <c r="BV40"/>
  <c r="BV35"/>
  <c r="BV31"/>
  <c r="BV27"/>
  <c r="BV23"/>
  <c r="BV17"/>
  <c r="BV13"/>
  <c r="BV9"/>
  <c r="BV146"/>
  <c r="BU109"/>
  <c r="BV85"/>
  <c r="BM20"/>
  <c r="BN20" s="1"/>
  <c r="BV20"/>
  <c r="Y41"/>
  <c r="BM102"/>
  <c r="BN102" s="1"/>
  <c r="BV183"/>
  <c r="BV163"/>
  <c r="BV159"/>
  <c r="BV155"/>
  <c r="BV149"/>
  <c r="BV132"/>
  <c r="BV128"/>
  <c r="BV124"/>
  <c r="BV104"/>
  <c r="BV100"/>
  <c r="BV90"/>
  <c r="BV71"/>
  <c r="BV67"/>
  <c r="BV63"/>
  <c r="BV59"/>
  <c r="BV55"/>
  <c r="BV38"/>
  <c r="BV34"/>
  <c r="BV30"/>
  <c r="BV26"/>
  <c r="BV22"/>
  <c r="BV16"/>
  <c r="BV120"/>
  <c r="BV184"/>
  <c r="BV180"/>
  <c r="BV162"/>
  <c r="BV158"/>
  <c r="BV154"/>
  <c r="BV150"/>
  <c r="BV131"/>
  <c r="BV127"/>
  <c r="BV123"/>
  <c r="BV108"/>
  <c r="BV99"/>
  <c r="BV91"/>
  <c r="BV72"/>
  <c r="BV68"/>
  <c r="BV64"/>
  <c r="BV60"/>
  <c r="BV56"/>
  <c r="BV52"/>
  <c r="BV37"/>
  <c r="BV33"/>
  <c r="BV29"/>
  <c r="BV25"/>
  <c r="BV21"/>
  <c r="BV15"/>
  <c r="BU166"/>
  <c r="AI17" i="3"/>
  <c r="AJ17" s="1"/>
  <c r="AH13" i="2"/>
  <c r="AH13" i="3" s="1"/>
  <c r="BR74" i="5"/>
  <c r="BY74" s="1"/>
  <c r="BZ74" s="1"/>
  <c r="BL74" i="4"/>
  <c r="AT133"/>
  <c r="BM133"/>
  <c r="BM166"/>
  <c r="AT222"/>
  <c r="BP102"/>
  <c r="BV241" i="5"/>
  <c r="BP241" i="4"/>
  <c r="BV240" i="5"/>
  <c r="BP240" i="4"/>
  <c r="BV239" i="5"/>
  <c r="BP239" i="4"/>
  <c r="BV238" i="5"/>
  <c r="BP238" i="4"/>
  <c r="BV237" i="5"/>
  <c r="BP237" i="4"/>
  <c r="BV236" i="5"/>
  <c r="BP236" i="4"/>
  <c r="BV235" i="5"/>
  <c r="BP235" i="4"/>
  <c r="BV234" i="5"/>
  <c r="BP234" i="4"/>
  <c r="BV233" i="5"/>
  <c r="BP233" i="4"/>
  <c r="BV232" i="5"/>
  <c r="BP232" i="4"/>
  <c r="BV231" i="5"/>
  <c r="BP231" i="4"/>
  <c r="BV230" i="5"/>
  <c r="BP230" i="4"/>
  <c r="BV229" i="5"/>
  <c r="BP229" i="4"/>
  <c r="BV228" i="5"/>
  <c r="BP228" i="4"/>
  <c r="BP221"/>
  <c r="BP220"/>
  <c r="BP219"/>
  <c r="BP218"/>
  <c r="BP217"/>
  <c r="BP216"/>
  <c r="BP215"/>
  <c r="BP214"/>
  <c r="BP213"/>
  <c r="BP212"/>
  <c r="BP211"/>
  <c r="BP210"/>
  <c r="BP209"/>
  <c r="BP208"/>
  <c r="BP207"/>
  <c r="BP206"/>
  <c r="BP205"/>
  <c r="BP204"/>
  <c r="BP203"/>
  <c r="BP202"/>
  <c r="BP201"/>
  <c r="BP200"/>
  <c r="BP199"/>
  <c r="BP198"/>
  <c r="BP187"/>
  <c r="BP185"/>
  <c r="BP184"/>
  <c r="BP183"/>
  <c r="BP180"/>
  <c r="BP179"/>
  <c r="BP165"/>
  <c r="BP163"/>
  <c r="BP162"/>
  <c r="BP158"/>
  <c r="BP157"/>
  <c r="BP154"/>
  <c r="BP153"/>
  <c r="BP150"/>
  <c r="BP149"/>
  <c r="BP148"/>
  <c r="BP147"/>
  <c r="BP146"/>
  <c r="BP132"/>
  <c r="BP131"/>
  <c r="BP130"/>
  <c r="BP129"/>
  <c r="BP128"/>
  <c r="BP127"/>
  <c r="BP126"/>
  <c r="BP125"/>
  <c r="BP124"/>
  <c r="BP123"/>
  <c r="BP122"/>
  <c r="BP121"/>
  <c r="BP120"/>
  <c r="BP108"/>
  <c r="BP104"/>
  <c r="BP101"/>
  <c r="BP100"/>
  <c r="BP99"/>
  <c r="BP93"/>
  <c r="BP92"/>
  <c r="BP91"/>
  <c r="BP90"/>
  <c r="BP87"/>
  <c r="BP73"/>
  <c r="BN221" i="5"/>
  <c r="AU221" i="4"/>
  <c r="AU220"/>
  <c r="AU219"/>
  <c r="AU218"/>
  <c r="AU217"/>
  <c r="AU216"/>
  <c r="AU215"/>
  <c r="AU214"/>
  <c r="AU213"/>
  <c r="AU212"/>
  <c r="AU211"/>
  <c r="AU210"/>
  <c r="AU209"/>
  <c r="AU208"/>
  <c r="AU207"/>
  <c r="AU206"/>
  <c r="AU205"/>
  <c r="AU204"/>
  <c r="AU203"/>
  <c r="AU202"/>
  <c r="AU201"/>
  <c r="AU200"/>
  <c r="AU199"/>
  <c r="AU198"/>
  <c r="BP98"/>
  <c r="BP97"/>
  <c r="BP96"/>
  <c r="BP95"/>
  <c r="BP94"/>
  <c r="BP89"/>
  <c r="BP88"/>
  <c r="BP86"/>
  <c r="BP85"/>
  <c r="AU40"/>
  <c r="AU187"/>
  <c r="AU185"/>
  <c r="AU184"/>
  <c r="AU183"/>
  <c r="AU180"/>
  <c r="AU179"/>
  <c r="AU165"/>
  <c r="AU163"/>
  <c r="AU162"/>
  <c r="AU161"/>
  <c r="AU160"/>
  <c r="AU159"/>
  <c r="AU158"/>
  <c r="AU157"/>
  <c r="AU156"/>
  <c r="AU155"/>
  <c r="AU154"/>
  <c r="AU153"/>
  <c r="AU152"/>
  <c r="AU151"/>
  <c r="AU150"/>
  <c r="AU149"/>
  <c r="AU148"/>
  <c r="AU147"/>
  <c r="AU146"/>
  <c r="AU132"/>
  <c r="AU131"/>
  <c r="AU130"/>
  <c r="AU129"/>
  <c r="BN128" i="5"/>
  <c r="AU128" i="4"/>
  <c r="AU127"/>
  <c r="AU126"/>
  <c r="AU125"/>
  <c r="AU124"/>
  <c r="AU123"/>
  <c r="AU122"/>
  <c r="AU121"/>
  <c r="AU120"/>
  <c r="AU108"/>
  <c r="AU102"/>
  <c r="AU101"/>
  <c r="AU100"/>
  <c r="AU99"/>
  <c r="AU98"/>
  <c r="AU97"/>
  <c r="AU96"/>
  <c r="AU95"/>
  <c r="AU94"/>
  <c r="AU93"/>
  <c r="AU92"/>
  <c r="BN91" i="5"/>
  <c r="AU91" i="4"/>
  <c r="AU90"/>
  <c r="AU89"/>
  <c r="AU88"/>
  <c r="AU87"/>
  <c r="AU86"/>
  <c r="AU85"/>
  <c r="AU73"/>
  <c r="AU72"/>
  <c r="AU71"/>
  <c r="AU70"/>
  <c r="AU69"/>
  <c r="AU68"/>
  <c r="AU67"/>
  <c r="AU66"/>
  <c r="AU65"/>
  <c r="AU64"/>
  <c r="AU63"/>
  <c r="AU62"/>
  <c r="AU61"/>
  <c r="AU60"/>
  <c r="AU59"/>
  <c r="AU58"/>
  <c r="AU57"/>
  <c r="AU56"/>
  <c r="AU55"/>
  <c r="AU54"/>
  <c r="AU53"/>
  <c r="AU52"/>
  <c r="AU51"/>
  <c r="AU38"/>
  <c r="AU37"/>
  <c r="AU36"/>
  <c r="AU35"/>
  <c r="AU34"/>
  <c r="AU33"/>
  <c r="AU32"/>
  <c r="AU31"/>
  <c r="AU30"/>
  <c r="AU29"/>
  <c r="AU28"/>
  <c r="AU27"/>
  <c r="AU26"/>
  <c r="AU25"/>
  <c r="AU24"/>
  <c r="AU23"/>
  <c r="AU22"/>
  <c r="AU21"/>
  <c r="AU20"/>
  <c r="AU19"/>
  <c r="AU18"/>
  <c r="AU17"/>
  <c r="AU16"/>
  <c r="AU15"/>
  <c r="AU14"/>
  <c r="AU13"/>
  <c r="AU10"/>
  <c r="AU9"/>
  <c r="AU8"/>
  <c r="BN198" i="5"/>
  <c r="BN199"/>
  <c r="BN200"/>
  <c r="BN201"/>
  <c r="BN202"/>
  <c r="BN203"/>
  <c r="BN204"/>
  <c r="BN205"/>
  <c r="BN206"/>
  <c r="BN207"/>
  <c r="BN208"/>
  <c r="BN209"/>
  <c r="BN210"/>
  <c r="BN211"/>
  <c r="BN212"/>
  <c r="BN213"/>
  <c r="BN214"/>
  <c r="BN215"/>
  <c r="BN216"/>
  <c r="BN217"/>
  <c r="BN218"/>
  <c r="BN219"/>
  <c r="BN220"/>
  <c r="BP70" i="4"/>
  <c r="BP66"/>
  <c r="BP62"/>
  <c r="BP58"/>
  <c r="BP54"/>
  <c r="BP40"/>
  <c r="BP35"/>
  <c r="BP31"/>
  <c r="BP27"/>
  <c r="BP23"/>
  <c r="BP17"/>
  <c r="BP13"/>
  <c r="BP7"/>
  <c r="BP71"/>
  <c r="BP67"/>
  <c r="BP63"/>
  <c r="BP59"/>
  <c r="BP55"/>
  <c r="BP51"/>
  <c r="BP36"/>
  <c r="BP32"/>
  <c r="BP28"/>
  <c r="BP24"/>
  <c r="BP18"/>
  <c r="BP14"/>
  <c r="BP8"/>
  <c r="BP72"/>
  <c r="BP68"/>
  <c r="BP64"/>
  <c r="BP60"/>
  <c r="BP56"/>
  <c r="BP52"/>
  <c r="BP37"/>
  <c r="BP33"/>
  <c r="BP29"/>
  <c r="BP25"/>
  <c r="BP21"/>
  <c r="BP15"/>
  <c r="BP9"/>
  <c r="BP69"/>
  <c r="BP65"/>
  <c r="BP61"/>
  <c r="BP57"/>
  <c r="BP53"/>
  <c r="BP34"/>
  <c r="BP30"/>
  <c r="BP26"/>
  <c r="BP22"/>
  <c r="BP16"/>
  <c r="BP10"/>
  <c r="BP161"/>
  <c r="BP160"/>
  <c r="BP159"/>
  <c r="BP156"/>
  <c r="BP155"/>
  <c r="BP152"/>
  <c r="BP151"/>
  <c r="AU105"/>
  <c r="BP105"/>
  <c r="BP103"/>
  <c r="AU103"/>
  <c r="AU106"/>
  <c r="BP106"/>
  <c r="BN11" i="5"/>
  <c r="AU11" i="4"/>
  <c r="BM41"/>
  <c r="AU12"/>
  <c r="AT41"/>
  <c r="BP11"/>
  <c r="BP12"/>
  <c r="BR166" i="5"/>
  <c r="BY166" s="1"/>
  <c r="BZ166" s="1"/>
  <c r="BL109" i="4"/>
  <c r="BS111" i="5"/>
  <c r="BT111" s="1"/>
  <c r="N18" i="4"/>
  <c r="AG41"/>
  <c r="AY41"/>
  <c r="AZ41" s="1"/>
  <c r="M18"/>
  <c r="AX242"/>
  <c r="BO244" i="5" s="1"/>
  <c r="AF41"/>
  <c r="BP7"/>
  <c r="BQ7" s="1"/>
  <c r="BS7"/>
  <c r="BT7" s="1"/>
  <c r="BP8"/>
  <c r="BQ8" s="1"/>
  <c r="BP9"/>
  <c r="BQ9" s="1"/>
  <c r="BP10"/>
  <c r="BQ10" s="1"/>
  <c r="BP11"/>
  <c r="BQ11" s="1"/>
  <c r="BP12"/>
  <c r="BQ12" s="1"/>
  <c r="BP13"/>
  <c r="BQ13" s="1"/>
  <c r="BP14"/>
  <c r="BQ14" s="1"/>
  <c r="BP15"/>
  <c r="BQ15" s="1"/>
  <c r="BP16"/>
  <c r="BQ16" s="1"/>
  <c r="BP17"/>
  <c r="BQ17" s="1"/>
  <c r="BP18"/>
  <c r="BQ18" s="1"/>
  <c r="BP19"/>
  <c r="BQ19" s="1"/>
  <c r="BP20"/>
  <c r="BQ20" s="1"/>
  <c r="BP21"/>
  <c r="BQ21" s="1"/>
  <c r="BP22"/>
  <c r="BQ22" s="1"/>
  <c r="BP23"/>
  <c r="BQ23" s="1"/>
  <c r="BP24"/>
  <c r="BQ24" s="1"/>
  <c r="BP25"/>
  <c r="BQ25" s="1"/>
  <c r="BP26"/>
  <c r="BQ26" s="1"/>
  <c r="BP27"/>
  <c r="BQ27" s="1"/>
  <c r="BP28"/>
  <c r="BQ28" s="1"/>
  <c r="BP29"/>
  <c r="BQ29" s="1"/>
  <c r="BP30"/>
  <c r="BQ30" s="1"/>
  <c r="BP31"/>
  <c r="BQ31" s="1"/>
  <c r="BP32"/>
  <c r="BQ32" s="1"/>
  <c r="BP33"/>
  <c r="BQ33" s="1"/>
  <c r="BP34"/>
  <c r="BQ34" s="1"/>
  <c r="BP35"/>
  <c r="BQ35" s="1"/>
  <c r="BP36"/>
  <c r="BQ36" s="1"/>
  <c r="BP37"/>
  <c r="BQ37" s="1"/>
  <c r="BP38"/>
  <c r="BQ38" s="1"/>
  <c r="BP40"/>
  <c r="BQ40" s="1"/>
  <c r="BP51"/>
  <c r="BQ51" s="1"/>
  <c r="BP52"/>
  <c r="BQ52" s="1"/>
  <c r="BP53"/>
  <c r="BQ53" s="1"/>
  <c r="BP54"/>
  <c r="BQ54" s="1"/>
  <c r="BP55"/>
  <c r="BQ55" s="1"/>
  <c r="BP56"/>
  <c r="BQ56" s="1"/>
  <c r="BP57"/>
  <c r="BQ57" s="1"/>
  <c r="BP58"/>
  <c r="BQ58" s="1"/>
  <c r="BP59"/>
  <c r="BQ59" s="1"/>
  <c r="BP60"/>
  <c r="BQ60" s="1"/>
  <c r="BP61"/>
  <c r="BQ61" s="1"/>
  <c r="BP62"/>
  <c r="BQ62" s="1"/>
  <c r="BP63"/>
  <c r="BQ63" s="1"/>
  <c r="BP64"/>
  <c r="BQ64" s="1"/>
  <c r="BP65"/>
  <c r="BQ65" s="1"/>
  <c r="BP66"/>
  <c r="BQ66" s="1"/>
  <c r="BP67"/>
  <c r="BQ67" s="1"/>
  <c r="BP68"/>
  <c r="BQ68" s="1"/>
  <c r="BP69"/>
  <c r="BQ69" s="1"/>
  <c r="BP70"/>
  <c r="BQ70" s="1"/>
  <c r="BP71"/>
  <c r="BQ71" s="1"/>
  <c r="BP72"/>
  <c r="BQ72" s="1"/>
  <c r="BP73"/>
  <c r="BQ73" s="1"/>
  <c r="BP85"/>
  <c r="BQ85" s="1"/>
  <c r="BP86"/>
  <c r="BQ86" s="1"/>
  <c r="BP87"/>
  <c r="BQ87" s="1"/>
  <c r="BP88"/>
  <c r="BQ88" s="1"/>
  <c r="BP89"/>
  <c r="BQ89" s="1"/>
  <c r="BP90"/>
  <c r="BQ90" s="1"/>
  <c r="BP92"/>
  <c r="BQ92" s="1"/>
  <c r="BP93"/>
  <c r="BQ93" s="1"/>
  <c r="BP94"/>
  <c r="BQ94" s="1"/>
  <c r="BP95"/>
  <c r="BQ95" s="1"/>
  <c r="BP96"/>
  <c r="BQ96" s="1"/>
  <c r="BP97"/>
  <c r="BQ97" s="1"/>
  <c r="BP98"/>
  <c r="BQ98" s="1"/>
  <c r="BP99"/>
  <c r="BQ99" s="1"/>
  <c r="BP100"/>
  <c r="BQ100" s="1"/>
  <c r="BP101"/>
  <c r="BQ101" s="1"/>
  <c r="BP102"/>
  <c r="BQ102" s="1"/>
  <c r="BP103"/>
  <c r="BQ103" s="1"/>
  <c r="BP104"/>
  <c r="BQ104" s="1"/>
  <c r="BP105"/>
  <c r="BQ105" s="1"/>
  <c r="BP106"/>
  <c r="BQ106" s="1"/>
  <c r="BP108"/>
  <c r="BQ108" s="1"/>
  <c r="BP120"/>
  <c r="BQ120" s="1"/>
  <c r="BP121"/>
  <c r="BQ121" s="1"/>
  <c r="BP122"/>
  <c r="BQ122" s="1"/>
  <c r="BP123"/>
  <c r="BQ123" s="1"/>
  <c r="BP124"/>
  <c r="BQ124" s="1"/>
  <c r="BP125"/>
  <c r="BQ125" s="1"/>
  <c r="BP126"/>
  <c r="BQ126" s="1"/>
  <c r="BP127"/>
  <c r="BQ127" s="1"/>
  <c r="BP129"/>
  <c r="BQ129" s="1"/>
  <c r="BP130"/>
  <c r="BQ130" s="1"/>
  <c r="BP131"/>
  <c r="BQ131" s="1"/>
  <c r="BP132"/>
  <c r="BQ132" s="1"/>
  <c r="BP146"/>
  <c r="BQ146" s="1"/>
  <c r="BP147"/>
  <c r="BQ147" s="1"/>
  <c r="BP148"/>
  <c r="BQ148" s="1"/>
  <c r="BP149"/>
  <c r="BQ149" s="1"/>
  <c r="BP150"/>
  <c r="BQ150" s="1"/>
  <c r="BP151"/>
  <c r="BQ151" s="1"/>
  <c r="BP152"/>
  <c r="BQ152" s="1"/>
  <c r="BP153"/>
  <c r="BQ153" s="1"/>
  <c r="BP154"/>
  <c r="BQ154" s="1"/>
  <c r="BP155"/>
  <c r="BQ155" s="1"/>
  <c r="BP156"/>
  <c r="BQ156" s="1"/>
  <c r="BP157"/>
  <c r="BQ157" s="1"/>
  <c r="BP158"/>
  <c r="BQ158" s="1"/>
  <c r="BP159"/>
  <c r="BQ159" s="1"/>
  <c r="BP160"/>
  <c r="BQ160" s="1"/>
  <c r="BP161"/>
  <c r="BQ161" s="1"/>
  <c r="BP162"/>
  <c r="BQ162" s="1"/>
  <c r="BP163"/>
  <c r="BQ163" s="1"/>
  <c r="BP164"/>
  <c r="BQ164" s="1"/>
  <c r="BP179"/>
  <c r="BQ179" s="1"/>
  <c r="BP180"/>
  <c r="BQ180" s="1"/>
  <c r="BP181"/>
  <c r="BQ181" s="1"/>
  <c r="BP182"/>
  <c r="BQ182" s="1"/>
  <c r="BP183"/>
  <c r="BQ183" s="1"/>
  <c r="BP184"/>
  <c r="BQ184" s="1"/>
  <c r="BP185"/>
  <c r="BQ185" s="1"/>
  <c r="BP187"/>
  <c r="BQ187" s="1"/>
  <c r="BP198"/>
  <c r="BQ198" s="1"/>
  <c r="BP199"/>
  <c r="BQ199" s="1"/>
  <c r="BP200"/>
  <c r="BQ200" s="1"/>
  <c r="BP201"/>
  <c r="BQ201" s="1"/>
  <c r="BP202"/>
  <c r="BQ202" s="1"/>
  <c r="BP203"/>
  <c r="BQ203" s="1"/>
  <c r="BP204"/>
  <c r="BQ204" s="1"/>
  <c r="BP205"/>
  <c r="BQ205" s="1"/>
  <c r="BP206"/>
  <c r="BQ206" s="1"/>
  <c r="BP207"/>
  <c r="BQ207" s="1"/>
  <c r="BP208"/>
  <c r="BQ208" s="1"/>
  <c r="BP209"/>
  <c r="BQ209" s="1"/>
  <c r="BP210"/>
  <c r="BQ210" s="1"/>
  <c r="BP211"/>
  <c r="BQ211" s="1"/>
  <c r="BP212"/>
  <c r="BQ212" s="1"/>
  <c r="BP213"/>
  <c r="BQ213" s="1"/>
  <c r="BP214"/>
  <c r="BQ214" s="1"/>
  <c r="BP215"/>
  <c r="BQ215" s="1"/>
  <c r="BP216"/>
  <c r="BQ216" s="1"/>
  <c r="BP217"/>
  <c r="BQ217" s="1"/>
  <c r="BP218"/>
  <c r="BQ218" s="1"/>
  <c r="BP219"/>
  <c r="BQ219" s="1"/>
  <c r="BP220"/>
  <c r="BQ220" s="1"/>
  <c r="BS8"/>
  <c r="BT8" s="1"/>
  <c r="BS10"/>
  <c r="BT10" s="1"/>
  <c r="BS12"/>
  <c r="BT12" s="1"/>
  <c r="BS14"/>
  <c r="BT14" s="1"/>
  <c r="BS16"/>
  <c r="BT16" s="1"/>
  <c r="BS18"/>
  <c r="BT18" s="1"/>
  <c r="BS20"/>
  <c r="BT20" s="1"/>
  <c r="BS22"/>
  <c r="BT22" s="1"/>
  <c r="BS24"/>
  <c r="BT24" s="1"/>
  <c r="BS26"/>
  <c r="BT26" s="1"/>
  <c r="BS28"/>
  <c r="BT28" s="1"/>
  <c r="BS30"/>
  <c r="BT30" s="1"/>
  <c r="BS32"/>
  <c r="BT32" s="1"/>
  <c r="BS34"/>
  <c r="BT34" s="1"/>
  <c r="BS36"/>
  <c r="BT36" s="1"/>
  <c r="BS38"/>
  <c r="BT38" s="1"/>
  <c r="BS52"/>
  <c r="BT52" s="1"/>
  <c r="BS54"/>
  <c r="BT54" s="1"/>
  <c r="AI14" i="2"/>
  <c r="AJ14" s="1"/>
  <c r="AI17"/>
  <c r="AJ17" s="1"/>
  <c r="Y41" i="4"/>
  <c r="BS9" i="5"/>
  <c r="BT9" s="1"/>
  <c r="BS11"/>
  <c r="BT11" s="1"/>
  <c r="BS13"/>
  <c r="BT13" s="1"/>
  <c r="BS15"/>
  <c r="BT15" s="1"/>
  <c r="BS17"/>
  <c r="BT17" s="1"/>
  <c r="BS19"/>
  <c r="BT19" s="1"/>
  <c r="BS21"/>
  <c r="BT21" s="1"/>
  <c r="BS23"/>
  <c r="BT23" s="1"/>
  <c r="BS25"/>
  <c r="BT25" s="1"/>
  <c r="BS27"/>
  <c r="BT27" s="1"/>
  <c r="BS29"/>
  <c r="BT29" s="1"/>
  <c r="BS31"/>
  <c r="BT31" s="1"/>
  <c r="BS33"/>
  <c r="BT33" s="1"/>
  <c r="BS35"/>
  <c r="BT35" s="1"/>
  <c r="BS37"/>
  <c r="BT37" s="1"/>
  <c r="BS40"/>
  <c r="BT40" s="1"/>
  <c r="BS51"/>
  <c r="BT51" s="1"/>
  <c r="BS53"/>
  <c r="BT53" s="1"/>
  <c r="BS55"/>
  <c r="BT55" s="1"/>
  <c r="BS57"/>
  <c r="BT57" s="1"/>
  <c r="BS59"/>
  <c r="BT59" s="1"/>
  <c r="BS61"/>
  <c r="BT61" s="1"/>
  <c r="BS63"/>
  <c r="BT63" s="1"/>
  <c r="BS65"/>
  <c r="BT65" s="1"/>
  <c r="BS67"/>
  <c r="BT67" s="1"/>
  <c r="BS69"/>
  <c r="BT69" s="1"/>
  <c r="BS71"/>
  <c r="BT71" s="1"/>
  <c r="BS73"/>
  <c r="BT73" s="1"/>
  <c r="BS85"/>
  <c r="BT85" s="1"/>
  <c r="BS87"/>
  <c r="BT87" s="1"/>
  <c r="BS89"/>
  <c r="BT89" s="1"/>
  <c r="BS91"/>
  <c r="BT91" s="1"/>
  <c r="BS93"/>
  <c r="BT93" s="1"/>
  <c r="BS95"/>
  <c r="BT95" s="1"/>
  <c r="BS97"/>
  <c r="BT97" s="1"/>
  <c r="BS99"/>
  <c r="BT99" s="1"/>
  <c r="BS101"/>
  <c r="BT101" s="1"/>
  <c r="BS103"/>
  <c r="BT103" s="1"/>
  <c r="BS105"/>
  <c r="BT105" s="1"/>
  <c r="BS108"/>
  <c r="BT108" s="1"/>
  <c r="BS120"/>
  <c r="BT120" s="1"/>
  <c r="BS122"/>
  <c r="BT122" s="1"/>
  <c r="BS124"/>
  <c r="BT124" s="1"/>
  <c r="BS126"/>
  <c r="BT126" s="1"/>
  <c r="BS128"/>
  <c r="BT128" s="1"/>
  <c r="BS130"/>
  <c r="BT130" s="1"/>
  <c r="BS132"/>
  <c r="BT132" s="1"/>
  <c r="BS146"/>
  <c r="BT146" s="1"/>
  <c r="BS148"/>
  <c r="BT148" s="1"/>
  <c r="BS150"/>
  <c r="BT150" s="1"/>
  <c r="BS152"/>
  <c r="BT152" s="1"/>
  <c r="BS154"/>
  <c r="BT154" s="1"/>
  <c r="BS156"/>
  <c r="BT156" s="1"/>
  <c r="BS158"/>
  <c r="BT158" s="1"/>
  <c r="BS160"/>
  <c r="BT160" s="1"/>
  <c r="BS162"/>
  <c r="BT162" s="1"/>
  <c r="BS164"/>
  <c r="BT164" s="1"/>
  <c r="BS179"/>
  <c r="BT179" s="1"/>
  <c r="BS181"/>
  <c r="BT181" s="1"/>
  <c r="BS183"/>
  <c r="BT183" s="1"/>
  <c r="BS185"/>
  <c r="BT185" s="1"/>
  <c r="BS188"/>
  <c r="BT188" s="1"/>
  <c r="BS199"/>
  <c r="BT199" s="1"/>
  <c r="BS201"/>
  <c r="BT201" s="1"/>
  <c r="BS203"/>
  <c r="BT203" s="1"/>
  <c r="BS205"/>
  <c r="BT205" s="1"/>
  <c r="BS207"/>
  <c r="BT207" s="1"/>
  <c r="BS209"/>
  <c r="BT209" s="1"/>
  <c r="BS211"/>
  <c r="BT211" s="1"/>
  <c r="BS213"/>
  <c r="BT213" s="1"/>
  <c r="BS215"/>
  <c r="BT215" s="1"/>
  <c r="BS217"/>
  <c r="BT217" s="1"/>
  <c r="BS219"/>
  <c r="BT219" s="1"/>
  <c r="BS221"/>
  <c r="BT221" s="1"/>
  <c r="BS56"/>
  <c r="BT56" s="1"/>
  <c r="BS58"/>
  <c r="BT58" s="1"/>
  <c r="BS60"/>
  <c r="BT60" s="1"/>
  <c r="BS62"/>
  <c r="BT62" s="1"/>
  <c r="BS64"/>
  <c r="BT64" s="1"/>
  <c r="BS66"/>
  <c r="BT66" s="1"/>
  <c r="BS68"/>
  <c r="BT68" s="1"/>
  <c r="BS70"/>
  <c r="BT70" s="1"/>
  <c r="BS72"/>
  <c r="BT72" s="1"/>
  <c r="BS86"/>
  <c r="BT86" s="1"/>
  <c r="BS88"/>
  <c r="BT88" s="1"/>
  <c r="BS90"/>
  <c r="BT90" s="1"/>
  <c r="BS92"/>
  <c r="BT92" s="1"/>
  <c r="BS94"/>
  <c r="BT94" s="1"/>
  <c r="BS96"/>
  <c r="BT96" s="1"/>
  <c r="BS98"/>
  <c r="BT98" s="1"/>
  <c r="BS100"/>
  <c r="BT100" s="1"/>
  <c r="BS102"/>
  <c r="BT102" s="1"/>
  <c r="BS104"/>
  <c r="BT104" s="1"/>
  <c r="BS106"/>
  <c r="BT106" s="1"/>
  <c r="BS109"/>
  <c r="BT109" s="1"/>
  <c r="BS121"/>
  <c r="BT121" s="1"/>
  <c r="BS123"/>
  <c r="BT123" s="1"/>
  <c r="BS125"/>
  <c r="BT125" s="1"/>
  <c r="BS127"/>
  <c r="BT127" s="1"/>
  <c r="BS129"/>
  <c r="BT129" s="1"/>
  <c r="BS131"/>
  <c r="BT131" s="1"/>
  <c r="BS147"/>
  <c r="BT147" s="1"/>
  <c r="BS149"/>
  <c r="BT149" s="1"/>
  <c r="BS151"/>
  <c r="BT151" s="1"/>
  <c r="BS153"/>
  <c r="BT153" s="1"/>
  <c r="BS155"/>
  <c r="BT155" s="1"/>
  <c r="BS157"/>
  <c r="BT157" s="1"/>
  <c r="BS159"/>
  <c r="BT159" s="1"/>
  <c r="BS161"/>
  <c r="BT161" s="1"/>
  <c r="BS163"/>
  <c r="BT163" s="1"/>
  <c r="BS180"/>
  <c r="BT180" s="1"/>
  <c r="BS182"/>
  <c r="BT182" s="1"/>
  <c r="BS184"/>
  <c r="BT184" s="1"/>
  <c r="BS187"/>
  <c r="BT187" s="1"/>
  <c r="BS198"/>
  <c r="BT198" s="1"/>
  <c r="BS200"/>
  <c r="BT200" s="1"/>
  <c r="BS202"/>
  <c r="BT202" s="1"/>
  <c r="BS204"/>
  <c r="BT204" s="1"/>
  <c r="BS206"/>
  <c r="BT206" s="1"/>
  <c r="BS208"/>
  <c r="BT208" s="1"/>
  <c r="BS210"/>
  <c r="BT210" s="1"/>
  <c r="BS212"/>
  <c r="BT212" s="1"/>
  <c r="BS214"/>
  <c r="BT214" s="1"/>
  <c r="BS216"/>
  <c r="BT216" s="1"/>
  <c r="BS218"/>
  <c r="BT218" s="1"/>
  <c r="BS220"/>
  <c r="BT220" s="1"/>
  <c r="BS222"/>
  <c r="BT222" s="1"/>
  <c r="AH14" i="3"/>
  <c r="AI14" s="1"/>
  <c r="AJ14" s="1"/>
  <c r="AI11" i="2"/>
  <c r="AJ11" s="1"/>
  <c r="AA56" i="4"/>
  <c r="AA56" i="5" s="1"/>
  <c r="X56"/>
  <c r="U56" i="4"/>
  <c r="U56" i="5" s="1"/>
  <c r="AA51" i="4"/>
  <c r="AA51" i="5" s="1"/>
  <c r="X51" i="4"/>
  <c r="X51" i="5" s="1"/>
  <c r="F51" i="4"/>
  <c r="F51" i="5" s="1"/>
  <c r="B164"/>
  <c r="B228"/>
  <c r="B229"/>
  <c r="B230"/>
  <c r="B231"/>
  <c r="B232"/>
  <c r="B233"/>
  <c r="B234"/>
  <c r="B235"/>
  <c r="B236"/>
  <c r="B237"/>
  <c r="B238"/>
  <c r="B239"/>
  <c r="B240"/>
  <c r="B241"/>
  <c r="B242"/>
  <c r="BK221"/>
  <c r="BK128"/>
  <c r="BK106"/>
  <c r="BK91"/>
  <c r="BK40"/>
  <c r="BK37"/>
  <c r="BK17"/>
  <c r="L228"/>
  <c r="L229"/>
  <c r="L230"/>
  <c r="L231"/>
  <c r="L232"/>
  <c r="L233"/>
  <c r="L234"/>
  <c r="L235"/>
  <c r="L236"/>
  <c r="L237"/>
  <c r="L238"/>
  <c r="L239"/>
  <c r="L240"/>
  <c r="L241"/>
  <c r="L242"/>
  <c r="O164"/>
  <c r="O228"/>
  <c r="O229"/>
  <c r="O230"/>
  <c r="O231"/>
  <c r="O232"/>
  <c r="O233"/>
  <c r="O234"/>
  <c r="O235"/>
  <c r="O236"/>
  <c r="O237"/>
  <c r="O238"/>
  <c r="O239"/>
  <c r="O240"/>
  <c r="O241"/>
  <c r="O242"/>
  <c r="R164"/>
  <c r="R228"/>
  <c r="R229"/>
  <c r="R230"/>
  <c r="R231"/>
  <c r="R232"/>
  <c r="R233"/>
  <c r="R234"/>
  <c r="R235"/>
  <c r="R236"/>
  <c r="R237"/>
  <c r="R238"/>
  <c r="R239"/>
  <c r="R240"/>
  <c r="R241"/>
  <c r="R242"/>
  <c r="U228"/>
  <c r="U229"/>
  <c r="U230"/>
  <c r="U231"/>
  <c r="U232"/>
  <c r="U233"/>
  <c r="U234"/>
  <c r="U235"/>
  <c r="U236"/>
  <c r="U237"/>
  <c r="U238"/>
  <c r="U239"/>
  <c r="U240"/>
  <c r="U241"/>
  <c r="U242"/>
  <c r="AI11" i="3" l="1"/>
  <c r="AJ11" s="1"/>
  <c r="AL11" i="2"/>
  <c r="AM11" s="1"/>
  <c r="CC133" i="5"/>
  <c r="BY133"/>
  <c r="BZ133" s="1"/>
  <c r="BL242" i="4"/>
  <c r="BW242" s="1"/>
  <c r="BX242" s="1"/>
  <c r="AK18" i="2"/>
  <c r="BO242" i="4"/>
  <c r="BQ242" s="1"/>
  <c r="BS166" i="5"/>
  <c r="BT166" s="1"/>
  <c r="AL14" i="2"/>
  <c r="AM14" s="1"/>
  <c r="BP133" i="5"/>
  <c r="BQ133" s="1"/>
  <c r="BV74"/>
  <c r="AY109" i="4"/>
  <c r="AZ109" s="1"/>
  <c r="BP41" i="5"/>
  <c r="BQ41" s="1"/>
  <c r="BV133"/>
  <c r="AK16" i="3"/>
  <c r="AO16" s="1"/>
  <c r="AP16" s="1"/>
  <c r="AO16" i="2"/>
  <c r="AP16" s="1"/>
  <c r="AK14" i="3"/>
  <c r="AO14" s="1"/>
  <c r="AP14" s="1"/>
  <c r="AO14" i="2"/>
  <c r="AP14" s="1"/>
  <c r="AK15" i="3"/>
  <c r="AO15" s="1"/>
  <c r="AP15" s="1"/>
  <c r="AO15" i="2"/>
  <c r="AP15" s="1"/>
  <c r="BU244" i="5"/>
  <c r="BV222"/>
  <c r="BW109" i="4"/>
  <c r="BX109" s="1"/>
  <c r="AL17" i="2"/>
  <c r="AM17" s="1"/>
  <c r="BW222" i="4"/>
  <c r="BX222" s="1"/>
  <c r="BW74"/>
  <c r="BX74" s="1"/>
  <c r="AF242"/>
  <c r="AT109"/>
  <c r="AU109" s="1"/>
  <c r="AI13" i="3"/>
  <c r="AJ13" s="1"/>
  <c r="AF109" i="5"/>
  <c r="BP109" s="1"/>
  <c r="BQ109" s="1"/>
  <c r="AL15" i="2"/>
  <c r="AM15" s="1"/>
  <c r="BS133" i="5"/>
  <c r="BT133" s="1"/>
  <c r="AI15" i="2"/>
  <c r="AJ15" s="1"/>
  <c r="AI13"/>
  <c r="AJ13" s="1"/>
  <c r="AT166" i="4"/>
  <c r="AU166" s="1"/>
  <c r="BV166" i="5"/>
  <c r="BV109"/>
  <c r="BM133"/>
  <c r="BN133" s="1"/>
  <c r="BM166"/>
  <c r="BN166" s="1"/>
  <c r="BM41"/>
  <c r="BN41" s="1"/>
  <c r="BM74"/>
  <c r="BM109" i="4"/>
  <c r="BP109" s="1"/>
  <c r="BP222"/>
  <c r="AU222"/>
  <c r="BP166"/>
  <c r="BP133"/>
  <c r="AU133"/>
  <c r="AU41"/>
  <c r="BP41"/>
  <c r="BF242"/>
  <c r="BG242" s="1"/>
  <c r="Y34" i="5"/>
  <c r="X228"/>
  <c r="X229"/>
  <c r="X230"/>
  <c r="X231"/>
  <c r="X232"/>
  <c r="X233"/>
  <c r="X234"/>
  <c r="X235"/>
  <c r="X236"/>
  <c r="X237"/>
  <c r="X238"/>
  <c r="X239"/>
  <c r="X240"/>
  <c r="X241"/>
  <c r="X242"/>
  <c r="AA228"/>
  <c r="AA229"/>
  <c r="AA230"/>
  <c r="AA231"/>
  <c r="AA232"/>
  <c r="AA233"/>
  <c r="AA234"/>
  <c r="AA235"/>
  <c r="AA236"/>
  <c r="AA237"/>
  <c r="AA238"/>
  <c r="AA239"/>
  <c r="AA240"/>
  <c r="AA241"/>
  <c r="AL15" i="3" l="1"/>
  <c r="AM15" s="1"/>
  <c r="AL14"/>
  <c r="AM14" s="1"/>
  <c r="AK18"/>
  <c r="AO18" s="1"/>
  <c r="AP18" s="1"/>
  <c r="AO18" i="2"/>
  <c r="AP18" s="1"/>
  <c r="AK12" i="3"/>
  <c r="AO12" s="1"/>
  <c r="AP12" s="1"/>
  <c r="AO12" i="2"/>
  <c r="AP12" s="1"/>
  <c r="AK17" i="3"/>
  <c r="AO17" s="1"/>
  <c r="AP17" s="1"/>
  <c r="AO17" i="2"/>
  <c r="AP17" s="1"/>
  <c r="AK13" i="3"/>
  <c r="AO13" s="1"/>
  <c r="AP13" s="1"/>
  <c r="AO13" i="2"/>
  <c r="AP13" s="1"/>
  <c r="AL13"/>
  <c r="AM13" s="1"/>
  <c r="BM109" i="5"/>
  <c r="BN109" s="1"/>
  <c r="BU242"/>
  <c r="AD8"/>
  <c r="AD9"/>
  <c r="AD10"/>
  <c r="AD11"/>
  <c r="AD12"/>
  <c r="AD13"/>
  <c r="AD14"/>
  <c r="AD15"/>
  <c r="AD16"/>
  <c r="AD17"/>
  <c r="AD18"/>
  <c r="AD19"/>
  <c r="AD20"/>
  <c r="AD21"/>
  <c r="AD22"/>
  <c r="AD23"/>
  <c r="AD24"/>
  <c r="AD25"/>
  <c r="AD26"/>
  <c r="AD27"/>
  <c r="AD28"/>
  <c r="AD29"/>
  <c r="AD30"/>
  <c r="AD31"/>
  <c r="AD32"/>
  <c r="AD33"/>
  <c r="AD34"/>
  <c r="AD51"/>
  <c r="AD52"/>
  <c r="AD53"/>
  <c r="AD54"/>
  <c r="AD55"/>
  <c r="AD56"/>
  <c r="AD57"/>
  <c r="AD58"/>
  <c r="AD59"/>
  <c r="AD60"/>
  <c r="AD61"/>
  <c r="AD62"/>
  <c r="AD63"/>
  <c r="AD64"/>
  <c r="AD65"/>
  <c r="AD66"/>
  <c r="AD67"/>
  <c r="AD68"/>
  <c r="AD69"/>
  <c r="AD70"/>
  <c r="AD71"/>
  <c r="AD72"/>
  <c r="AD73"/>
  <c r="AD75"/>
  <c r="AD85"/>
  <c r="AD86"/>
  <c r="AD87"/>
  <c r="AD88"/>
  <c r="AD89"/>
  <c r="AD90"/>
  <c r="AD92"/>
  <c r="AD93"/>
  <c r="AD94"/>
  <c r="AD95"/>
  <c r="AD96"/>
  <c r="AD97"/>
  <c r="AD98"/>
  <c r="AD99"/>
  <c r="AD100"/>
  <c r="AD101"/>
  <c r="AD102"/>
  <c r="AD103"/>
  <c r="AD104"/>
  <c r="AD105"/>
  <c r="AD106"/>
  <c r="AD108"/>
  <c r="AD120"/>
  <c r="AD122"/>
  <c r="AD123"/>
  <c r="AD125"/>
  <c r="AD126"/>
  <c r="AD127"/>
  <c r="AD129"/>
  <c r="AD130"/>
  <c r="AD131"/>
  <c r="AD132"/>
  <c r="AD136"/>
  <c r="AD137"/>
  <c r="AD146"/>
  <c r="AD147"/>
  <c r="AD148"/>
  <c r="AD149"/>
  <c r="AD150"/>
  <c r="AD151"/>
  <c r="AD152"/>
  <c r="AD153"/>
  <c r="AD154"/>
  <c r="AD155"/>
  <c r="AD156"/>
  <c r="AD157"/>
  <c r="AD158"/>
  <c r="AD159"/>
  <c r="AD160"/>
  <c r="AD161"/>
  <c r="AD162"/>
  <c r="AD163"/>
  <c r="AD164"/>
  <c r="AD167"/>
  <c r="AD169"/>
  <c r="AD179"/>
  <c r="AD180"/>
  <c r="AD181"/>
  <c r="AD182"/>
  <c r="AD183"/>
  <c r="AD184"/>
  <c r="AD185"/>
  <c r="AD187"/>
  <c r="AD198"/>
  <c r="AD199"/>
  <c r="AD200"/>
  <c r="AD201"/>
  <c r="AD202"/>
  <c r="AD203"/>
  <c r="AD204"/>
  <c r="AD205"/>
  <c r="AD206"/>
  <c r="AD207"/>
  <c r="AD208"/>
  <c r="AD209"/>
  <c r="AD210"/>
  <c r="AD211"/>
  <c r="AD212"/>
  <c r="AD213"/>
  <c r="AD214"/>
  <c r="AD215"/>
  <c r="AD216"/>
  <c r="AD217"/>
  <c r="AD218"/>
  <c r="AD219"/>
  <c r="AD220"/>
  <c r="AD221"/>
  <c r="AD228"/>
  <c r="AD229"/>
  <c r="AD230"/>
  <c r="AD231"/>
  <c r="AD232"/>
  <c r="AD233"/>
  <c r="AD234"/>
  <c r="AD235"/>
  <c r="AD236"/>
  <c r="AD237"/>
  <c r="AD238"/>
  <c r="AD239"/>
  <c r="AD240"/>
  <c r="AD241"/>
  <c r="AD242"/>
  <c r="AD7"/>
  <c r="I19"/>
  <c r="M57"/>
  <c r="M122"/>
  <c r="I164"/>
  <c r="M182"/>
  <c r="M203"/>
  <c r="M204"/>
  <c r="M205"/>
  <c r="M210"/>
  <c r="M214"/>
  <c r="I228"/>
  <c r="I229"/>
  <c r="I230"/>
  <c r="I231"/>
  <c r="I232"/>
  <c r="I233"/>
  <c r="I234"/>
  <c r="I235"/>
  <c r="I236"/>
  <c r="I237"/>
  <c r="I238"/>
  <c r="I239"/>
  <c r="I240"/>
  <c r="I241"/>
  <c r="I242"/>
  <c r="F19"/>
  <c r="F164"/>
  <c r="F228"/>
  <c r="F229"/>
  <c r="F230"/>
  <c r="F231"/>
  <c r="F232"/>
  <c r="F233"/>
  <c r="F234"/>
  <c r="F235"/>
  <c r="F236"/>
  <c r="F237"/>
  <c r="F238"/>
  <c r="F239"/>
  <c r="F240"/>
  <c r="F241"/>
  <c r="F242"/>
  <c r="C19"/>
  <c r="E55"/>
  <c r="E59"/>
  <c r="E60"/>
  <c r="E64"/>
  <c r="E66"/>
  <c r="E67"/>
  <c r="E68"/>
  <c r="E69"/>
  <c r="E87"/>
  <c r="E91"/>
  <c r="E92"/>
  <c r="E93"/>
  <c r="E94"/>
  <c r="E95"/>
  <c r="E122"/>
  <c r="E125"/>
  <c r="E153"/>
  <c r="E154"/>
  <c r="E155"/>
  <c r="E156"/>
  <c r="E157"/>
  <c r="C164"/>
  <c r="E164" s="1"/>
  <c r="E184"/>
  <c r="E185"/>
  <c r="E187"/>
  <c r="E198"/>
  <c r="E199"/>
  <c r="E200"/>
  <c r="E201"/>
  <c r="D202"/>
  <c r="D203"/>
  <c r="D204"/>
  <c r="D210"/>
  <c r="D214"/>
  <c r="D215"/>
  <c r="C228"/>
  <c r="E228" s="1"/>
  <c r="C229"/>
  <c r="E229" s="1"/>
  <c r="C230"/>
  <c r="E230" s="1"/>
  <c r="C231"/>
  <c r="E231" s="1"/>
  <c r="C232"/>
  <c r="E232" s="1"/>
  <c r="C233"/>
  <c r="E233" s="1"/>
  <c r="C234"/>
  <c r="E234" s="1"/>
  <c r="C235"/>
  <c r="E235" s="1"/>
  <c r="C236"/>
  <c r="E236" s="1"/>
  <c r="C237"/>
  <c r="E237" s="1"/>
  <c r="C238"/>
  <c r="E238" s="1"/>
  <c r="C239"/>
  <c r="E239" s="1"/>
  <c r="C240"/>
  <c r="E240" s="1"/>
  <c r="C241"/>
  <c r="E241" s="1"/>
  <c r="C242"/>
  <c r="E242" s="1"/>
  <c r="B19"/>
  <c r="H200" i="4"/>
  <c r="K227"/>
  <c r="K228"/>
  <c r="K229"/>
  <c r="K230"/>
  <c r="K231"/>
  <c r="K232"/>
  <c r="K233"/>
  <c r="K234"/>
  <c r="K235"/>
  <c r="K236"/>
  <c r="K237"/>
  <c r="K238"/>
  <c r="K239"/>
  <c r="K240"/>
  <c r="K241"/>
  <c r="K55"/>
  <c r="K59"/>
  <c r="K60"/>
  <c r="K63"/>
  <c r="K64"/>
  <c r="K66"/>
  <c r="K67"/>
  <c r="K68"/>
  <c r="K69"/>
  <c r="K87"/>
  <c r="K89"/>
  <c r="K91"/>
  <c r="K92"/>
  <c r="K93"/>
  <c r="K94"/>
  <c r="K95"/>
  <c r="K122"/>
  <c r="K124"/>
  <c r="K125"/>
  <c r="K153"/>
  <c r="K154"/>
  <c r="K155"/>
  <c r="K156"/>
  <c r="K158"/>
  <c r="K159"/>
  <c r="K160"/>
  <c r="K184"/>
  <c r="K185"/>
  <c r="K187"/>
  <c r="K198"/>
  <c r="K200"/>
  <c r="K201"/>
  <c r="K202"/>
  <c r="J87"/>
  <c r="J89"/>
  <c r="J91"/>
  <c r="J92"/>
  <c r="J93"/>
  <c r="J94"/>
  <c r="J95"/>
  <c r="J97"/>
  <c r="J99"/>
  <c r="J122"/>
  <c r="J124"/>
  <c r="J125"/>
  <c r="J153"/>
  <c r="J154"/>
  <c r="J155"/>
  <c r="J156"/>
  <c r="J158"/>
  <c r="J159"/>
  <c r="J160"/>
  <c r="J182"/>
  <c r="J184"/>
  <c r="J185"/>
  <c r="J187"/>
  <c r="J198"/>
  <c r="J199"/>
  <c r="J200"/>
  <c r="J201"/>
  <c r="J202"/>
  <c r="J203"/>
  <c r="J204"/>
  <c r="J205"/>
  <c r="J210"/>
  <c r="J214"/>
  <c r="J215"/>
  <c r="J216"/>
  <c r="J227"/>
  <c r="J228"/>
  <c r="J229"/>
  <c r="J230"/>
  <c r="J231"/>
  <c r="J232"/>
  <c r="J233"/>
  <c r="J234"/>
  <c r="J235"/>
  <c r="J236"/>
  <c r="J237"/>
  <c r="J238"/>
  <c r="J239"/>
  <c r="J240"/>
  <c r="J241"/>
  <c r="J52"/>
  <c r="J53"/>
  <c r="J54"/>
  <c r="J55"/>
  <c r="J57"/>
  <c r="J59"/>
  <c r="J60"/>
  <c r="J63"/>
  <c r="J64"/>
  <c r="J66"/>
  <c r="J67"/>
  <c r="J68"/>
  <c r="J69"/>
  <c r="H55"/>
  <c r="H59"/>
  <c r="H60"/>
  <c r="H66"/>
  <c r="H67"/>
  <c r="H68"/>
  <c r="H69"/>
  <c r="H87"/>
  <c r="H91"/>
  <c r="H92"/>
  <c r="H93"/>
  <c r="H94"/>
  <c r="H95"/>
  <c r="H122"/>
  <c r="H125"/>
  <c r="H153"/>
  <c r="H154"/>
  <c r="H155"/>
  <c r="H156"/>
  <c r="H158"/>
  <c r="H184"/>
  <c r="H185"/>
  <c r="H187"/>
  <c r="H198"/>
  <c r="H201"/>
  <c r="H202"/>
  <c r="H227"/>
  <c r="H228"/>
  <c r="H229"/>
  <c r="H230"/>
  <c r="H231"/>
  <c r="H232"/>
  <c r="H233"/>
  <c r="H234"/>
  <c r="H235"/>
  <c r="H236"/>
  <c r="H237"/>
  <c r="H238"/>
  <c r="H239"/>
  <c r="H240"/>
  <c r="H241"/>
  <c r="G52"/>
  <c r="G53"/>
  <c r="G54"/>
  <c r="G55"/>
  <c r="G59"/>
  <c r="G60"/>
  <c r="G64"/>
  <c r="G66"/>
  <c r="G67"/>
  <c r="G68"/>
  <c r="G69"/>
  <c r="G87"/>
  <c r="G91"/>
  <c r="G92"/>
  <c r="G93"/>
  <c r="G94"/>
  <c r="G95"/>
  <c r="G97"/>
  <c r="G99"/>
  <c r="G122"/>
  <c r="G125"/>
  <c r="G153"/>
  <c r="G154"/>
  <c r="G155"/>
  <c r="G156"/>
  <c r="G158"/>
  <c r="G159"/>
  <c r="G160"/>
  <c r="G179"/>
  <c r="G182"/>
  <c r="G184"/>
  <c r="G185"/>
  <c r="G187"/>
  <c r="G198"/>
  <c r="G199"/>
  <c r="G200"/>
  <c r="G201"/>
  <c r="G202"/>
  <c r="G203"/>
  <c r="G204"/>
  <c r="G210"/>
  <c r="G214"/>
  <c r="G215"/>
  <c r="G227"/>
  <c r="G228"/>
  <c r="G229"/>
  <c r="G230"/>
  <c r="G231"/>
  <c r="G232"/>
  <c r="G233"/>
  <c r="G234"/>
  <c r="G235"/>
  <c r="G236"/>
  <c r="G237"/>
  <c r="G238"/>
  <c r="G239"/>
  <c r="G240"/>
  <c r="G241"/>
  <c r="E55"/>
  <c r="E59"/>
  <c r="E60"/>
  <c r="E66"/>
  <c r="E67"/>
  <c r="E68"/>
  <c r="E69"/>
  <c r="E87"/>
  <c r="E91"/>
  <c r="E92"/>
  <c r="E93"/>
  <c r="E94"/>
  <c r="E95"/>
  <c r="E122"/>
  <c r="E123"/>
  <c r="E125"/>
  <c r="E153"/>
  <c r="E154"/>
  <c r="E155"/>
  <c r="E156"/>
  <c r="E157"/>
  <c r="E184"/>
  <c r="E185"/>
  <c r="E187"/>
  <c r="E198"/>
  <c r="E199"/>
  <c r="E200"/>
  <c r="E201"/>
  <c r="E227"/>
  <c r="E228"/>
  <c r="E229"/>
  <c r="E230"/>
  <c r="E231"/>
  <c r="E232"/>
  <c r="E233"/>
  <c r="E234"/>
  <c r="E235"/>
  <c r="E236"/>
  <c r="E237"/>
  <c r="E238"/>
  <c r="E239"/>
  <c r="E240"/>
  <c r="E241"/>
  <c r="D87"/>
  <c r="D91"/>
  <c r="D92"/>
  <c r="D93"/>
  <c r="D94"/>
  <c r="D95"/>
  <c r="D97"/>
  <c r="D99"/>
  <c r="D122"/>
  <c r="D123"/>
  <c r="D125"/>
  <c r="D153"/>
  <c r="D154"/>
  <c r="D155"/>
  <c r="D156"/>
  <c r="D157"/>
  <c r="D159"/>
  <c r="D160"/>
  <c r="D179"/>
  <c r="D182"/>
  <c r="D184"/>
  <c r="D185"/>
  <c r="D187"/>
  <c r="D198"/>
  <c r="D199"/>
  <c r="D200"/>
  <c r="D201"/>
  <c r="D202"/>
  <c r="D203"/>
  <c r="D204"/>
  <c r="D210"/>
  <c r="D214"/>
  <c r="D215"/>
  <c r="D227"/>
  <c r="D228"/>
  <c r="D229"/>
  <c r="D230"/>
  <c r="D231"/>
  <c r="D232"/>
  <c r="D233"/>
  <c r="D234"/>
  <c r="D235"/>
  <c r="D236"/>
  <c r="D237"/>
  <c r="D238"/>
  <c r="D239"/>
  <c r="D240"/>
  <c r="D241"/>
  <c r="D52"/>
  <c r="D53"/>
  <c r="D54"/>
  <c r="D55"/>
  <c r="D59"/>
  <c r="D60"/>
  <c r="D64"/>
  <c r="D66"/>
  <c r="D67"/>
  <c r="D68"/>
  <c r="D69"/>
  <c r="K8"/>
  <c r="K9"/>
  <c r="K10"/>
  <c r="K14"/>
  <c r="K15"/>
  <c r="K23"/>
  <c r="K26"/>
  <c r="K27"/>
  <c r="K28"/>
  <c r="K29"/>
  <c r="K30"/>
  <c r="K31"/>
  <c r="K33"/>
  <c r="K7"/>
  <c r="J8"/>
  <c r="J9"/>
  <c r="J10"/>
  <c r="J14"/>
  <c r="J15"/>
  <c r="J23"/>
  <c r="J26"/>
  <c r="J27"/>
  <c r="J28"/>
  <c r="J29"/>
  <c r="J30"/>
  <c r="J31"/>
  <c r="J33"/>
  <c r="J7"/>
  <c r="H8"/>
  <c r="H9"/>
  <c r="H10"/>
  <c r="H14"/>
  <c r="H15"/>
  <c r="H23"/>
  <c r="H26"/>
  <c r="H27"/>
  <c r="H28"/>
  <c r="H29"/>
  <c r="H30"/>
  <c r="H31"/>
  <c r="H7"/>
  <c r="G8"/>
  <c r="G9"/>
  <c r="G10"/>
  <c r="G14"/>
  <c r="G15"/>
  <c r="G23"/>
  <c r="G26"/>
  <c r="G27"/>
  <c r="G28"/>
  <c r="G29"/>
  <c r="G30"/>
  <c r="G31"/>
  <c r="G7"/>
  <c r="E8"/>
  <c r="E9"/>
  <c r="E10"/>
  <c r="E19"/>
  <c r="E26"/>
  <c r="E28"/>
  <c r="E29"/>
  <c r="E30"/>
  <c r="E31"/>
  <c r="E7"/>
  <c r="D8"/>
  <c r="D9"/>
  <c r="D10"/>
  <c r="D14"/>
  <c r="D19"/>
  <c r="D26"/>
  <c r="D28"/>
  <c r="D29"/>
  <c r="D30"/>
  <c r="D31"/>
  <c r="D7"/>
  <c r="B222"/>
  <c r="C222"/>
  <c r="F222"/>
  <c r="I222"/>
  <c r="I183"/>
  <c r="I183" i="5" s="1"/>
  <c r="F183" i="4"/>
  <c r="F183" i="5" s="1"/>
  <c r="C183" i="4"/>
  <c r="C183" i="5" s="1"/>
  <c r="B183" i="4"/>
  <c r="B183" i="5" s="1"/>
  <c r="I181" i="4"/>
  <c r="I181" i="5" s="1"/>
  <c r="F181" i="4"/>
  <c r="F181" i="5" s="1"/>
  <c r="C181" i="4"/>
  <c r="C181" i="5" s="1"/>
  <c r="B181" i="4"/>
  <c r="B181" i="5" s="1"/>
  <c r="I180" i="4"/>
  <c r="I180" i="5" s="1"/>
  <c r="F180" i="4"/>
  <c r="C180"/>
  <c r="B180"/>
  <c r="B180" i="5" s="1"/>
  <c r="I179" i="4"/>
  <c r="I157"/>
  <c r="I157" i="5" s="1"/>
  <c r="F157" i="4"/>
  <c r="F152"/>
  <c r="C152"/>
  <c r="C152" i="5" s="1"/>
  <c r="B152" i="4"/>
  <c r="B152" i="5" s="1"/>
  <c r="I151" i="4"/>
  <c r="I151" i="5" s="1"/>
  <c r="F151" i="4"/>
  <c r="F151" i="5" s="1"/>
  <c r="C151" i="4"/>
  <c r="C151" i="5" s="1"/>
  <c r="B151" i="4"/>
  <c r="B151" i="5" s="1"/>
  <c r="I150"/>
  <c r="F150"/>
  <c r="C150"/>
  <c r="B150"/>
  <c r="I148" i="4"/>
  <c r="I148" i="5" s="1"/>
  <c r="F148" i="4"/>
  <c r="F148" i="5" s="1"/>
  <c r="C148" i="4"/>
  <c r="C148" i="5" s="1"/>
  <c r="B148" i="4"/>
  <c r="B148" i="5" s="1"/>
  <c r="I147" i="4"/>
  <c r="I147" i="5" s="1"/>
  <c r="F147" i="4"/>
  <c r="F147" i="5" s="1"/>
  <c r="C147" i="4"/>
  <c r="C147" i="5" s="1"/>
  <c r="B147" i="4"/>
  <c r="B147" i="5" s="1"/>
  <c r="I146"/>
  <c r="F146"/>
  <c r="I128" i="4"/>
  <c r="I128" i="5" s="1"/>
  <c r="F128" i="4"/>
  <c r="F128" i="5" s="1"/>
  <c r="C128" i="4"/>
  <c r="I126"/>
  <c r="I126" i="5" s="1"/>
  <c r="F126" i="4"/>
  <c r="F126" i="5" s="1"/>
  <c r="C126" i="4"/>
  <c r="C126" i="5" s="1"/>
  <c r="B126" i="4"/>
  <c r="B126" i="5" s="1"/>
  <c r="C124" i="4"/>
  <c r="B124"/>
  <c r="B124" i="5" s="1"/>
  <c r="I123"/>
  <c r="I121" i="4"/>
  <c r="I121" i="5" s="1"/>
  <c r="F121" i="4"/>
  <c r="F121" i="5" s="1"/>
  <c r="C121" i="4"/>
  <c r="C121" i="5" s="1"/>
  <c r="B121" i="4"/>
  <c r="B121" i="5" s="1"/>
  <c r="F96" i="4"/>
  <c r="C96"/>
  <c r="C89"/>
  <c r="B89"/>
  <c r="B89" i="5" s="1"/>
  <c r="F88" i="4"/>
  <c r="C88"/>
  <c r="C88" i="5" s="1"/>
  <c r="B88" i="4"/>
  <c r="B88" i="5" s="1"/>
  <c r="F86" i="4"/>
  <c r="C86"/>
  <c r="C86" i="5" s="1"/>
  <c r="B86" i="4"/>
  <c r="B86" i="5" s="1"/>
  <c r="I85" i="4"/>
  <c r="F85"/>
  <c r="F85" i="5" s="1"/>
  <c r="C85" i="4"/>
  <c r="C85" i="5" s="1"/>
  <c r="B85" i="4"/>
  <c r="B85" i="5" s="1"/>
  <c r="I61" i="4"/>
  <c r="I61" i="5" s="1"/>
  <c r="F61" i="4"/>
  <c r="F61" i="5" s="1"/>
  <c r="C61" i="4"/>
  <c r="C61" i="5" s="1"/>
  <c r="B61" i="4"/>
  <c r="B61" i="5" s="1"/>
  <c r="I58" i="4"/>
  <c r="I58" i="5" s="1"/>
  <c r="F58" i="4"/>
  <c r="F58" i="5" s="1"/>
  <c r="C58" i="4"/>
  <c r="C58" i="5" s="1"/>
  <c r="B58" i="4"/>
  <c r="B58" i="5" s="1"/>
  <c r="I56" i="4"/>
  <c r="I56" i="5" s="1"/>
  <c r="F56" i="4"/>
  <c r="F56" i="5" s="1"/>
  <c r="C56" i="4"/>
  <c r="C56" i="5" s="1"/>
  <c r="B56" i="4"/>
  <c r="B56" i="5" s="1"/>
  <c r="I51" i="4"/>
  <c r="F74"/>
  <c r="C51"/>
  <c r="B51"/>
  <c r="B51" i="5" s="1"/>
  <c r="I34" i="4"/>
  <c r="I34" i="5" s="1"/>
  <c r="F34" i="4"/>
  <c r="F34" i="5" s="1"/>
  <c r="C34" i="4"/>
  <c r="C34" i="5" s="1"/>
  <c r="B34" i="4"/>
  <c r="B34" i="5" s="1"/>
  <c r="C33" i="4"/>
  <c r="B33"/>
  <c r="B33" i="5" s="1"/>
  <c r="I32" i="4"/>
  <c r="I32" i="5" s="1"/>
  <c r="F32" i="4"/>
  <c r="F32" i="5" s="1"/>
  <c r="C32" i="4"/>
  <c r="C32" i="5" s="1"/>
  <c r="B32" i="4"/>
  <c r="B32" i="5" s="1"/>
  <c r="B27" i="4"/>
  <c r="B27" i="5" s="1"/>
  <c r="I25" i="4"/>
  <c r="I25" i="5" s="1"/>
  <c r="F25" i="4"/>
  <c r="F25" i="5" s="1"/>
  <c r="C25" i="4"/>
  <c r="C25" i="5" s="1"/>
  <c r="B25" i="4"/>
  <c r="B25" i="5" s="1"/>
  <c r="F24" i="4"/>
  <c r="C24"/>
  <c r="C24" i="5" s="1"/>
  <c r="B24" i="4"/>
  <c r="B24" i="5" s="1"/>
  <c r="B23" i="4"/>
  <c r="B23" i="5" s="1"/>
  <c r="I21" i="4"/>
  <c r="I21" i="5" s="1"/>
  <c r="F21" i="4"/>
  <c r="F21" i="5" s="1"/>
  <c r="C21" i="4"/>
  <c r="C17"/>
  <c r="C17" i="5" s="1"/>
  <c r="B17" i="4"/>
  <c r="B17" i="5" s="1"/>
  <c r="B15" i="4"/>
  <c r="B15" i="5" s="1"/>
  <c r="I13" i="4"/>
  <c r="F13"/>
  <c r="C13"/>
  <c r="B13"/>
  <c r="AY41" i="5"/>
  <c r="BI244"/>
  <c r="AY222"/>
  <c r="BI222"/>
  <c r="BJ221"/>
  <c r="BJ219"/>
  <c r="BJ218"/>
  <c r="BJ217"/>
  <c r="BJ216"/>
  <c r="BJ215"/>
  <c r="BJ214"/>
  <c r="BJ213"/>
  <c r="BJ212"/>
  <c r="BJ211"/>
  <c r="BJ210"/>
  <c r="BJ209"/>
  <c r="BJ208"/>
  <c r="BJ207"/>
  <c r="BJ206"/>
  <c r="BJ205"/>
  <c r="BJ204"/>
  <c r="BJ203"/>
  <c r="BJ202"/>
  <c r="BJ201"/>
  <c r="BJ200"/>
  <c r="BJ199"/>
  <c r="BJ198"/>
  <c r="BJ164"/>
  <c r="BJ163"/>
  <c r="BJ162"/>
  <c r="BJ161"/>
  <c r="BJ160"/>
  <c r="BJ159"/>
  <c r="BJ158"/>
  <c r="BJ157"/>
  <c r="BJ156"/>
  <c r="BJ155"/>
  <c r="BJ154"/>
  <c r="BJ153"/>
  <c r="BJ152"/>
  <c r="BJ151"/>
  <c r="BJ150"/>
  <c r="BJ149"/>
  <c r="BJ148"/>
  <c r="BJ147"/>
  <c r="BJ146"/>
  <c r="BJ132"/>
  <c r="BJ131"/>
  <c r="BJ130"/>
  <c r="BJ129"/>
  <c r="BJ127"/>
  <c r="BJ126"/>
  <c r="BJ125"/>
  <c r="BJ124"/>
  <c r="BJ123"/>
  <c r="BJ122"/>
  <c r="BJ121"/>
  <c r="BJ120"/>
  <c r="BJ108"/>
  <c r="BJ106"/>
  <c r="BJ105"/>
  <c r="BJ104"/>
  <c r="BJ103"/>
  <c r="BJ102"/>
  <c r="BJ101"/>
  <c r="BJ100"/>
  <c r="BJ99"/>
  <c r="BJ98"/>
  <c r="BJ97"/>
  <c r="BJ96"/>
  <c r="BJ95"/>
  <c r="BJ94"/>
  <c r="BJ93"/>
  <c r="BJ92"/>
  <c r="BJ90"/>
  <c r="BJ89"/>
  <c r="BJ88"/>
  <c r="BJ87"/>
  <c r="BJ86"/>
  <c r="BJ85"/>
  <c r="BJ7"/>
  <c r="BJ73"/>
  <c r="BJ72"/>
  <c r="BJ71"/>
  <c r="BJ70"/>
  <c r="BJ69"/>
  <c r="BJ68"/>
  <c r="BJ67"/>
  <c r="BJ66"/>
  <c r="BJ65"/>
  <c r="BJ60"/>
  <c r="BJ59"/>
  <c r="BJ57"/>
  <c r="BJ55"/>
  <c r="BJ53"/>
  <c r="BJ40"/>
  <c r="BJ38"/>
  <c r="BJ36"/>
  <c r="BJ35"/>
  <c r="BJ34"/>
  <c r="BJ33"/>
  <c r="BJ32"/>
  <c r="BJ31"/>
  <c r="BJ30"/>
  <c r="BJ29"/>
  <c r="BJ28"/>
  <c r="BJ27"/>
  <c r="BJ26"/>
  <c r="BJ25"/>
  <c r="BJ24"/>
  <c r="BJ23"/>
  <c r="BJ22"/>
  <c r="BJ21"/>
  <c r="BJ20"/>
  <c r="BJ19"/>
  <c r="BJ18"/>
  <c r="BJ16"/>
  <c r="BJ15"/>
  <c r="BJ14"/>
  <c r="BJ13"/>
  <c r="BJ12"/>
  <c r="BJ11"/>
  <c r="BJ10"/>
  <c r="BJ9"/>
  <c r="BJ8"/>
  <c r="BI188"/>
  <c r="BI166"/>
  <c r="BI133"/>
  <c r="BI109"/>
  <c r="BI74"/>
  <c r="BI41"/>
  <c r="BJ41" s="1"/>
  <c r="BF32"/>
  <c r="BE121"/>
  <c r="BE122"/>
  <c r="BE123"/>
  <c r="BE124"/>
  <c r="BE125"/>
  <c r="BE126"/>
  <c r="BE127"/>
  <c r="BE129"/>
  <c r="BE130"/>
  <c r="BE131"/>
  <c r="BE120"/>
  <c r="BE86"/>
  <c r="BE87"/>
  <c r="BE88"/>
  <c r="BE89"/>
  <c r="BE90"/>
  <c r="BE94"/>
  <c r="BE95"/>
  <c r="BE96"/>
  <c r="BE97"/>
  <c r="BE98"/>
  <c r="BE99"/>
  <c r="BE100"/>
  <c r="BE102"/>
  <c r="BE103"/>
  <c r="BE104"/>
  <c r="BE85"/>
  <c r="BE38"/>
  <c r="BE36"/>
  <c r="BE35"/>
  <c r="BE34"/>
  <c r="BE33"/>
  <c r="BE32"/>
  <c r="BE31"/>
  <c r="BE30"/>
  <c r="BE29"/>
  <c r="BE28"/>
  <c r="BE27"/>
  <c r="BE26"/>
  <c r="BE25"/>
  <c r="BE24"/>
  <c r="BE23"/>
  <c r="BE21"/>
  <c r="BE20"/>
  <c r="BE18"/>
  <c r="BE16"/>
  <c r="BE15"/>
  <c r="BE13"/>
  <c r="BE12"/>
  <c r="BE11"/>
  <c r="BE10"/>
  <c r="BE9"/>
  <c r="BE8"/>
  <c r="BE7"/>
  <c r="BE60"/>
  <c r="BE57"/>
  <c r="BE55"/>
  <c r="BE53"/>
  <c r="BE163"/>
  <c r="BE162"/>
  <c r="BE161"/>
  <c r="BE160"/>
  <c r="BE159"/>
  <c r="BE158"/>
  <c r="BE156"/>
  <c r="BE155"/>
  <c r="BE154"/>
  <c r="BE153"/>
  <c r="BE152"/>
  <c r="BE151"/>
  <c r="BE150"/>
  <c r="BE148"/>
  <c r="BE146"/>
  <c r="BE147"/>
  <c r="BD244"/>
  <c r="BD222"/>
  <c r="BD188"/>
  <c r="BD166"/>
  <c r="BD133"/>
  <c r="AY109"/>
  <c r="BD109"/>
  <c r="BD74"/>
  <c r="BD41"/>
  <c r="AX193"/>
  <c r="AY187"/>
  <c r="BE187" s="1"/>
  <c r="AY185"/>
  <c r="BE185" s="1"/>
  <c r="AY184"/>
  <c r="BE184" s="1"/>
  <c r="AY183"/>
  <c r="BE183" s="1"/>
  <c r="AY182"/>
  <c r="BE182" s="1"/>
  <c r="AY181"/>
  <c r="BE181" s="1"/>
  <c r="AY180"/>
  <c r="BE180" s="1"/>
  <c r="AY179"/>
  <c r="BE179" s="1"/>
  <c r="AY64"/>
  <c r="BE64" s="1"/>
  <c r="AY63"/>
  <c r="BE63" s="1"/>
  <c r="AY62"/>
  <c r="BE62" s="1"/>
  <c r="AY61"/>
  <c r="BE61" s="1"/>
  <c r="AY58"/>
  <c r="BE58" s="1"/>
  <c r="AY56"/>
  <c r="BE56" s="1"/>
  <c r="AY54"/>
  <c r="BE54" s="1"/>
  <c r="AY52"/>
  <c r="BE52" s="1"/>
  <c r="AY51"/>
  <c r="BE51" s="1"/>
  <c r="AY166"/>
  <c r="AY133"/>
  <c r="AL17" i="3" l="1"/>
  <c r="AM17" s="1"/>
  <c r="AL13"/>
  <c r="AM13" s="1"/>
  <c r="B41" i="4"/>
  <c r="B13" i="5"/>
  <c r="C41" i="4"/>
  <c r="C13" i="5"/>
  <c r="F41" i="4"/>
  <c r="F13" i="5"/>
  <c r="I41" i="4"/>
  <c r="I13" i="5"/>
  <c r="M13" s="1"/>
  <c r="E21" i="4"/>
  <c r="C21" i="5"/>
  <c r="E21" s="1"/>
  <c r="K24" i="4"/>
  <c r="F24" i="5"/>
  <c r="G24" s="1"/>
  <c r="H33" i="4"/>
  <c r="C33" i="5"/>
  <c r="E33" s="1"/>
  <c r="C74" i="4"/>
  <c r="C74" i="5" s="1"/>
  <c r="C51"/>
  <c r="D51" s="1"/>
  <c r="I74" i="4"/>
  <c r="I12" i="2" s="1"/>
  <c r="I51" i="5"/>
  <c r="M51" s="1"/>
  <c r="I109" i="4"/>
  <c r="I13" i="2" s="1"/>
  <c r="I85" i="5"/>
  <c r="M85" s="1"/>
  <c r="K86" i="4"/>
  <c r="F86" i="5"/>
  <c r="K86" s="1"/>
  <c r="K88" i="4"/>
  <c r="F88" i="5"/>
  <c r="K88" s="1"/>
  <c r="H89" i="4"/>
  <c r="C89" i="5"/>
  <c r="E89" s="1"/>
  <c r="D96" i="4"/>
  <c r="C96" i="5"/>
  <c r="D96" s="1"/>
  <c r="K96" i="4"/>
  <c r="F96" i="5"/>
  <c r="K96" s="1"/>
  <c r="H123" i="4"/>
  <c r="F123" i="5"/>
  <c r="G123" s="1"/>
  <c r="H124" i="4"/>
  <c r="C124" i="5"/>
  <c r="E124" s="1"/>
  <c r="E128" i="4"/>
  <c r="C128" i="5"/>
  <c r="E128" s="1"/>
  <c r="C166" i="4"/>
  <c r="C166" i="5" s="1"/>
  <c r="C146"/>
  <c r="E146" s="1"/>
  <c r="K152" i="4"/>
  <c r="F152" i="5"/>
  <c r="G152" s="1"/>
  <c r="H157" i="4"/>
  <c r="F157" i="5"/>
  <c r="H157" s="1"/>
  <c r="I188" i="4"/>
  <c r="I16" i="2" s="1"/>
  <c r="I179" i="5"/>
  <c r="M179" s="1"/>
  <c r="C188" i="4"/>
  <c r="C16" i="2" s="1"/>
  <c r="C180" i="5"/>
  <c r="D180" s="1"/>
  <c r="F188" i="4"/>
  <c r="F16" i="2" s="1"/>
  <c r="F180" i="5"/>
  <c r="F12" i="2"/>
  <c r="F74" i="5"/>
  <c r="F17" i="2"/>
  <c r="F222" i="5"/>
  <c r="B17" i="2"/>
  <c r="B17" i="3" s="1"/>
  <c r="B222" i="5"/>
  <c r="I17" i="2"/>
  <c r="I222" i="5"/>
  <c r="J222" s="1"/>
  <c r="C17" i="2"/>
  <c r="C222" i="5"/>
  <c r="E222" s="1"/>
  <c r="E17" i="4"/>
  <c r="K18"/>
  <c r="H21"/>
  <c r="E24"/>
  <c r="H25"/>
  <c r="E32"/>
  <c r="K32"/>
  <c r="E34"/>
  <c r="K34"/>
  <c r="E56"/>
  <c r="K56"/>
  <c r="E58"/>
  <c r="K58"/>
  <c r="E61"/>
  <c r="K61"/>
  <c r="C109"/>
  <c r="E86"/>
  <c r="C133"/>
  <c r="I133"/>
  <c r="K123"/>
  <c r="E126"/>
  <c r="K126"/>
  <c r="H128"/>
  <c r="F166"/>
  <c r="H147"/>
  <c r="H148"/>
  <c r="H150"/>
  <c r="H151"/>
  <c r="K157"/>
  <c r="H181"/>
  <c r="H183"/>
  <c r="B74"/>
  <c r="B109"/>
  <c r="B133"/>
  <c r="H18"/>
  <c r="K21"/>
  <c r="E25"/>
  <c r="K25"/>
  <c r="H32"/>
  <c r="H34"/>
  <c r="H56"/>
  <c r="H58"/>
  <c r="H61"/>
  <c r="F109"/>
  <c r="H109" s="1"/>
  <c r="E88"/>
  <c r="F133"/>
  <c r="H133" s="1"/>
  <c r="H126"/>
  <c r="K128"/>
  <c r="I166"/>
  <c r="E147"/>
  <c r="K147"/>
  <c r="E148"/>
  <c r="K148"/>
  <c r="E150"/>
  <c r="K150"/>
  <c r="E151"/>
  <c r="K151"/>
  <c r="E152"/>
  <c r="K180"/>
  <c r="E181"/>
  <c r="K181"/>
  <c r="E183"/>
  <c r="K183"/>
  <c r="E183" i="5"/>
  <c r="E181"/>
  <c r="E121"/>
  <c r="E85"/>
  <c r="E61"/>
  <c r="E56"/>
  <c r="B166" i="4"/>
  <c r="B188"/>
  <c r="E151" i="5"/>
  <c r="E126"/>
  <c r="E88"/>
  <c r="E86"/>
  <c r="E58"/>
  <c r="M157"/>
  <c r="M151"/>
  <c r="M148"/>
  <c r="N146"/>
  <c r="N126"/>
  <c r="N61"/>
  <c r="M25"/>
  <c r="D222" i="4"/>
  <c r="E152" i="5"/>
  <c r="E150"/>
  <c r="E147"/>
  <c r="E148"/>
  <c r="G214"/>
  <c r="N159"/>
  <c r="M159"/>
  <c r="N157"/>
  <c r="N155"/>
  <c r="M155"/>
  <c r="N153"/>
  <c r="M153"/>
  <c r="N148"/>
  <c r="M126"/>
  <c r="M124"/>
  <c r="N124"/>
  <c r="N99"/>
  <c r="M99"/>
  <c r="M97"/>
  <c r="N97"/>
  <c r="N95"/>
  <c r="M95"/>
  <c r="M93"/>
  <c r="N93"/>
  <c r="N91"/>
  <c r="M91"/>
  <c r="M88"/>
  <c r="N88"/>
  <c r="N86"/>
  <c r="M86"/>
  <c r="M69"/>
  <c r="N69"/>
  <c r="N67"/>
  <c r="M67"/>
  <c r="M64"/>
  <c r="N64"/>
  <c r="M59"/>
  <c r="N59"/>
  <c r="N55"/>
  <c r="M55"/>
  <c r="M53"/>
  <c r="N53"/>
  <c r="M33"/>
  <c r="N33"/>
  <c r="M31"/>
  <c r="N31"/>
  <c r="M29"/>
  <c r="N29"/>
  <c r="M27"/>
  <c r="N27"/>
  <c r="N25"/>
  <c r="M23"/>
  <c r="N23"/>
  <c r="M19"/>
  <c r="N19"/>
  <c r="M15"/>
  <c r="N15"/>
  <c r="M9"/>
  <c r="N9"/>
  <c r="E7"/>
  <c r="E31"/>
  <c r="E27"/>
  <c r="E23"/>
  <c r="E15"/>
  <c r="G203"/>
  <c r="N7"/>
  <c r="M7"/>
  <c r="M241"/>
  <c r="N241"/>
  <c r="N239"/>
  <c r="M239"/>
  <c r="M237"/>
  <c r="N237"/>
  <c r="N235"/>
  <c r="M235"/>
  <c r="M233"/>
  <c r="N233"/>
  <c r="N231"/>
  <c r="M231"/>
  <c r="M229"/>
  <c r="N229"/>
  <c r="M201"/>
  <c r="N201"/>
  <c r="M199"/>
  <c r="N199"/>
  <c r="N187"/>
  <c r="M187"/>
  <c r="M184"/>
  <c r="N184"/>
  <c r="N180"/>
  <c r="M180"/>
  <c r="M242"/>
  <c r="N242"/>
  <c r="N240"/>
  <c r="M240"/>
  <c r="M238"/>
  <c r="N238"/>
  <c r="N236"/>
  <c r="M236"/>
  <c r="M234"/>
  <c r="N234"/>
  <c r="M232"/>
  <c r="N232"/>
  <c r="M230"/>
  <c r="N230"/>
  <c r="M228"/>
  <c r="N228"/>
  <c r="M202"/>
  <c r="N202"/>
  <c r="M200"/>
  <c r="N200"/>
  <c r="M198"/>
  <c r="N198"/>
  <c r="M185"/>
  <c r="N185"/>
  <c r="N183"/>
  <c r="M183"/>
  <c r="M181"/>
  <c r="N181"/>
  <c r="N179"/>
  <c r="N160"/>
  <c r="M160"/>
  <c r="M158"/>
  <c r="N158"/>
  <c r="N156"/>
  <c r="M156"/>
  <c r="M154"/>
  <c r="N154"/>
  <c r="N152"/>
  <c r="M152"/>
  <c r="M150"/>
  <c r="N150"/>
  <c r="N147"/>
  <c r="M147"/>
  <c r="N128"/>
  <c r="M128"/>
  <c r="N125"/>
  <c r="M125"/>
  <c r="M123"/>
  <c r="N123"/>
  <c r="M121"/>
  <c r="N121"/>
  <c r="M98"/>
  <c r="N98"/>
  <c r="N96"/>
  <c r="M96"/>
  <c r="M94"/>
  <c r="N94"/>
  <c r="N92"/>
  <c r="M92"/>
  <c r="M89"/>
  <c r="N89"/>
  <c r="N87"/>
  <c r="M87"/>
  <c r="N68"/>
  <c r="M68"/>
  <c r="M66"/>
  <c r="N66"/>
  <c r="M63"/>
  <c r="N63"/>
  <c r="M60"/>
  <c r="N60"/>
  <c r="N58"/>
  <c r="M58"/>
  <c r="M56"/>
  <c r="N56"/>
  <c r="M54"/>
  <c r="N54"/>
  <c r="M52"/>
  <c r="N52"/>
  <c r="M34"/>
  <c r="N34"/>
  <c r="N32"/>
  <c r="M32"/>
  <c r="M30"/>
  <c r="N30"/>
  <c r="N28"/>
  <c r="M28"/>
  <c r="M26"/>
  <c r="N26"/>
  <c r="N24"/>
  <c r="M24"/>
  <c r="M21"/>
  <c r="N21"/>
  <c r="N17"/>
  <c r="M17"/>
  <c r="M14"/>
  <c r="N14"/>
  <c r="N10"/>
  <c r="M10"/>
  <c r="M8"/>
  <c r="N8"/>
  <c r="E29"/>
  <c r="E25"/>
  <c r="E19"/>
  <c r="E9"/>
  <c r="H222" i="4"/>
  <c r="E34" i="5"/>
  <c r="E32"/>
  <c r="E30"/>
  <c r="E28"/>
  <c r="E26"/>
  <c r="E24"/>
  <c r="E17"/>
  <c r="E14"/>
  <c r="E10"/>
  <c r="E8"/>
  <c r="G215"/>
  <c r="G210"/>
  <c r="G204"/>
  <c r="K222" i="4"/>
  <c r="H242" i="5"/>
  <c r="G242"/>
  <c r="H241"/>
  <c r="G241"/>
  <c r="H240"/>
  <c r="G240"/>
  <c r="H239"/>
  <c r="G239"/>
  <c r="H238"/>
  <c r="G238"/>
  <c r="H237"/>
  <c r="G237"/>
  <c r="H236"/>
  <c r="G236"/>
  <c r="H235"/>
  <c r="G235"/>
  <c r="H234"/>
  <c r="G234"/>
  <c r="H233"/>
  <c r="G233"/>
  <c r="H232"/>
  <c r="G232"/>
  <c r="H231"/>
  <c r="G231"/>
  <c r="H230"/>
  <c r="G230"/>
  <c r="H229"/>
  <c r="G229"/>
  <c r="H228"/>
  <c r="G228"/>
  <c r="H34"/>
  <c r="G34"/>
  <c r="H32"/>
  <c r="G32"/>
  <c r="H31"/>
  <c r="G31"/>
  <c r="H30"/>
  <c r="G30"/>
  <c r="H29"/>
  <c r="G29"/>
  <c r="H28"/>
  <c r="G28"/>
  <c r="H27"/>
  <c r="G27"/>
  <c r="H26"/>
  <c r="G26"/>
  <c r="H25"/>
  <c r="G25"/>
  <c r="H23"/>
  <c r="G23"/>
  <c r="H21"/>
  <c r="H19"/>
  <c r="G19"/>
  <c r="H17"/>
  <c r="G17"/>
  <c r="H15"/>
  <c r="G15"/>
  <c r="H14"/>
  <c r="G14"/>
  <c r="H10"/>
  <c r="G10"/>
  <c r="H9"/>
  <c r="G9"/>
  <c r="H8"/>
  <c r="G8"/>
  <c r="D7"/>
  <c r="D242"/>
  <c r="D241"/>
  <c r="D240"/>
  <c r="D239"/>
  <c r="D238"/>
  <c r="D237"/>
  <c r="D236"/>
  <c r="D235"/>
  <c r="D234"/>
  <c r="D233"/>
  <c r="D232"/>
  <c r="D231"/>
  <c r="D230"/>
  <c r="D229"/>
  <c r="D228"/>
  <c r="D201"/>
  <c r="D200"/>
  <c r="D199"/>
  <c r="D198"/>
  <c r="D187"/>
  <c r="D185"/>
  <c r="D184"/>
  <c r="D183"/>
  <c r="D181"/>
  <c r="D179"/>
  <c r="D164"/>
  <c r="D160"/>
  <c r="D159"/>
  <c r="D158"/>
  <c r="D157"/>
  <c r="D156"/>
  <c r="D155"/>
  <c r="D154"/>
  <c r="D153"/>
  <c r="D152"/>
  <c r="D151"/>
  <c r="D150"/>
  <c r="D148"/>
  <c r="D147"/>
  <c r="D126"/>
  <c r="D125"/>
  <c r="D123"/>
  <c r="D122"/>
  <c r="D121"/>
  <c r="D99"/>
  <c r="D98"/>
  <c r="D97"/>
  <c r="D95"/>
  <c r="D94"/>
  <c r="D93"/>
  <c r="D92"/>
  <c r="D91"/>
  <c r="D88"/>
  <c r="D87"/>
  <c r="D86"/>
  <c r="D85"/>
  <c r="D69"/>
  <c r="D68"/>
  <c r="D67"/>
  <c r="D66"/>
  <c r="D64"/>
  <c r="D61"/>
  <c r="D60"/>
  <c r="D59"/>
  <c r="D58"/>
  <c r="D56"/>
  <c r="D55"/>
  <c r="D54"/>
  <c r="D53"/>
  <c r="D52"/>
  <c r="D34"/>
  <c r="D32"/>
  <c r="D31"/>
  <c r="D30"/>
  <c r="D29"/>
  <c r="D28"/>
  <c r="D27"/>
  <c r="D26"/>
  <c r="D25"/>
  <c r="D24"/>
  <c r="D23"/>
  <c r="D19"/>
  <c r="D17"/>
  <c r="D15"/>
  <c r="D14"/>
  <c r="D10"/>
  <c r="D9"/>
  <c r="D8"/>
  <c r="H7"/>
  <c r="H202"/>
  <c r="H201"/>
  <c r="H200"/>
  <c r="H198"/>
  <c r="H187"/>
  <c r="H185"/>
  <c r="H184"/>
  <c r="H183"/>
  <c r="H181"/>
  <c r="H164"/>
  <c r="H158"/>
  <c r="H156"/>
  <c r="H155"/>
  <c r="H154"/>
  <c r="H153"/>
  <c r="H151"/>
  <c r="H150"/>
  <c r="H148"/>
  <c r="H147"/>
  <c r="H126"/>
  <c r="H125"/>
  <c r="H123"/>
  <c r="H122"/>
  <c r="H121"/>
  <c r="H95"/>
  <c r="H94"/>
  <c r="H93"/>
  <c r="H92"/>
  <c r="H91"/>
  <c r="H88"/>
  <c r="H87"/>
  <c r="H86"/>
  <c r="H85"/>
  <c r="H69"/>
  <c r="H68"/>
  <c r="H67"/>
  <c r="H66"/>
  <c r="H64"/>
  <c r="H61"/>
  <c r="H60"/>
  <c r="H59"/>
  <c r="H58"/>
  <c r="H56"/>
  <c r="H55"/>
  <c r="G7"/>
  <c r="G202"/>
  <c r="G201"/>
  <c r="G200"/>
  <c r="G199"/>
  <c r="G198"/>
  <c r="G187"/>
  <c r="G185"/>
  <c r="G184"/>
  <c r="G183"/>
  <c r="G182"/>
  <c r="G181"/>
  <c r="G179"/>
  <c r="G164"/>
  <c r="G160"/>
  <c r="G159"/>
  <c r="G158"/>
  <c r="G156"/>
  <c r="G155"/>
  <c r="G154"/>
  <c r="G153"/>
  <c r="G151"/>
  <c r="G150"/>
  <c r="G148"/>
  <c r="G147"/>
  <c r="G146"/>
  <c r="G126"/>
  <c r="G125"/>
  <c r="G122"/>
  <c r="G121"/>
  <c r="G99"/>
  <c r="G98"/>
  <c r="G97"/>
  <c r="G95"/>
  <c r="G94"/>
  <c r="G93"/>
  <c r="G92"/>
  <c r="G91"/>
  <c r="G87"/>
  <c r="G85"/>
  <c r="G69"/>
  <c r="G68"/>
  <c r="G67"/>
  <c r="G66"/>
  <c r="G64"/>
  <c r="G61"/>
  <c r="G60"/>
  <c r="G59"/>
  <c r="G58"/>
  <c r="G56"/>
  <c r="G55"/>
  <c r="G54"/>
  <c r="G53"/>
  <c r="G52"/>
  <c r="J216"/>
  <c r="J215"/>
  <c r="J214"/>
  <c r="J210"/>
  <c r="J205"/>
  <c r="J204"/>
  <c r="J203"/>
  <c r="K69"/>
  <c r="J69"/>
  <c r="K68"/>
  <c r="J68"/>
  <c r="K67"/>
  <c r="J67"/>
  <c r="K66"/>
  <c r="J66"/>
  <c r="K64"/>
  <c r="J64"/>
  <c r="K63"/>
  <c r="J63"/>
  <c r="K61"/>
  <c r="J61"/>
  <c r="K60"/>
  <c r="J60"/>
  <c r="K59"/>
  <c r="J59"/>
  <c r="K58"/>
  <c r="J58"/>
  <c r="J57"/>
  <c r="K56"/>
  <c r="J56"/>
  <c r="K55"/>
  <c r="J55"/>
  <c r="J54"/>
  <c r="J53"/>
  <c r="J52"/>
  <c r="K34"/>
  <c r="J34"/>
  <c r="K33"/>
  <c r="J33"/>
  <c r="K32"/>
  <c r="J32"/>
  <c r="K31"/>
  <c r="J31"/>
  <c r="K30"/>
  <c r="J30"/>
  <c r="K29"/>
  <c r="J29"/>
  <c r="K28"/>
  <c r="J28"/>
  <c r="K27"/>
  <c r="J27"/>
  <c r="K26"/>
  <c r="J26"/>
  <c r="K25"/>
  <c r="J25"/>
  <c r="K23"/>
  <c r="J23"/>
  <c r="K21"/>
  <c r="J21"/>
  <c r="K19"/>
  <c r="J19"/>
  <c r="K17"/>
  <c r="J17"/>
  <c r="K15"/>
  <c r="J15"/>
  <c r="K14"/>
  <c r="J14"/>
  <c r="K13"/>
  <c r="K10"/>
  <c r="J10"/>
  <c r="K9"/>
  <c r="J9"/>
  <c r="K8"/>
  <c r="J8"/>
  <c r="K7"/>
  <c r="K242"/>
  <c r="K241"/>
  <c r="K240"/>
  <c r="K239"/>
  <c r="K238"/>
  <c r="K237"/>
  <c r="K236"/>
  <c r="K235"/>
  <c r="K234"/>
  <c r="K233"/>
  <c r="K232"/>
  <c r="K231"/>
  <c r="K230"/>
  <c r="K229"/>
  <c r="K228"/>
  <c r="K202"/>
  <c r="K201"/>
  <c r="K200"/>
  <c r="K199"/>
  <c r="K198"/>
  <c r="K187"/>
  <c r="K185"/>
  <c r="K184"/>
  <c r="K183"/>
  <c r="K181"/>
  <c r="K164"/>
  <c r="K160"/>
  <c r="K159"/>
  <c r="K158"/>
  <c r="K156"/>
  <c r="K155"/>
  <c r="K154"/>
  <c r="K153"/>
  <c r="K151"/>
  <c r="K150"/>
  <c r="K148"/>
  <c r="K147"/>
  <c r="K146"/>
  <c r="K128"/>
  <c r="K126"/>
  <c r="K125"/>
  <c r="K124"/>
  <c r="K121"/>
  <c r="K95"/>
  <c r="K94"/>
  <c r="K93"/>
  <c r="K92"/>
  <c r="K91"/>
  <c r="K89"/>
  <c r="K87"/>
  <c r="J7"/>
  <c r="J242"/>
  <c r="J241"/>
  <c r="J240"/>
  <c r="J239"/>
  <c r="J238"/>
  <c r="J237"/>
  <c r="J236"/>
  <c r="J235"/>
  <c r="J234"/>
  <c r="J233"/>
  <c r="J232"/>
  <c r="J231"/>
  <c r="J230"/>
  <c r="J229"/>
  <c r="J228"/>
  <c r="J202"/>
  <c r="J201"/>
  <c r="J200"/>
  <c r="J199"/>
  <c r="J198"/>
  <c r="J187"/>
  <c r="J185"/>
  <c r="J184"/>
  <c r="J183"/>
  <c r="J182"/>
  <c r="J181"/>
  <c r="J164"/>
  <c r="J160"/>
  <c r="J159"/>
  <c r="J158"/>
  <c r="J156"/>
  <c r="J155"/>
  <c r="J154"/>
  <c r="J153"/>
  <c r="J151"/>
  <c r="J150"/>
  <c r="J148"/>
  <c r="J147"/>
  <c r="J146"/>
  <c r="J128"/>
  <c r="J126"/>
  <c r="J125"/>
  <c r="J124"/>
  <c r="J122"/>
  <c r="J121"/>
  <c r="J99"/>
  <c r="J98"/>
  <c r="J97"/>
  <c r="J95"/>
  <c r="J94"/>
  <c r="J93"/>
  <c r="J92"/>
  <c r="J91"/>
  <c r="J89"/>
  <c r="J87"/>
  <c r="K222"/>
  <c r="H74" i="4"/>
  <c r="D166"/>
  <c r="D34"/>
  <c r="D33"/>
  <c r="D32"/>
  <c r="D27"/>
  <c r="D25"/>
  <c r="D24"/>
  <c r="D23"/>
  <c r="D21"/>
  <c r="D17"/>
  <c r="D15"/>
  <c r="D13"/>
  <c r="E33"/>
  <c r="E27"/>
  <c r="E23"/>
  <c r="E15"/>
  <c r="E13"/>
  <c r="G34"/>
  <c r="G33"/>
  <c r="G32"/>
  <c r="G25"/>
  <c r="G24"/>
  <c r="G21"/>
  <c r="G18"/>
  <c r="G13"/>
  <c r="H24"/>
  <c r="H13"/>
  <c r="J34"/>
  <c r="J32"/>
  <c r="J25"/>
  <c r="J24"/>
  <c r="J21"/>
  <c r="J18"/>
  <c r="J13"/>
  <c r="K13"/>
  <c r="D51"/>
  <c r="D61"/>
  <c r="D58"/>
  <c r="D56"/>
  <c r="D85"/>
  <c r="D183"/>
  <c r="D181"/>
  <c r="D180"/>
  <c r="D152"/>
  <c r="D151"/>
  <c r="D148"/>
  <c r="D147"/>
  <c r="D146"/>
  <c r="D128"/>
  <c r="D126"/>
  <c r="D124"/>
  <c r="D121"/>
  <c r="D89"/>
  <c r="D88"/>
  <c r="D86"/>
  <c r="E51"/>
  <c r="E222"/>
  <c r="E180"/>
  <c r="E146"/>
  <c r="E133"/>
  <c r="E124"/>
  <c r="E121"/>
  <c r="E89"/>
  <c r="E85"/>
  <c r="G51"/>
  <c r="G222"/>
  <c r="G183"/>
  <c r="G181"/>
  <c r="G180"/>
  <c r="G157"/>
  <c r="G152"/>
  <c r="G151"/>
  <c r="G150"/>
  <c r="G148"/>
  <c r="G147"/>
  <c r="G146"/>
  <c r="G128"/>
  <c r="G126"/>
  <c r="G124"/>
  <c r="G123"/>
  <c r="G121"/>
  <c r="G96"/>
  <c r="G89"/>
  <c r="G88"/>
  <c r="G86"/>
  <c r="G85"/>
  <c r="G61"/>
  <c r="G58"/>
  <c r="G56"/>
  <c r="H51"/>
  <c r="H180"/>
  <c r="H152"/>
  <c r="H146"/>
  <c r="H121"/>
  <c r="H96"/>
  <c r="H88"/>
  <c r="H86"/>
  <c r="H85"/>
  <c r="J51"/>
  <c r="J61"/>
  <c r="J58"/>
  <c r="J56"/>
  <c r="J183"/>
  <c r="J181"/>
  <c r="J180"/>
  <c r="J179"/>
  <c r="J157"/>
  <c r="J152"/>
  <c r="J151"/>
  <c r="J150"/>
  <c r="J148"/>
  <c r="J147"/>
  <c r="J146"/>
  <c r="J128"/>
  <c r="J126"/>
  <c r="J123"/>
  <c r="J121"/>
  <c r="J96"/>
  <c r="J88"/>
  <c r="J86"/>
  <c r="J85"/>
  <c r="K51"/>
  <c r="K146"/>
  <c r="K121"/>
  <c r="K85"/>
  <c r="J222"/>
  <c r="G109"/>
  <c r="G74"/>
  <c r="F242"/>
  <c r="BJ166" i="5"/>
  <c r="BJ51"/>
  <c r="BJ52"/>
  <c r="BJ54"/>
  <c r="BJ56"/>
  <c r="BJ58"/>
  <c r="BJ61"/>
  <c r="BJ62"/>
  <c r="BJ63"/>
  <c r="BJ64"/>
  <c r="BJ179"/>
  <c r="BJ180"/>
  <c r="BJ181"/>
  <c r="BJ182"/>
  <c r="BJ183"/>
  <c r="BJ184"/>
  <c r="BJ185"/>
  <c r="BJ187"/>
  <c r="AY244"/>
  <c r="BJ244" s="1"/>
  <c r="BJ109"/>
  <c r="BJ133"/>
  <c r="AY188"/>
  <c r="BE188" s="1"/>
  <c r="AY74"/>
  <c r="BE74" s="1"/>
  <c r="BE109"/>
  <c r="BE166"/>
  <c r="BE133"/>
  <c r="BJ220"/>
  <c r="BJ222" s="1"/>
  <c r="AY190"/>
  <c r="AX187"/>
  <c r="AX185"/>
  <c r="AX184"/>
  <c r="AX183"/>
  <c r="AX182"/>
  <c r="AX181"/>
  <c r="AX180"/>
  <c r="AX179"/>
  <c r="AX64"/>
  <c r="AX63"/>
  <c r="AX62"/>
  <c r="AX61"/>
  <c r="AX58"/>
  <c r="AX51"/>
  <c r="AX56"/>
  <c r="AX54"/>
  <c r="AX52"/>
  <c r="BE41"/>
  <c r="AJ258" i="4"/>
  <c r="AL258" s="1"/>
  <c r="AO163"/>
  <c r="AO163" i="5" s="1"/>
  <c r="AZ163" s="1"/>
  <c r="AN163" i="4"/>
  <c r="AD134"/>
  <c r="AD134" i="5" s="1"/>
  <c r="AD124" i="4"/>
  <c r="AD124" i="5" s="1"/>
  <c r="AD121" i="4"/>
  <c r="AD121" i="5" s="1"/>
  <c r="AG165" i="4"/>
  <c r="AH165" s="1"/>
  <c r="AG157"/>
  <c r="AH157" s="1"/>
  <c r="AG37"/>
  <c r="AH37" s="1"/>
  <c r="AQ220" i="5"/>
  <c r="AP220"/>
  <c r="AO220"/>
  <c r="AN220"/>
  <c r="AL220"/>
  <c r="AK220"/>
  <c r="AJ220"/>
  <c r="AI220"/>
  <c r="AE220"/>
  <c r="AQ219"/>
  <c r="AP219"/>
  <c r="AO219"/>
  <c r="AZ219" s="1"/>
  <c r="AN219"/>
  <c r="AL219"/>
  <c r="AK219"/>
  <c r="AJ219"/>
  <c r="AI219"/>
  <c r="AE219"/>
  <c r="AQ218"/>
  <c r="AP218"/>
  <c r="AO218"/>
  <c r="AZ218" s="1"/>
  <c r="AN218"/>
  <c r="AL218"/>
  <c r="AK218"/>
  <c r="AJ218"/>
  <c r="AI218"/>
  <c r="AE218"/>
  <c r="AQ217"/>
  <c r="AP217"/>
  <c r="AO217"/>
  <c r="AZ217" s="1"/>
  <c r="AN217"/>
  <c r="AL217"/>
  <c r="AK217"/>
  <c r="AJ217"/>
  <c r="AI217"/>
  <c r="AE217"/>
  <c r="AQ216"/>
  <c r="AP216"/>
  <c r="AO216"/>
  <c r="AZ216" s="1"/>
  <c r="AN216"/>
  <c r="AL216"/>
  <c r="AK216"/>
  <c r="AJ216"/>
  <c r="AI216"/>
  <c r="AE216"/>
  <c r="AQ215"/>
  <c r="AP215"/>
  <c r="AO215"/>
  <c r="AZ215" s="1"/>
  <c r="AN215"/>
  <c r="AL215"/>
  <c r="AK215"/>
  <c r="AJ215"/>
  <c r="AI215"/>
  <c r="AE215"/>
  <c r="AQ214"/>
  <c r="AP214"/>
  <c r="AO214"/>
  <c r="AZ214" s="1"/>
  <c r="AN214"/>
  <c r="AL214"/>
  <c r="AK214"/>
  <c r="AJ214"/>
  <c r="AI214"/>
  <c r="AE214"/>
  <c r="AQ213"/>
  <c r="AP213"/>
  <c r="AO213"/>
  <c r="AZ213" s="1"/>
  <c r="AN213"/>
  <c r="AL213"/>
  <c r="AK213"/>
  <c r="AJ213"/>
  <c r="AI213"/>
  <c r="AE213"/>
  <c r="AQ212"/>
  <c r="AP212"/>
  <c r="AO212"/>
  <c r="AZ212" s="1"/>
  <c r="AN212"/>
  <c r="AL212"/>
  <c r="AK212"/>
  <c r="AJ212"/>
  <c r="AI212"/>
  <c r="AE212"/>
  <c r="AQ211"/>
  <c r="AP211"/>
  <c r="AO211"/>
  <c r="AZ211" s="1"/>
  <c r="AN211"/>
  <c r="AL211"/>
  <c r="AK211"/>
  <c r="AJ211"/>
  <c r="AI211"/>
  <c r="AE211"/>
  <c r="AQ210"/>
  <c r="AP210"/>
  <c r="AO210"/>
  <c r="AZ210" s="1"/>
  <c r="AN210"/>
  <c r="AL210"/>
  <c r="AK210"/>
  <c r="AJ210"/>
  <c r="AI210"/>
  <c r="AE210"/>
  <c r="AQ209"/>
  <c r="AP209"/>
  <c r="AO209"/>
  <c r="AZ209" s="1"/>
  <c r="AN209"/>
  <c r="AL209"/>
  <c r="AK209"/>
  <c r="AJ209"/>
  <c r="AI209"/>
  <c r="AE209"/>
  <c r="AQ208"/>
  <c r="AP208"/>
  <c r="AO208"/>
  <c r="AN208"/>
  <c r="AL208"/>
  <c r="AK208"/>
  <c r="AJ208"/>
  <c r="AI208"/>
  <c r="AE208"/>
  <c r="AQ207"/>
  <c r="AP207"/>
  <c r="AO207"/>
  <c r="AZ207" s="1"/>
  <c r="AN207"/>
  <c r="AL207"/>
  <c r="AK207"/>
  <c r="AJ207"/>
  <c r="AI207"/>
  <c r="AE207"/>
  <c r="AQ206"/>
  <c r="AP206"/>
  <c r="AO206"/>
  <c r="AZ206" s="1"/>
  <c r="AN206"/>
  <c r="AL206"/>
  <c r="AK206"/>
  <c r="AJ206"/>
  <c r="AI206"/>
  <c r="AE206"/>
  <c r="AQ205"/>
  <c r="AP205"/>
  <c r="AO205"/>
  <c r="AZ205" s="1"/>
  <c r="AN205"/>
  <c r="AL205"/>
  <c r="AK205"/>
  <c r="AJ205"/>
  <c r="AI205"/>
  <c r="AE205"/>
  <c r="AQ204"/>
  <c r="AP204"/>
  <c r="AO204"/>
  <c r="AZ204" s="1"/>
  <c r="AN204"/>
  <c r="AL204"/>
  <c r="AK204"/>
  <c r="AJ204"/>
  <c r="AI204"/>
  <c r="AE204"/>
  <c r="AQ203"/>
  <c r="AP203"/>
  <c r="AO203"/>
  <c r="AZ203" s="1"/>
  <c r="AN203"/>
  <c r="AL203"/>
  <c r="AK203"/>
  <c r="AJ203"/>
  <c r="AI203"/>
  <c r="AE203"/>
  <c r="AQ202"/>
  <c r="AP202"/>
  <c r="AO202"/>
  <c r="AZ202" s="1"/>
  <c r="AN202"/>
  <c r="AL202"/>
  <c r="AK202"/>
  <c r="AJ202"/>
  <c r="AI202"/>
  <c r="AE202"/>
  <c r="AQ201"/>
  <c r="AP201"/>
  <c r="AO201"/>
  <c r="AZ201" s="1"/>
  <c r="AN201"/>
  <c r="AM201"/>
  <c r="AL201"/>
  <c r="AK201"/>
  <c r="AJ201"/>
  <c r="AI201"/>
  <c r="AE201"/>
  <c r="AQ200"/>
  <c r="AP200"/>
  <c r="AO200"/>
  <c r="AZ200" s="1"/>
  <c r="AN200"/>
  <c r="AL200"/>
  <c r="AK200"/>
  <c r="AJ200"/>
  <c r="AI200"/>
  <c r="AE200"/>
  <c r="AQ199"/>
  <c r="AP199"/>
  <c r="AO199"/>
  <c r="AZ199" s="1"/>
  <c r="AN199"/>
  <c r="AL199"/>
  <c r="AK199"/>
  <c r="AJ199"/>
  <c r="AI199"/>
  <c r="AE199"/>
  <c r="AQ198"/>
  <c r="AP198"/>
  <c r="AO198"/>
  <c r="AZ198" s="1"/>
  <c r="AN198"/>
  <c r="AL198"/>
  <c r="AK198"/>
  <c r="AJ198"/>
  <c r="AI198"/>
  <c r="AQ187"/>
  <c r="AP187"/>
  <c r="AO187"/>
  <c r="AZ187" s="1"/>
  <c r="AN187"/>
  <c r="AL187"/>
  <c r="AK187"/>
  <c r="AE187"/>
  <c r="AQ185"/>
  <c r="AP185"/>
  <c r="AO185"/>
  <c r="AZ185" s="1"/>
  <c r="AN185"/>
  <c r="AL185"/>
  <c r="AK185"/>
  <c r="AE185"/>
  <c r="AQ184"/>
  <c r="AP184"/>
  <c r="AO184"/>
  <c r="AZ184" s="1"/>
  <c r="AN184"/>
  <c r="AL184"/>
  <c r="AK184"/>
  <c r="AE184"/>
  <c r="AQ183"/>
  <c r="AO183"/>
  <c r="AZ183" s="1"/>
  <c r="AN183"/>
  <c r="AL183"/>
  <c r="AK183"/>
  <c r="AE183"/>
  <c r="AP182"/>
  <c r="AO182"/>
  <c r="AZ182" s="1"/>
  <c r="AN182"/>
  <c r="AL182"/>
  <c r="AK182"/>
  <c r="AE182"/>
  <c r="AO181"/>
  <c r="AZ181" s="1"/>
  <c r="AN181"/>
  <c r="AL181"/>
  <c r="AK181"/>
  <c r="AE181"/>
  <c r="AR180"/>
  <c r="AQ180"/>
  <c r="AO180"/>
  <c r="AZ180" s="1"/>
  <c r="AN180"/>
  <c r="AL180"/>
  <c r="AK180"/>
  <c r="AQ179"/>
  <c r="AO179"/>
  <c r="AZ179" s="1"/>
  <c r="AN179"/>
  <c r="AL179"/>
  <c r="AK179"/>
  <c r="AE179"/>
  <c r="AS164"/>
  <c r="AR164"/>
  <c r="AQ164"/>
  <c r="AP164"/>
  <c r="AO164"/>
  <c r="AN164"/>
  <c r="AL164"/>
  <c r="AK164"/>
  <c r="AJ164"/>
  <c r="AI164"/>
  <c r="AE164"/>
  <c r="AQ163"/>
  <c r="AP163"/>
  <c r="AN163"/>
  <c r="AL163"/>
  <c r="AK163"/>
  <c r="AQ162"/>
  <c r="AP162"/>
  <c r="AO162"/>
  <c r="AZ162" s="1"/>
  <c r="AN162"/>
  <c r="AL162"/>
  <c r="AK162"/>
  <c r="AE162"/>
  <c r="AP161"/>
  <c r="AO161"/>
  <c r="AZ161" s="1"/>
  <c r="AN161"/>
  <c r="AL161"/>
  <c r="AK161"/>
  <c r="AE161"/>
  <c r="AQ160"/>
  <c r="AP160"/>
  <c r="AO160"/>
  <c r="AZ160" s="1"/>
  <c r="AN160"/>
  <c r="AL160"/>
  <c r="AK160"/>
  <c r="AJ160"/>
  <c r="AI160"/>
  <c r="AE160"/>
  <c r="AQ159"/>
  <c r="AP159"/>
  <c r="AO159"/>
  <c r="AZ159" s="1"/>
  <c r="AN159"/>
  <c r="AL159"/>
  <c r="AK159"/>
  <c r="AJ159"/>
  <c r="AI159"/>
  <c r="AE159"/>
  <c r="AQ158"/>
  <c r="AP158"/>
  <c r="AO158"/>
  <c r="AZ158" s="1"/>
  <c r="AN158"/>
  <c r="AL158"/>
  <c r="AK158"/>
  <c r="AJ158"/>
  <c r="AI158"/>
  <c r="AE158"/>
  <c r="AS157"/>
  <c r="AR157"/>
  <c r="AQ157"/>
  <c r="AP157"/>
  <c r="AO157"/>
  <c r="AZ157" s="1"/>
  <c r="AN157"/>
  <c r="AL157"/>
  <c r="AK157"/>
  <c r="AJ157"/>
  <c r="AI157"/>
  <c r="AE157"/>
  <c r="AQ156"/>
  <c r="AP156"/>
  <c r="AO156"/>
  <c r="AZ156" s="1"/>
  <c r="AN156"/>
  <c r="AL156"/>
  <c r="AK156"/>
  <c r="AE156"/>
  <c r="AP155"/>
  <c r="AO155"/>
  <c r="AZ155" s="1"/>
  <c r="AN155"/>
  <c r="AL155"/>
  <c r="AK155"/>
  <c r="AE155"/>
  <c r="AQ154"/>
  <c r="AP154"/>
  <c r="AO154"/>
  <c r="AZ154" s="1"/>
  <c r="AN154"/>
  <c r="AL154"/>
  <c r="AK154"/>
  <c r="AE154"/>
  <c r="AQ153"/>
  <c r="AP153"/>
  <c r="AO153"/>
  <c r="AZ153" s="1"/>
  <c r="AN153"/>
  <c r="AL153"/>
  <c r="AK153"/>
  <c r="AE153"/>
  <c r="AP152"/>
  <c r="AO152"/>
  <c r="AZ152" s="1"/>
  <c r="AN152"/>
  <c r="AL152"/>
  <c r="AK152"/>
  <c r="AE152"/>
  <c r="AP151"/>
  <c r="AO151"/>
  <c r="AZ151" s="1"/>
  <c r="AN151"/>
  <c r="AL151"/>
  <c r="AK151"/>
  <c r="AE151"/>
  <c r="AR150"/>
  <c r="AQ150"/>
  <c r="AP150"/>
  <c r="AO150"/>
  <c r="AZ150" s="1"/>
  <c r="AN150"/>
  <c r="AL150"/>
  <c r="AK150"/>
  <c r="AE150"/>
  <c r="AS149"/>
  <c r="AR149"/>
  <c r="AQ149"/>
  <c r="AP149"/>
  <c r="AO149"/>
  <c r="AZ149" s="1"/>
  <c r="AN149"/>
  <c r="AL149"/>
  <c r="AK149"/>
  <c r="AJ149"/>
  <c r="AI149"/>
  <c r="AE149"/>
  <c r="AQ148"/>
  <c r="AP148"/>
  <c r="AO148"/>
  <c r="AZ148" s="1"/>
  <c r="AN148"/>
  <c r="AL148"/>
  <c r="AK148"/>
  <c r="AE148"/>
  <c r="AQ147"/>
  <c r="AP147"/>
  <c r="AO147"/>
  <c r="AZ147" s="1"/>
  <c r="AN147"/>
  <c r="AL147"/>
  <c r="AK147"/>
  <c r="AE147"/>
  <c r="AQ146"/>
  <c r="AP146"/>
  <c r="AO146"/>
  <c r="AZ146" s="1"/>
  <c r="AN146"/>
  <c r="AL146"/>
  <c r="AK146"/>
  <c r="AE146"/>
  <c r="AS132"/>
  <c r="AR132"/>
  <c r="AQ132"/>
  <c r="AP132"/>
  <c r="AO132"/>
  <c r="AN132"/>
  <c r="AL132"/>
  <c r="AK132"/>
  <c r="AJ132"/>
  <c r="AI132"/>
  <c r="AE132"/>
  <c r="AS131"/>
  <c r="AR131"/>
  <c r="AQ131"/>
  <c r="AP131"/>
  <c r="AO131"/>
  <c r="AZ131" s="1"/>
  <c r="AN131"/>
  <c r="AL131"/>
  <c r="AK131"/>
  <c r="AE131"/>
  <c r="AS130"/>
  <c r="AR130"/>
  <c r="AQ130"/>
  <c r="AP130"/>
  <c r="AO130"/>
  <c r="AZ130" s="1"/>
  <c r="AN130"/>
  <c r="AL130"/>
  <c r="AK130"/>
  <c r="AE130"/>
  <c r="AQ129"/>
  <c r="AP129"/>
  <c r="AO129"/>
  <c r="AZ129" s="1"/>
  <c r="AN129"/>
  <c r="AL129"/>
  <c r="AK129"/>
  <c r="AE129"/>
  <c r="AS127"/>
  <c r="AR127"/>
  <c r="AQ127"/>
  <c r="AP127"/>
  <c r="AO127"/>
  <c r="AZ127" s="1"/>
  <c r="AN127"/>
  <c r="AL127"/>
  <c r="AK127"/>
  <c r="AJ127"/>
  <c r="AI127"/>
  <c r="AE127"/>
  <c r="AP126"/>
  <c r="AO126"/>
  <c r="AZ126" s="1"/>
  <c r="AN126"/>
  <c r="AL126"/>
  <c r="AK126"/>
  <c r="AE126"/>
  <c r="AS125"/>
  <c r="AR125"/>
  <c r="AQ125"/>
  <c r="AP125"/>
  <c r="AO125"/>
  <c r="AZ125" s="1"/>
  <c r="AN125"/>
  <c r="AL125"/>
  <c r="AK125"/>
  <c r="AJ125"/>
  <c r="AI125"/>
  <c r="AE125"/>
  <c r="AS124"/>
  <c r="AR124"/>
  <c r="AQ124"/>
  <c r="AP124"/>
  <c r="AO124"/>
  <c r="AZ124" s="1"/>
  <c r="AN124"/>
  <c r="AL124"/>
  <c r="AK124"/>
  <c r="AE124"/>
  <c r="AS123"/>
  <c r="AR123"/>
  <c r="AQ123"/>
  <c r="AP123"/>
  <c r="AO123"/>
  <c r="AZ123" s="1"/>
  <c r="AN123"/>
  <c r="AL123"/>
  <c r="AK123"/>
  <c r="AE123"/>
  <c r="AS122"/>
  <c r="AR122"/>
  <c r="AQ122"/>
  <c r="AP122"/>
  <c r="AO122"/>
  <c r="AZ122" s="1"/>
  <c r="AN122"/>
  <c r="AL122"/>
  <c r="AK122"/>
  <c r="AJ122"/>
  <c r="AI122"/>
  <c r="AE122"/>
  <c r="AS121"/>
  <c r="AR121"/>
  <c r="AQ121"/>
  <c r="AP121"/>
  <c r="AO121"/>
  <c r="AZ121" s="1"/>
  <c r="AN121"/>
  <c r="AL121"/>
  <c r="AK121"/>
  <c r="AE121"/>
  <c r="AQ120"/>
  <c r="AP120"/>
  <c r="AO120"/>
  <c r="AZ120" s="1"/>
  <c r="AN120"/>
  <c r="AL120"/>
  <c r="AK120"/>
  <c r="AJ120"/>
  <c r="AI120"/>
  <c r="AE120"/>
  <c r="AQ108"/>
  <c r="AP108"/>
  <c r="AO108"/>
  <c r="AN108"/>
  <c r="AL108"/>
  <c r="AK108"/>
  <c r="AJ108"/>
  <c r="AI108"/>
  <c r="AE108"/>
  <c r="AQ105"/>
  <c r="AP105"/>
  <c r="AO105"/>
  <c r="AZ105" s="1"/>
  <c r="AN105"/>
  <c r="AL105"/>
  <c r="AK105"/>
  <c r="AE105"/>
  <c r="AQ104"/>
  <c r="AP104"/>
  <c r="AO104"/>
  <c r="AZ104" s="1"/>
  <c r="AN104"/>
  <c r="AL104"/>
  <c r="AK104"/>
  <c r="AE104"/>
  <c r="AQ103"/>
  <c r="AP103"/>
  <c r="AO103"/>
  <c r="AZ103" s="1"/>
  <c r="AN103"/>
  <c r="AL103"/>
  <c r="AK103"/>
  <c r="AJ103"/>
  <c r="AI103"/>
  <c r="AE103"/>
  <c r="AQ102"/>
  <c r="AP102"/>
  <c r="AO102"/>
  <c r="AZ102" s="1"/>
  <c r="AN102"/>
  <c r="AL102"/>
  <c r="AK102"/>
  <c r="AJ102"/>
  <c r="AI102"/>
  <c r="AE102"/>
  <c r="AQ101"/>
  <c r="AP101"/>
  <c r="AO101"/>
  <c r="AZ101" s="1"/>
  <c r="AN101"/>
  <c r="AL101"/>
  <c r="AK101"/>
  <c r="AJ101"/>
  <c r="AI101"/>
  <c r="AE101"/>
  <c r="AQ100"/>
  <c r="AP100"/>
  <c r="AO100"/>
  <c r="AZ100" s="1"/>
  <c r="AN100"/>
  <c r="AL100"/>
  <c r="AK100"/>
  <c r="AJ100"/>
  <c r="AI100"/>
  <c r="AE100"/>
  <c r="AQ99"/>
  <c r="AP99"/>
  <c r="AO99"/>
  <c r="AZ99" s="1"/>
  <c r="AN99"/>
  <c r="AL99"/>
  <c r="AK99"/>
  <c r="AJ99"/>
  <c r="AI99"/>
  <c r="AE99"/>
  <c r="AQ98"/>
  <c r="AP98"/>
  <c r="AO98"/>
  <c r="AZ98" s="1"/>
  <c r="AN98"/>
  <c r="AL98"/>
  <c r="AK98"/>
  <c r="AE98"/>
  <c r="AQ97"/>
  <c r="AP97"/>
  <c r="AO97"/>
  <c r="AZ97" s="1"/>
  <c r="AN97"/>
  <c r="AL97"/>
  <c r="AK97"/>
  <c r="AJ97"/>
  <c r="AI97"/>
  <c r="AE97"/>
  <c r="AQ96"/>
  <c r="AP96"/>
  <c r="AO96"/>
  <c r="AZ96" s="1"/>
  <c r="AN96"/>
  <c r="AL96"/>
  <c r="AK96"/>
  <c r="AE96"/>
  <c r="AQ95"/>
  <c r="AP95"/>
  <c r="AO95"/>
  <c r="AZ95" s="1"/>
  <c r="AN95"/>
  <c r="AL95"/>
  <c r="AK95"/>
  <c r="AJ95"/>
  <c r="AI95"/>
  <c r="AE95"/>
  <c r="AQ94"/>
  <c r="AP94"/>
  <c r="AO94"/>
  <c r="AZ94" s="1"/>
  <c r="AN94"/>
  <c r="AL94"/>
  <c r="AK94"/>
  <c r="AJ94"/>
  <c r="AI94"/>
  <c r="AE94"/>
  <c r="AQ93"/>
  <c r="AP93"/>
  <c r="AO93"/>
  <c r="AZ93" s="1"/>
  <c r="AN93"/>
  <c r="AL93"/>
  <c r="AK93"/>
  <c r="AJ93"/>
  <c r="AI93"/>
  <c r="AE93"/>
  <c r="AQ92"/>
  <c r="AP92"/>
  <c r="AO92"/>
  <c r="AZ92" s="1"/>
  <c r="AN92"/>
  <c r="AL92"/>
  <c r="AK92"/>
  <c r="AJ92"/>
  <c r="AI92"/>
  <c r="AE92"/>
  <c r="AQ90"/>
  <c r="AP90"/>
  <c r="AO90"/>
  <c r="AZ90" s="1"/>
  <c r="AN90"/>
  <c r="AL90"/>
  <c r="AK90"/>
  <c r="AE90"/>
  <c r="AQ89"/>
  <c r="AP89"/>
  <c r="AO89"/>
  <c r="AZ89" s="1"/>
  <c r="AN89"/>
  <c r="AL89"/>
  <c r="AK89"/>
  <c r="AJ89"/>
  <c r="AI89"/>
  <c r="AE89"/>
  <c r="AQ88"/>
  <c r="AP88"/>
  <c r="AO88"/>
  <c r="AZ88" s="1"/>
  <c r="AN88"/>
  <c r="AL88"/>
  <c r="AK88"/>
  <c r="AJ88"/>
  <c r="AI88"/>
  <c r="AE88"/>
  <c r="AQ87"/>
  <c r="AP87"/>
  <c r="AO87"/>
  <c r="AZ87" s="1"/>
  <c r="AN87"/>
  <c r="AL87"/>
  <c r="AK87"/>
  <c r="AJ87"/>
  <c r="AI87"/>
  <c r="AE87"/>
  <c r="AQ86"/>
  <c r="AP86"/>
  <c r="AO86"/>
  <c r="AZ86" s="1"/>
  <c r="AN86"/>
  <c r="AL86"/>
  <c r="AK86"/>
  <c r="AJ86"/>
  <c r="AI86"/>
  <c r="AE86"/>
  <c r="AQ85"/>
  <c r="AP85"/>
  <c r="AO85"/>
  <c r="AZ85" s="1"/>
  <c r="AN85"/>
  <c r="AL85"/>
  <c r="AK85"/>
  <c r="AJ85"/>
  <c r="AI85"/>
  <c r="AE85"/>
  <c r="AQ73"/>
  <c r="AP73"/>
  <c r="AO73"/>
  <c r="AZ73" s="1"/>
  <c r="AN73"/>
  <c r="AL73"/>
  <c r="AK73"/>
  <c r="AE73"/>
  <c r="AQ72"/>
  <c r="AP72"/>
  <c r="AO72"/>
  <c r="AZ72" s="1"/>
  <c r="AN72"/>
  <c r="AL72"/>
  <c r="AK72"/>
  <c r="AJ72"/>
  <c r="AI72"/>
  <c r="AE72"/>
  <c r="AQ71"/>
  <c r="AP71"/>
  <c r="AO71"/>
  <c r="AZ71" s="1"/>
  <c r="AN71"/>
  <c r="AL71"/>
  <c r="AK71"/>
  <c r="AE71"/>
  <c r="AQ70"/>
  <c r="AP70"/>
  <c r="AO70"/>
  <c r="AZ70" s="1"/>
  <c r="AN70"/>
  <c r="AL70"/>
  <c r="AK70"/>
  <c r="AJ70"/>
  <c r="AI70"/>
  <c r="AE70"/>
  <c r="AQ69"/>
  <c r="AP69"/>
  <c r="AO69"/>
  <c r="AZ69" s="1"/>
  <c r="AN69"/>
  <c r="AL69"/>
  <c r="AK69"/>
  <c r="AE69"/>
  <c r="AQ68"/>
  <c r="AP68"/>
  <c r="AO68"/>
  <c r="AZ68" s="1"/>
  <c r="AN68"/>
  <c r="AL68"/>
  <c r="AK68"/>
  <c r="AE68"/>
  <c r="AQ67"/>
  <c r="AP67"/>
  <c r="AO67"/>
  <c r="AZ67" s="1"/>
  <c r="AN67"/>
  <c r="AL67"/>
  <c r="AK67"/>
  <c r="AE67"/>
  <c r="AQ66"/>
  <c r="AP66"/>
  <c r="AO66"/>
  <c r="AZ66" s="1"/>
  <c r="AN66"/>
  <c r="AL66"/>
  <c r="AK66"/>
  <c r="AE66"/>
  <c r="AQ65"/>
  <c r="AP65"/>
  <c r="AO65"/>
  <c r="AZ65" s="1"/>
  <c r="AN65"/>
  <c r="AL65"/>
  <c r="AK65"/>
  <c r="AJ65"/>
  <c r="AI65"/>
  <c r="AE65"/>
  <c r="AQ64"/>
  <c r="AP64"/>
  <c r="AO64"/>
  <c r="AZ64" s="1"/>
  <c r="AN64"/>
  <c r="AL64"/>
  <c r="AK64"/>
  <c r="AE64"/>
  <c r="AQ63"/>
  <c r="AP63"/>
  <c r="AO63"/>
  <c r="AZ63" s="1"/>
  <c r="AN63"/>
  <c r="AL63"/>
  <c r="AK63"/>
  <c r="AE63"/>
  <c r="AQ62"/>
  <c r="AP62"/>
  <c r="AO62"/>
  <c r="AZ62" s="1"/>
  <c r="AN62"/>
  <c r="AL62"/>
  <c r="AK62"/>
  <c r="AE62"/>
  <c r="AQ61"/>
  <c r="AP61"/>
  <c r="AO61"/>
  <c r="AZ61" s="1"/>
  <c r="AN61"/>
  <c r="AL61"/>
  <c r="AK61"/>
  <c r="AE61"/>
  <c r="AQ60"/>
  <c r="AP60"/>
  <c r="AO60"/>
  <c r="AZ60" s="1"/>
  <c r="AN60"/>
  <c r="AL60"/>
  <c r="AK60"/>
  <c r="AE60"/>
  <c r="AQ59"/>
  <c r="AP59"/>
  <c r="AO59"/>
  <c r="AZ59" s="1"/>
  <c r="AN59"/>
  <c r="AM59"/>
  <c r="AL59"/>
  <c r="AK59"/>
  <c r="AJ59"/>
  <c r="AI59"/>
  <c r="AE59"/>
  <c r="AQ58"/>
  <c r="AP58"/>
  <c r="AO58"/>
  <c r="AZ58" s="1"/>
  <c r="AN58"/>
  <c r="AL58"/>
  <c r="AK58"/>
  <c r="AE58"/>
  <c r="AQ57"/>
  <c r="AP57"/>
  <c r="AO57"/>
  <c r="AZ57" s="1"/>
  <c r="AN57"/>
  <c r="AL57"/>
  <c r="AK57"/>
  <c r="AE57"/>
  <c r="AQ56"/>
  <c r="AP56"/>
  <c r="AO56"/>
  <c r="AZ56" s="1"/>
  <c r="AN56"/>
  <c r="AL56"/>
  <c r="AK56"/>
  <c r="AE56"/>
  <c r="AQ55"/>
  <c r="AP55"/>
  <c r="AO55"/>
  <c r="AZ55" s="1"/>
  <c r="AN55"/>
  <c r="AL55"/>
  <c r="AK55"/>
  <c r="AE55"/>
  <c r="AQ54"/>
  <c r="AP54"/>
  <c r="AO54"/>
  <c r="AZ54" s="1"/>
  <c r="AN54"/>
  <c r="AL54"/>
  <c r="AK54"/>
  <c r="AE54"/>
  <c r="AQ53"/>
  <c r="AP53"/>
  <c r="AO53"/>
  <c r="AZ53" s="1"/>
  <c r="AN53"/>
  <c r="AL53"/>
  <c r="AK53"/>
  <c r="AE53"/>
  <c r="AQ52"/>
  <c r="AP52"/>
  <c r="AO52"/>
  <c r="AZ52" s="1"/>
  <c r="AN52"/>
  <c r="AL52"/>
  <c r="AK52"/>
  <c r="AE52"/>
  <c r="AQ51"/>
  <c r="AP51"/>
  <c r="AO51"/>
  <c r="AZ51" s="1"/>
  <c r="AN51"/>
  <c r="AL51"/>
  <c r="AK51"/>
  <c r="AQ38"/>
  <c r="AP38"/>
  <c r="AO38"/>
  <c r="AZ38" s="1"/>
  <c r="AN38"/>
  <c r="AL38"/>
  <c r="AK38"/>
  <c r="AJ38"/>
  <c r="AI38"/>
  <c r="AE38"/>
  <c r="AS36"/>
  <c r="AR36"/>
  <c r="AQ36"/>
  <c r="AP36"/>
  <c r="AO36"/>
  <c r="AZ36" s="1"/>
  <c r="AN36"/>
  <c r="AM36"/>
  <c r="AL36"/>
  <c r="AK36"/>
  <c r="AJ36"/>
  <c r="AI36"/>
  <c r="AE36"/>
  <c r="AQ35"/>
  <c r="AP35"/>
  <c r="AO35"/>
  <c r="AZ35" s="1"/>
  <c r="AN35"/>
  <c r="AL35"/>
  <c r="AK35"/>
  <c r="AJ35"/>
  <c r="AI35"/>
  <c r="AE35"/>
  <c r="AQ34"/>
  <c r="AP34"/>
  <c r="AO34"/>
  <c r="AZ34" s="1"/>
  <c r="AN34"/>
  <c r="AL34"/>
  <c r="AK34"/>
  <c r="AJ34"/>
  <c r="AI34"/>
  <c r="AE34"/>
  <c r="AQ33"/>
  <c r="AP33"/>
  <c r="AO33"/>
  <c r="AZ33" s="1"/>
  <c r="AN33"/>
  <c r="AL33"/>
  <c r="AK33"/>
  <c r="AJ33"/>
  <c r="AI33"/>
  <c r="AE33"/>
  <c r="AQ32"/>
  <c r="AP32"/>
  <c r="AO32"/>
  <c r="AZ32" s="1"/>
  <c r="AN32"/>
  <c r="AL32"/>
  <c r="AK32"/>
  <c r="AE32"/>
  <c r="AQ31"/>
  <c r="AP31"/>
  <c r="AO31"/>
  <c r="AZ31" s="1"/>
  <c r="AN31"/>
  <c r="AL31"/>
  <c r="AK31"/>
  <c r="AJ31"/>
  <c r="AI31"/>
  <c r="AE31"/>
  <c r="AQ30"/>
  <c r="AP30"/>
  <c r="AO30"/>
  <c r="AZ30" s="1"/>
  <c r="AN30"/>
  <c r="AL30"/>
  <c r="AK30"/>
  <c r="AJ30"/>
  <c r="AI30"/>
  <c r="AE30"/>
  <c r="AQ29"/>
  <c r="AP29"/>
  <c r="AO29"/>
  <c r="AZ29" s="1"/>
  <c r="AN29"/>
  <c r="AL29"/>
  <c r="AK29"/>
  <c r="AJ29"/>
  <c r="AI29"/>
  <c r="AE29"/>
  <c r="AQ28"/>
  <c r="AP28"/>
  <c r="AO28"/>
  <c r="AZ28" s="1"/>
  <c r="AN28"/>
  <c r="AL28"/>
  <c r="AK28"/>
  <c r="AJ28"/>
  <c r="AI28"/>
  <c r="AE28"/>
  <c r="AQ27"/>
  <c r="AP27"/>
  <c r="AO27"/>
  <c r="AZ27" s="1"/>
  <c r="AN27"/>
  <c r="AL27"/>
  <c r="AK27"/>
  <c r="AJ27"/>
  <c r="AI27"/>
  <c r="AE27"/>
  <c r="AQ26"/>
  <c r="AP26"/>
  <c r="AO26"/>
  <c r="AZ26" s="1"/>
  <c r="AN26"/>
  <c r="AL26"/>
  <c r="AK26"/>
  <c r="AJ26"/>
  <c r="AI26"/>
  <c r="AE26"/>
  <c r="AQ25"/>
  <c r="AP25"/>
  <c r="AO25"/>
  <c r="AZ25" s="1"/>
  <c r="AN25"/>
  <c r="AL25"/>
  <c r="AK25"/>
  <c r="AE25"/>
  <c r="AQ24"/>
  <c r="AP24"/>
  <c r="AO24"/>
  <c r="AZ24" s="1"/>
  <c r="AN24"/>
  <c r="AL24"/>
  <c r="AK24"/>
  <c r="AJ24"/>
  <c r="AI24"/>
  <c r="AE24"/>
  <c r="AQ23"/>
  <c r="AP23"/>
  <c r="AO23"/>
  <c r="AZ23" s="1"/>
  <c r="AN23"/>
  <c r="AL23"/>
  <c r="AK23"/>
  <c r="AJ23"/>
  <c r="AI23"/>
  <c r="AE23"/>
  <c r="AQ22"/>
  <c r="AP22"/>
  <c r="AO22"/>
  <c r="AZ22" s="1"/>
  <c r="AN22"/>
  <c r="AL22"/>
  <c r="AK22"/>
  <c r="AJ22"/>
  <c r="AI22"/>
  <c r="AE22"/>
  <c r="AQ21"/>
  <c r="AP21"/>
  <c r="AO21"/>
  <c r="AZ21" s="1"/>
  <c r="AN21"/>
  <c r="AL21"/>
  <c r="AK21"/>
  <c r="AJ21"/>
  <c r="AI21"/>
  <c r="AE21"/>
  <c r="AQ20"/>
  <c r="AP20"/>
  <c r="AO20"/>
  <c r="AZ20" s="1"/>
  <c r="AN20"/>
  <c r="AL20"/>
  <c r="AK20"/>
  <c r="AE20"/>
  <c r="AQ19"/>
  <c r="AP19"/>
  <c r="AO19"/>
  <c r="AZ19" s="1"/>
  <c r="AN19"/>
  <c r="AM19"/>
  <c r="AL19"/>
  <c r="AK19"/>
  <c r="AJ19"/>
  <c r="AI19"/>
  <c r="AE19"/>
  <c r="AQ18"/>
  <c r="AP18"/>
  <c r="AO18"/>
  <c r="AZ18" s="1"/>
  <c r="AN18"/>
  <c r="AL18"/>
  <c r="AK18"/>
  <c r="AE18"/>
  <c r="AQ16"/>
  <c r="AP16"/>
  <c r="AO16"/>
  <c r="AZ16" s="1"/>
  <c r="AN16"/>
  <c r="AL16"/>
  <c r="AK16"/>
  <c r="AJ16"/>
  <c r="AI16"/>
  <c r="AE16"/>
  <c r="AQ15"/>
  <c r="AP15"/>
  <c r="AO15"/>
  <c r="AZ15" s="1"/>
  <c r="AN15"/>
  <c r="AL15"/>
  <c r="AK15"/>
  <c r="AJ15"/>
  <c r="AI15"/>
  <c r="AE15"/>
  <c r="AQ14"/>
  <c r="AP14"/>
  <c r="AO14"/>
  <c r="AZ14" s="1"/>
  <c r="AN14"/>
  <c r="AM14"/>
  <c r="AL14"/>
  <c r="AK14"/>
  <c r="AJ14"/>
  <c r="AI14"/>
  <c r="AE14"/>
  <c r="AQ13"/>
  <c r="AP13"/>
  <c r="AO13"/>
  <c r="AZ13" s="1"/>
  <c r="AN13"/>
  <c r="AL13"/>
  <c r="AK13"/>
  <c r="AE13"/>
  <c r="AQ12"/>
  <c r="AP12"/>
  <c r="AO12"/>
  <c r="AZ12" s="1"/>
  <c r="AN12"/>
  <c r="AL12"/>
  <c r="AK12"/>
  <c r="AJ12"/>
  <c r="AI12"/>
  <c r="AE12"/>
  <c r="AQ11"/>
  <c r="AP11"/>
  <c r="AO11"/>
  <c r="AZ11" s="1"/>
  <c r="AN11"/>
  <c r="AL11"/>
  <c r="AK11"/>
  <c r="AE11"/>
  <c r="AQ10"/>
  <c r="AP10"/>
  <c r="AO10"/>
  <c r="AZ10" s="1"/>
  <c r="AN10"/>
  <c r="AL10"/>
  <c r="AK10"/>
  <c r="AE10"/>
  <c r="AQ9"/>
  <c r="AP9"/>
  <c r="AO9"/>
  <c r="AZ9" s="1"/>
  <c r="AN9"/>
  <c r="AL9"/>
  <c r="AK9"/>
  <c r="AE9"/>
  <c r="AQ8"/>
  <c r="AP8"/>
  <c r="AO8"/>
  <c r="AZ8" s="1"/>
  <c r="AN8"/>
  <c r="AL8"/>
  <c r="AK8"/>
  <c r="AE8"/>
  <c r="AQ7"/>
  <c r="AP7"/>
  <c r="AO7"/>
  <c r="AN7"/>
  <c r="AL7"/>
  <c r="AK7"/>
  <c r="AE7"/>
  <c r="AB220"/>
  <c r="AC220" s="1"/>
  <c r="AB219"/>
  <c r="AC219" s="1"/>
  <c r="AB218"/>
  <c r="AC218" s="1"/>
  <c r="AB217"/>
  <c r="AC217" s="1"/>
  <c r="AB216"/>
  <c r="AC216" s="1"/>
  <c r="M222" i="4"/>
  <c r="M242" s="1"/>
  <c r="AD222"/>
  <c r="AD222" i="5" s="1"/>
  <c r="R222" i="4"/>
  <c r="R222" i="5" s="1"/>
  <c r="O222" i="4"/>
  <c r="O222" i="5" s="1"/>
  <c r="L222" i="4"/>
  <c r="L222" i="5" s="1"/>
  <c r="AL166" i="4"/>
  <c r="AK166"/>
  <c r="AA166"/>
  <c r="AA166" i="5" s="1"/>
  <c r="O133" i="4"/>
  <c r="O133" i="5" s="1"/>
  <c r="AA133" i="4"/>
  <c r="AA133" i="5" s="1"/>
  <c r="U133" i="4"/>
  <c r="U133" i="5" s="1"/>
  <c r="R133" i="4"/>
  <c r="R133" i="5" s="1"/>
  <c r="L133" i="4"/>
  <c r="L133" i="5" s="1"/>
  <c r="AA109" i="4"/>
  <c r="AA109" i="5" s="1"/>
  <c r="U109" i="4"/>
  <c r="U109" i="5" s="1"/>
  <c r="R109" i="4"/>
  <c r="R109" i="5" s="1"/>
  <c r="L109" i="4"/>
  <c r="L109" i="5" s="1"/>
  <c r="AA74" i="4"/>
  <c r="AA74" i="5" s="1"/>
  <c r="X74" i="4"/>
  <c r="X74" i="5" s="1"/>
  <c r="X76" s="1"/>
  <c r="U74" i="4"/>
  <c r="U74" i="5" s="1"/>
  <c r="R74" i="4"/>
  <c r="R74" i="5" s="1"/>
  <c r="L74" i="4"/>
  <c r="L74" i="5" s="1"/>
  <c r="AK41" i="4"/>
  <c r="Y108" i="5"/>
  <c r="Y105"/>
  <c r="Y20"/>
  <c r="E51" l="1"/>
  <c r="C12" i="2"/>
  <c r="H41" i="4"/>
  <c r="H180" i="5"/>
  <c r="E13"/>
  <c r="E109" i="4"/>
  <c r="J86" i="5"/>
  <c r="J88"/>
  <c r="D109" i="4"/>
  <c r="J180" i="5"/>
  <c r="K85"/>
  <c r="K123"/>
  <c r="K152"/>
  <c r="K51"/>
  <c r="G51"/>
  <c r="G86"/>
  <c r="G88"/>
  <c r="H152"/>
  <c r="D128"/>
  <c r="H33"/>
  <c r="B242" i="4"/>
  <c r="D133"/>
  <c r="K133"/>
  <c r="E166"/>
  <c r="H166"/>
  <c r="K41"/>
  <c r="E41"/>
  <c r="G41"/>
  <c r="J133"/>
  <c r="G188"/>
  <c r="G166"/>
  <c r="H96" i="5"/>
  <c r="G13"/>
  <c r="E188" i="4"/>
  <c r="K188"/>
  <c r="G222" i="5"/>
  <c r="C242" i="4"/>
  <c r="C244" i="5" s="1"/>
  <c r="I242" i="4"/>
  <c r="I18" i="2" s="1"/>
  <c r="I18" i="3" s="1"/>
  <c r="J74" i="4"/>
  <c r="K74"/>
  <c r="J109"/>
  <c r="K109"/>
  <c r="G133"/>
  <c r="J166"/>
  <c r="K166"/>
  <c r="J188"/>
  <c r="E74"/>
  <c r="D188"/>
  <c r="J41"/>
  <c r="D74"/>
  <c r="H188"/>
  <c r="J157" i="5"/>
  <c r="K180"/>
  <c r="K24"/>
  <c r="G124"/>
  <c r="G157"/>
  <c r="G180"/>
  <c r="H128"/>
  <c r="D21"/>
  <c r="D89"/>
  <c r="H13"/>
  <c r="H24"/>
  <c r="N85"/>
  <c r="N13"/>
  <c r="N51"/>
  <c r="D222"/>
  <c r="J85"/>
  <c r="J96"/>
  <c r="J123"/>
  <c r="J152"/>
  <c r="J179"/>
  <c r="K157"/>
  <c r="J13"/>
  <c r="J24"/>
  <c r="J51"/>
  <c r="G89"/>
  <c r="G96"/>
  <c r="G128"/>
  <c r="H51"/>
  <c r="H89"/>
  <c r="H124"/>
  <c r="H146"/>
  <c r="D33"/>
  <c r="D124"/>
  <c r="D146"/>
  <c r="G21"/>
  <c r="G33"/>
  <c r="I74"/>
  <c r="N74" s="1"/>
  <c r="I109"/>
  <c r="N109" s="1"/>
  <c r="C188"/>
  <c r="C15" i="2"/>
  <c r="C15" i="3" s="1"/>
  <c r="H74" i="5"/>
  <c r="G74"/>
  <c r="F188"/>
  <c r="H188" s="1"/>
  <c r="I188"/>
  <c r="I11" i="2"/>
  <c r="I41" i="5"/>
  <c r="M41" s="1"/>
  <c r="F11" i="2"/>
  <c r="F41" i="5"/>
  <c r="C11" i="2"/>
  <c r="C41" i="5"/>
  <c r="D41" i="4"/>
  <c r="B11" i="2"/>
  <c r="B11" i="3" s="1"/>
  <c r="B41" i="5"/>
  <c r="AB74"/>
  <c r="AC74" s="1"/>
  <c r="B16" i="2"/>
  <c r="B16" i="3" s="1"/>
  <c r="B188" i="5"/>
  <c r="I15" i="2"/>
  <c r="I166" i="5"/>
  <c r="B13" i="2"/>
  <c r="B13" i="3" s="1"/>
  <c r="B109" i="5"/>
  <c r="I14" i="2"/>
  <c r="I133" i="5"/>
  <c r="N133" s="1"/>
  <c r="C17" i="3"/>
  <c r="D17" s="1"/>
  <c r="E17" s="1"/>
  <c r="D17" i="2"/>
  <c r="E17" s="1"/>
  <c r="I17" i="3"/>
  <c r="J17" i="2"/>
  <c r="K17" s="1"/>
  <c r="F16" i="3"/>
  <c r="G16" i="2"/>
  <c r="H16" s="1"/>
  <c r="I13" i="3"/>
  <c r="I12"/>
  <c r="J12" i="2"/>
  <c r="K12" s="1"/>
  <c r="F17" i="3"/>
  <c r="G17" i="2"/>
  <c r="H17" s="1"/>
  <c r="C16" i="3"/>
  <c r="D16" i="2"/>
  <c r="E16" s="1"/>
  <c r="I16" i="3"/>
  <c r="J16" i="2"/>
  <c r="K16" s="1"/>
  <c r="F12" i="3"/>
  <c r="G12" i="2"/>
  <c r="H12" s="1"/>
  <c r="C12" i="3"/>
  <c r="B15" i="2"/>
  <c r="B15" i="3" s="1"/>
  <c r="B166" i="5"/>
  <c r="F14" i="2"/>
  <c r="F133" i="5"/>
  <c r="F13" i="2"/>
  <c r="J13" s="1"/>
  <c r="K13" s="1"/>
  <c r="F109" i="5"/>
  <c r="B14" i="2"/>
  <c r="B14" i="3" s="1"/>
  <c r="B133" i="5"/>
  <c r="B12" i="2"/>
  <c r="B12" i="3" s="1"/>
  <c r="B74" i="5"/>
  <c r="F15" i="2"/>
  <c r="F166" i="5"/>
  <c r="C14" i="2"/>
  <c r="C133" i="5"/>
  <c r="C13" i="2"/>
  <c r="C109" i="5"/>
  <c r="I244"/>
  <c r="F18" i="2"/>
  <c r="F244" i="5"/>
  <c r="C18" i="2"/>
  <c r="B18"/>
  <c r="B244" i="5"/>
  <c r="M61"/>
  <c r="M146"/>
  <c r="N151"/>
  <c r="E180"/>
  <c r="BK7"/>
  <c r="BK9"/>
  <c r="BK11"/>
  <c r="BK13"/>
  <c r="BK14"/>
  <c r="BK16"/>
  <c r="BK20"/>
  <c r="BK22"/>
  <c r="BK24"/>
  <c r="BK26"/>
  <c r="BK28"/>
  <c r="BK30"/>
  <c r="BK32"/>
  <c r="BK34"/>
  <c r="BK52"/>
  <c r="BK54"/>
  <c r="BK56"/>
  <c r="BK58"/>
  <c r="BK59"/>
  <c r="BK61"/>
  <c r="BK63"/>
  <c r="BK65"/>
  <c r="BK67"/>
  <c r="BK69"/>
  <c r="BK71"/>
  <c r="BK73"/>
  <c r="BK86"/>
  <c r="BK88"/>
  <c r="BK90"/>
  <c r="BK93"/>
  <c r="BK95"/>
  <c r="BK97"/>
  <c r="BK99"/>
  <c r="BK101"/>
  <c r="BK103"/>
  <c r="BK105"/>
  <c r="BK120"/>
  <c r="BK199"/>
  <c r="BK202"/>
  <c r="BK204"/>
  <c r="BK206"/>
  <c r="BK208"/>
  <c r="BK210"/>
  <c r="BK212"/>
  <c r="BK214"/>
  <c r="BK216"/>
  <c r="BK218"/>
  <c r="BK220"/>
  <c r="BK8"/>
  <c r="BK15"/>
  <c r="BK18"/>
  <c r="BK19"/>
  <c r="BK72"/>
  <c r="BK89"/>
  <c r="BK92"/>
  <c r="BK94"/>
  <c r="BK96"/>
  <c r="BK98"/>
  <c r="BK100"/>
  <c r="BK102"/>
  <c r="BK104"/>
  <c r="BK108"/>
  <c r="BK121"/>
  <c r="BK123"/>
  <c r="BK125"/>
  <c r="BK129"/>
  <c r="BK131"/>
  <c r="BK146"/>
  <c r="BK148"/>
  <c r="BK150"/>
  <c r="BK153"/>
  <c r="BK156"/>
  <c r="BK157"/>
  <c r="BK159"/>
  <c r="BK162"/>
  <c r="BK163"/>
  <c r="BK184"/>
  <c r="BK187"/>
  <c r="BK198"/>
  <c r="BK200"/>
  <c r="BK201"/>
  <c r="BK205"/>
  <c r="BK207"/>
  <c r="BK209"/>
  <c r="BK211"/>
  <c r="BK213"/>
  <c r="BK215"/>
  <c r="BK217"/>
  <c r="BK219"/>
  <c r="BK122"/>
  <c r="BK124"/>
  <c r="BK127"/>
  <c r="BK130"/>
  <c r="BK132"/>
  <c r="BK147"/>
  <c r="BK149"/>
  <c r="BK154"/>
  <c r="BK158"/>
  <c r="BK160"/>
  <c r="BK185"/>
  <c r="BK10"/>
  <c r="BK12"/>
  <c r="BK21"/>
  <c r="BK23"/>
  <c r="BK25"/>
  <c r="BK27"/>
  <c r="BK29"/>
  <c r="BK31"/>
  <c r="BK33"/>
  <c r="BK35"/>
  <c r="BK38"/>
  <c r="BK51"/>
  <c r="BK53"/>
  <c r="BK55"/>
  <c r="BK57"/>
  <c r="BK60"/>
  <c r="BK62"/>
  <c r="BK64"/>
  <c r="BK66"/>
  <c r="BK68"/>
  <c r="BK70"/>
  <c r="BK85"/>
  <c r="BK87"/>
  <c r="BK203"/>
  <c r="AE41"/>
  <c r="AQ41"/>
  <c r="M109"/>
  <c r="N222"/>
  <c r="M222"/>
  <c r="N41"/>
  <c r="AN41"/>
  <c r="AP41"/>
  <c r="E242" i="4"/>
  <c r="K41" i="5"/>
  <c r="D13"/>
  <c r="H222"/>
  <c r="D242" i="4"/>
  <c r="H242"/>
  <c r="G242"/>
  <c r="J242"/>
  <c r="AS60" i="5"/>
  <c r="BB60" s="1"/>
  <c r="AR110"/>
  <c r="AS110"/>
  <c r="AZ7"/>
  <c r="AZ41" s="1"/>
  <c r="AO41"/>
  <c r="BJ188"/>
  <c r="BJ74"/>
  <c r="BB36"/>
  <c r="BK36" s="1"/>
  <c r="AX188"/>
  <c r="AX190" s="1"/>
  <c r="AZ74"/>
  <c r="AZ75"/>
  <c r="AZ188"/>
  <c r="BB127"/>
  <c r="BB130"/>
  <c r="BB131"/>
  <c r="AZ166"/>
  <c r="BB149"/>
  <c r="AZ133"/>
  <c r="BB121"/>
  <c r="BB122"/>
  <c r="BB123"/>
  <c r="BB124"/>
  <c r="BB125"/>
  <c r="BB157"/>
  <c r="AZ109"/>
  <c r="AZ220"/>
  <c r="AK109"/>
  <c r="AB14"/>
  <c r="AC14" s="1"/>
  <c r="AB23"/>
  <c r="AC23" s="1"/>
  <c r="AB31"/>
  <c r="AC31" s="1"/>
  <c r="AP166"/>
  <c r="AM258" i="4"/>
  <c r="AO109" i="5"/>
  <c r="AL133"/>
  <c r="AK188"/>
  <c r="AR42"/>
  <c r="AP74"/>
  <c r="AS189"/>
  <c r="AL41"/>
  <c r="AL74"/>
  <c r="AQ74"/>
  <c r="AN109"/>
  <c r="AP133"/>
  <c r="AN188"/>
  <c r="AJ222"/>
  <c r="AN222"/>
  <c r="AO188"/>
  <c r="AK222"/>
  <c r="AO222"/>
  <c r="AG157"/>
  <c r="AH157" s="1"/>
  <c r="AG164"/>
  <c r="AH164" s="1"/>
  <c r="AN74"/>
  <c r="AL109"/>
  <c r="AP109"/>
  <c r="AN133"/>
  <c r="AN166"/>
  <c r="AT150"/>
  <c r="AU150" s="1"/>
  <c r="AL188"/>
  <c r="AT180"/>
  <c r="AU180" s="1"/>
  <c r="AL222"/>
  <c r="AP222"/>
  <c r="AB179"/>
  <c r="AC179" s="1"/>
  <c r="AB10"/>
  <c r="AC10" s="1"/>
  <c r="AB19"/>
  <c r="AB27"/>
  <c r="AC27" s="1"/>
  <c r="AK41"/>
  <c r="AV36"/>
  <c r="AW36" s="1"/>
  <c r="AK74"/>
  <c r="AO74"/>
  <c r="AQ109"/>
  <c r="AE133"/>
  <c r="AK133"/>
  <c r="AO133"/>
  <c r="AO166"/>
  <c r="AI222"/>
  <c r="AQ222"/>
  <c r="AB8"/>
  <c r="AC8" s="1"/>
  <c r="AB15"/>
  <c r="AC15" s="1"/>
  <c r="AB18"/>
  <c r="AC18" s="1"/>
  <c r="AB25"/>
  <c r="AC25" s="1"/>
  <c r="AB32"/>
  <c r="AC32" s="1"/>
  <c r="AB34"/>
  <c r="AC34" s="1"/>
  <c r="AB121"/>
  <c r="AC121" s="1"/>
  <c r="AB123"/>
  <c r="AC123" s="1"/>
  <c r="AB125"/>
  <c r="AC125" s="1"/>
  <c r="AB127"/>
  <c r="AC127" s="1"/>
  <c r="AB130"/>
  <c r="AB132"/>
  <c r="AC132" s="1"/>
  <c r="AB147"/>
  <c r="AC147" s="1"/>
  <c r="AB149"/>
  <c r="AC149" s="1"/>
  <c r="AB151"/>
  <c r="AC151" s="1"/>
  <c r="AB153"/>
  <c r="AC153" s="1"/>
  <c r="AB155"/>
  <c r="AC155" s="1"/>
  <c r="AB157"/>
  <c r="AC157" s="1"/>
  <c r="AB159"/>
  <c r="AC159" s="1"/>
  <c r="AB161"/>
  <c r="AC161" s="1"/>
  <c r="AB163"/>
  <c r="AB180"/>
  <c r="AC180" s="1"/>
  <c r="AB182"/>
  <c r="AC182" s="1"/>
  <c r="AB184"/>
  <c r="AC184" s="1"/>
  <c r="AB187"/>
  <c r="AC187" s="1"/>
  <c r="AB199"/>
  <c r="AC199" s="1"/>
  <c r="AB201"/>
  <c r="AC201" s="1"/>
  <c r="AB203"/>
  <c r="AC203" s="1"/>
  <c r="AB205"/>
  <c r="AC205" s="1"/>
  <c r="AB207"/>
  <c r="AC207" s="1"/>
  <c r="AB209"/>
  <c r="AC209" s="1"/>
  <c r="AB211"/>
  <c r="AC211" s="1"/>
  <c r="AB213"/>
  <c r="AC213" s="1"/>
  <c r="AB215"/>
  <c r="AC215" s="1"/>
  <c r="AT36"/>
  <c r="AT121"/>
  <c r="AU121" s="1"/>
  <c r="AT123"/>
  <c r="AU123" s="1"/>
  <c r="AT125"/>
  <c r="AU125" s="1"/>
  <c r="AT127"/>
  <c r="AU127" s="1"/>
  <c r="AT130"/>
  <c r="AU130" s="1"/>
  <c r="AT132"/>
  <c r="AU132" s="1"/>
  <c r="AT149"/>
  <c r="AU149" s="1"/>
  <c r="AV157"/>
  <c r="AW157" s="1"/>
  <c r="AV164"/>
  <c r="AW164" s="1"/>
  <c r="AB11"/>
  <c r="AC11" s="1"/>
  <c r="AB13"/>
  <c r="AC13" s="1"/>
  <c r="AB21"/>
  <c r="AC21" s="1"/>
  <c r="AB28"/>
  <c r="AC28" s="1"/>
  <c r="AB30"/>
  <c r="AC30" s="1"/>
  <c r="AB52"/>
  <c r="AC52" s="1"/>
  <c r="AB54"/>
  <c r="AC54" s="1"/>
  <c r="AB56"/>
  <c r="AC56" s="1"/>
  <c r="AB58"/>
  <c r="AC58" s="1"/>
  <c r="AB60"/>
  <c r="AC60" s="1"/>
  <c r="AB62"/>
  <c r="AC62" s="1"/>
  <c r="AB64"/>
  <c r="AC64" s="1"/>
  <c r="AB66"/>
  <c r="AC66" s="1"/>
  <c r="AB68"/>
  <c r="AC68" s="1"/>
  <c r="AB70"/>
  <c r="AB85"/>
  <c r="AC85" s="1"/>
  <c r="AB87"/>
  <c r="AC87" s="1"/>
  <c r="AB89"/>
  <c r="AC89" s="1"/>
  <c r="AB92"/>
  <c r="AC92" s="1"/>
  <c r="AB94"/>
  <c r="AC94" s="1"/>
  <c r="AB96"/>
  <c r="AC96" s="1"/>
  <c r="AB98"/>
  <c r="AC98" s="1"/>
  <c r="AB100"/>
  <c r="AC100" s="1"/>
  <c r="AB102"/>
  <c r="AC102" s="1"/>
  <c r="AB104"/>
  <c r="AC104" s="1"/>
  <c r="AB108"/>
  <c r="AC108" s="1"/>
  <c r="AT157"/>
  <c r="AU157" s="1"/>
  <c r="AT164"/>
  <c r="AU164" s="1"/>
  <c r="AB7"/>
  <c r="AB9"/>
  <c r="AC9" s="1"/>
  <c r="AB16"/>
  <c r="AC16" s="1"/>
  <c r="AB24"/>
  <c r="AC24" s="1"/>
  <c r="AB26"/>
  <c r="AC26" s="1"/>
  <c r="AB33"/>
  <c r="AC33" s="1"/>
  <c r="AB120"/>
  <c r="AB122"/>
  <c r="AC122" s="1"/>
  <c r="AB124"/>
  <c r="AC124" s="1"/>
  <c r="AB126"/>
  <c r="AC126" s="1"/>
  <c r="AB129"/>
  <c r="AC129" s="1"/>
  <c r="AB131"/>
  <c r="AC131" s="1"/>
  <c r="AB146"/>
  <c r="AC146" s="1"/>
  <c r="AB148"/>
  <c r="AC148" s="1"/>
  <c r="AB150"/>
  <c r="AC150" s="1"/>
  <c r="AB152"/>
  <c r="AC152" s="1"/>
  <c r="AB154"/>
  <c r="AC154" s="1"/>
  <c r="AB156"/>
  <c r="AC156" s="1"/>
  <c r="AB158"/>
  <c r="AC158" s="1"/>
  <c r="AB160"/>
  <c r="AC160" s="1"/>
  <c r="AB162"/>
  <c r="AC162" s="1"/>
  <c r="AB164"/>
  <c r="AB181"/>
  <c r="AC181" s="1"/>
  <c r="AB183"/>
  <c r="AC183" s="1"/>
  <c r="AB185"/>
  <c r="AC185" s="1"/>
  <c r="AB198"/>
  <c r="AC198" s="1"/>
  <c r="AB200"/>
  <c r="AC200" s="1"/>
  <c r="AB202"/>
  <c r="AC202" s="1"/>
  <c r="AB204"/>
  <c r="AC204" s="1"/>
  <c r="AB206"/>
  <c r="AC206" s="1"/>
  <c r="AB208"/>
  <c r="AC208" s="1"/>
  <c r="AB210"/>
  <c r="AC210" s="1"/>
  <c r="AB212"/>
  <c r="AC212" s="1"/>
  <c r="AB214"/>
  <c r="AC214" s="1"/>
  <c r="AT122"/>
  <c r="AU122" s="1"/>
  <c r="AT124"/>
  <c r="AU124" s="1"/>
  <c r="AT131"/>
  <c r="AU131" s="1"/>
  <c r="AB12"/>
  <c r="AC12" s="1"/>
  <c r="AB20"/>
  <c r="AC20" s="1"/>
  <c r="AB29"/>
  <c r="AC29" s="1"/>
  <c r="AB51"/>
  <c r="AB53"/>
  <c r="AC53" s="1"/>
  <c r="AB55"/>
  <c r="AC55" s="1"/>
  <c r="AB57"/>
  <c r="AC57" s="1"/>
  <c r="AB59"/>
  <c r="AB61"/>
  <c r="AC61" s="1"/>
  <c r="AB63"/>
  <c r="AC63" s="1"/>
  <c r="AB65"/>
  <c r="AB67"/>
  <c r="AC67" s="1"/>
  <c r="AB69"/>
  <c r="AC69" s="1"/>
  <c r="AB71"/>
  <c r="AC71" s="1"/>
  <c r="AB86"/>
  <c r="AC86" s="1"/>
  <c r="AB88"/>
  <c r="AC88" s="1"/>
  <c r="AB90"/>
  <c r="AC90" s="1"/>
  <c r="AB93"/>
  <c r="AC93" s="1"/>
  <c r="AB95"/>
  <c r="AC95" s="1"/>
  <c r="AB97"/>
  <c r="AC97" s="1"/>
  <c r="AB99"/>
  <c r="AC99" s="1"/>
  <c r="AB101"/>
  <c r="AC101" s="1"/>
  <c r="AB103"/>
  <c r="AC103" s="1"/>
  <c r="AB105"/>
  <c r="V109" i="4"/>
  <c r="K244" i="5" l="1"/>
  <c r="M74"/>
  <c r="K242" i="4"/>
  <c r="G188" i="5"/>
  <c r="G41"/>
  <c r="M133"/>
  <c r="D41"/>
  <c r="K188"/>
  <c r="E188"/>
  <c r="E41"/>
  <c r="H41"/>
  <c r="J188"/>
  <c r="J41"/>
  <c r="J74"/>
  <c r="K74"/>
  <c r="G244"/>
  <c r="BC36"/>
  <c r="H244"/>
  <c r="D188"/>
  <c r="C11" i="3"/>
  <c r="D11" s="1"/>
  <c r="E11" s="1"/>
  <c r="D11" i="2"/>
  <c r="E11" s="1"/>
  <c r="F11" i="3"/>
  <c r="G11" i="2"/>
  <c r="H11" s="1"/>
  <c r="I11" i="3"/>
  <c r="J11" i="2"/>
  <c r="K11" s="1"/>
  <c r="J16" i="3"/>
  <c r="K16" s="1"/>
  <c r="D16"/>
  <c r="E16" s="1"/>
  <c r="G17"/>
  <c r="H17" s="1"/>
  <c r="D12" i="2"/>
  <c r="E12" s="1"/>
  <c r="D15"/>
  <c r="E15" s="1"/>
  <c r="C13" i="3"/>
  <c r="D13" s="1"/>
  <c r="E13" s="1"/>
  <c r="D13" i="2"/>
  <c r="E13" s="1"/>
  <c r="C14" i="3"/>
  <c r="D14" s="1"/>
  <c r="E14" s="1"/>
  <c r="D14" i="2"/>
  <c r="E14" s="1"/>
  <c r="F15" i="3"/>
  <c r="G15" s="1"/>
  <c r="H15" s="1"/>
  <c r="G15" i="2"/>
  <c r="H15" s="1"/>
  <c r="F13" i="3"/>
  <c r="G13" i="2"/>
  <c r="H13" s="1"/>
  <c r="F14" i="3"/>
  <c r="G14" i="2"/>
  <c r="H14" s="1"/>
  <c r="I14" i="3"/>
  <c r="J14" i="2"/>
  <c r="K14" s="1"/>
  <c r="I15" i="3"/>
  <c r="J15" s="1"/>
  <c r="K15" s="1"/>
  <c r="J15" i="2"/>
  <c r="K15" s="1"/>
  <c r="D12" i="3"/>
  <c r="E12" s="1"/>
  <c r="G12"/>
  <c r="H12" s="1"/>
  <c r="D15"/>
  <c r="E15" s="1"/>
  <c r="J12"/>
  <c r="K12" s="1"/>
  <c r="J13"/>
  <c r="K13" s="1"/>
  <c r="G16"/>
  <c r="H16" s="1"/>
  <c r="J17"/>
  <c r="K17" s="1"/>
  <c r="E109" i="5"/>
  <c r="D109"/>
  <c r="E133"/>
  <c r="D133"/>
  <c r="H166"/>
  <c r="G166"/>
  <c r="E74"/>
  <c r="D74"/>
  <c r="H109"/>
  <c r="J109"/>
  <c r="G109"/>
  <c r="K109"/>
  <c r="H133"/>
  <c r="G133"/>
  <c r="E166"/>
  <c r="D166"/>
  <c r="J133"/>
  <c r="K133"/>
  <c r="J166"/>
  <c r="K166"/>
  <c r="J244"/>
  <c r="J18" i="2"/>
  <c r="K18" s="1"/>
  <c r="F18" i="3"/>
  <c r="J18" s="1"/>
  <c r="K18" s="1"/>
  <c r="G18" i="2"/>
  <c r="H18" s="1"/>
  <c r="C18" i="3"/>
  <c r="B18"/>
  <c r="D18" i="2"/>
  <c r="E18" s="1"/>
  <c r="BK222" i="5"/>
  <c r="BK41"/>
  <c r="BK109"/>
  <c r="BK74"/>
  <c r="AR189"/>
  <c r="AS42"/>
  <c r="BA36"/>
  <c r="BA157"/>
  <c r="AN244"/>
  <c r="AO244"/>
  <c r="AC51"/>
  <c r="AC7"/>
  <c r="AC120"/>
  <c r="AB133"/>
  <c r="AN166" i="4"/>
  <c r="AO133"/>
  <c r="AN188"/>
  <c r="AN133"/>
  <c r="AN109"/>
  <c r="AN74"/>
  <c r="J14" i="3" l="1"/>
  <c r="K14" s="1"/>
  <c r="G13"/>
  <c r="H13" s="1"/>
  <c r="G11"/>
  <c r="H11" s="1"/>
  <c r="G18"/>
  <c r="H18" s="1"/>
  <c r="G14"/>
  <c r="H14" s="1"/>
  <c r="J11"/>
  <c r="K11" s="1"/>
  <c r="D18"/>
  <c r="E18" s="1"/>
  <c r="AI47" i="4"/>
  <c r="AI48" s="1"/>
  <c r="AO222"/>
  <c r="AN222"/>
  <c r="AO188"/>
  <c r="AD74"/>
  <c r="AO166"/>
  <c r="AI163"/>
  <c r="AI162"/>
  <c r="AI161"/>
  <c r="AI156"/>
  <c r="AI155"/>
  <c r="AI154"/>
  <c r="AI153"/>
  <c r="AI152"/>
  <c r="AI151"/>
  <c r="AI150"/>
  <c r="AI148"/>
  <c r="AI147"/>
  <c r="AI146"/>
  <c r="AS182"/>
  <c r="AS181"/>
  <c r="AI131"/>
  <c r="AI130"/>
  <c r="AI129"/>
  <c r="AI126"/>
  <c r="AI124"/>
  <c r="AI123"/>
  <c r="AQ74"/>
  <c r="AP74"/>
  <c r="AO74"/>
  <c r="AO109"/>
  <c r="AJ104"/>
  <c r="AI104"/>
  <c r="AJ96"/>
  <c r="AI96"/>
  <c r="AJ105"/>
  <c r="AI105"/>
  <c r="AJ98"/>
  <c r="AI98"/>
  <c r="AJ90"/>
  <c r="AI90"/>
  <c r="AQ41"/>
  <c r="AP41"/>
  <c r="AS10" i="5"/>
  <c r="AO41" i="4"/>
  <c r="AN41"/>
  <c r="AI32"/>
  <c r="AI25"/>
  <c r="AI20"/>
  <c r="AI18"/>
  <c r="AI13"/>
  <c r="AI11"/>
  <c r="AI10"/>
  <c r="AI9"/>
  <c r="AI8"/>
  <c r="AI7"/>
  <c r="AJ11"/>
  <c r="AJ20"/>
  <c r="AJ9"/>
  <c r="AJ32"/>
  <c r="AJ18"/>
  <c r="AJ13"/>
  <c r="AJ25"/>
  <c r="AJ8"/>
  <c r="AJ7"/>
  <c r="AJ10"/>
  <c r="AL222"/>
  <c r="AM220"/>
  <c r="AM219"/>
  <c r="AM218"/>
  <c r="AM217"/>
  <c r="AM216"/>
  <c r="AM215"/>
  <c r="AM214"/>
  <c r="AM213"/>
  <c r="AM212"/>
  <c r="AM211"/>
  <c r="AM210"/>
  <c r="AM209"/>
  <c r="AM208"/>
  <c r="AM207"/>
  <c r="AM206"/>
  <c r="AM205"/>
  <c r="AM204"/>
  <c r="AM203"/>
  <c r="AM202"/>
  <c r="AM200"/>
  <c r="AM199"/>
  <c r="AM198"/>
  <c r="AM187"/>
  <c r="AM185"/>
  <c r="AM184"/>
  <c r="AM183"/>
  <c r="AM182"/>
  <c r="AM181"/>
  <c r="AM180"/>
  <c r="AM179"/>
  <c r="AM165"/>
  <c r="AM163"/>
  <c r="AM162"/>
  <c r="AM161"/>
  <c r="AM160"/>
  <c r="AM159"/>
  <c r="AM158"/>
  <c r="AM157"/>
  <c r="AM156"/>
  <c r="AM155"/>
  <c r="AM154"/>
  <c r="AM153"/>
  <c r="AM152"/>
  <c r="AM151"/>
  <c r="AM150"/>
  <c r="AM149"/>
  <c r="AM148"/>
  <c r="AM147"/>
  <c r="AM146"/>
  <c r="AM132"/>
  <c r="AM131"/>
  <c r="AM130"/>
  <c r="AM129"/>
  <c r="AM127"/>
  <c r="AM126"/>
  <c r="AM125"/>
  <c r="AM124"/>
  <c r="AM123"/>
  <c r="AM122"/>
  <c r="AM121"/>
  <c r="AM120"/>
  <c r="AM108"/>
  <c r="AM105"/>
  <c r="AM104"/>
  <c r="AM103"/>
  <c r="AM102"/>
  <c r="AM101"/>
  <c r="AM100"/>
  <c r="AM99"/>
  <c r="AM98"/>
  <c r="AM97"/>
  <c r="AM96"/>
  <c r="AM95"/>
  <c r="AM94"/>
  <c r="AM93"/>
  <c r="AM92"/>
  <c r="AM90"/>
  <c r="AM89"/>
  <c r="AM88"/>
  <c r="AM87"/>
  <c r="AM86"/>
  <c r="AM85"/>
  <c r="AM73"/>
  <c r="AM72"/>
  <c r="AM71"/>
  <c r="AM70"/>
  <c r="AM69"/>
  <c r="AM68"/>
  <c r="AM67"/>
  <c r="AM66"/>
  <c r="AM65"/>
  <c r="AM64"/>
  <c r="AM63"/>
  <c r="AM62"/>
  <c r="AM61"/>
  <c r="AM60"/>
  <c r="AM58"/>
  <c r="AM57"/>
  <c r="AM56"/>
  <c r="AM55"/>
  <c r="AM54"/>
  <c r="AM53"/>
  <c r="AM52"/>
  <c r="AM51"/>
  <c r="AM38"/>
  <c r="AM35"/>
  <c r="AM34"/>
  <c r="AM33"/>
  <c r="AM32"/>
  <c r="AM31"/>
  <c r="AM30"/>
  <c r="AM29"/>
  <c r="AM28"/>
  <c r="AM27"/>
  <c r="AM26"/>
  <c r="AM25"/>
  <c r="AM24"/>
  <c r="AM23"/>
  <c r="AM22"/>
  <c r="AM21"/>
  <c r="AM20"/>
  <c r="AM18"/>
  <c r="AM16"/>
  <c r="AM15"/>
  <c r="AM13"/>
  <c r="AM12"/>
  <c r="AM11"/>
  <c r="AM10"/>
  <c r="AM9"/>
  <c r="AM8"/>
  <c r="AM7"/>
  <c r="AK222"/>
  <c r="AL188"/>
  <c r="AK188"/>
  <c r="AK133"/>
  <c r="AL109"/>
  <c r="AK109"/>
  <c r="AL74"/>
  <c r="AK74"/>
  <c r="AM41"/>
  <c r="AE198"/>
  <c r="AE180"/>
  <c r="AE163"/>
  <c r="AE51"/>
  <c r="BL182" i="5" l="1"/>
  <c r="AT182" i="4"/>
  <c r="AU182" s="1"/>
  <c r="BM182"/>
  <c r="BP182" s="1"/>
  <c r="BL181" i="5"/>
  <c r="BM181" i="4"/>
  <c r="BP181" s="1"/>
  <c r="AT181"/>
  <c r="AU181" s="1"/>
  <c r="AR74"/>
  <c r="AD76"/>
  <c r="AD76" i="5" s="1"/>
  <c r="AD74"/>
  <c r="AE51"/>
  <c r="AE74" s="1"/>
  <c r="AE163"/>
  <c r="AE180"/>
  <c r="AE188" s="1"/>
  <c r="AM7"/>
  <c r="AM8"/>
  <c r="AM9"/>
  <c r="AM10"/>
  <c r="AM11"/>
  <c r="AM12"/>
  <c r="AM13"/>
  <c r="AM15"/>
  <c r="AM16"/>
  <c r="AM18"/>
  <c r="AM20"/>
  <c r="AM21"/>
  <c r="AM22"/>
  <c r="AM23"/>
  <c r="AM24"/>
  <c r="AM25"/>
  <c r="AM26"/>
  <c r="AM27"/>
  <c r="AM28"/>
  <c r="AM29"/>
  <c r="AM30"/>
  <c r="AM31"/>
  <c r="AM32"/>
  <c r="AM33"/>
  <c r="AM34"/>
  <c r="AM35"/>
  <c r="AM38"/>
  <c r="AM51"/>
  <c r="AM52"/>
  <c r="AM53"/>
  <c r="AM54"/>
  <c r="AM55"/>
  <c r="AM56"/>
  <c r="AM57"/>
  <c r="AM58"/>
  <c r="AM60"/>
  <c r="AM61"/>
  <c r="AM62"/>
  <c r="AM63"/>
  <c r="AM64"/>
  <c r="AM65"/>
  <c r="AM66"/>
  <c r="AM67"/>
  <c r="AM68"/>
  <c r="AM69"/>
  <c r="AM70"/>
  <c r="AM71"/>
  <c r="AM72"/>
  <c r="AM73"/>
  <c r="AM85"/>
  <c r="AM86"/>
  <c r="AM87"/>
  <c r="AM88"/>
  <c r="AM89"/>
  <c r="AM90"/>
  <c r="AM92"/>
  <c r="AM93"/>
  <c r="AM94"/>
  <c r="AM95"/>
  <c r="AM96"/>
  <c r="AM97"/>
  <c r="AM98"/>
  <c r="AM99"/>
  <c r="AM100"/>
  <c r="AM101"/>
  <c r="AM102"/>
  <c r="AM103"/>
  <c r="AM104"/>
  <c r="AM105"/>
  <c r="AM108"/>
  <c r="AM120"/>
  <c r="AM121"/>
  <c r="AM122"/>
  <c r="AM123"/>
  <c r="AM124"/>
  <c r="AM125"/>
  <c r="AM126"/>
  <c r="AM127"/>
  <c r="AM129"/>
  <c r="AM130"/>
  <c r="AM131"/>
  <c r="AM132"/>
  <c r="AM146"/>
  <c r="AM147"/>
  <c r="AM148"/>
  <c r="AM149"/>
  <c r="AM150"/>
  <c r="AM151"/>
  <c r="AM152"/>
  <c r="AM153"/>
  <c r="AM154"/>
  <c r="AM155"/>
  <c r="AM156"/>
  <c r="AM157"/>
  <c r="AM158"/>
  <c r="AM159"/>
  <c r="AM160"/>
  <c r="AM161"/>
  <c r="AM162"/>
  <c r="AM163"/>
  <c r="AM164"/>
  <c r="AM179"/>
  <c r="AM180"/>
  <c r="AM181"/>
  <c r="AM182"/>
  <c r="AM183"/>
  <c r="AM184"/>
  <c r="AM185"/>
  <c r="AM187"/>
  <c r="AM198"/>
  <c r="AM199"/>
  <c r="AM200"/>
  <c r="AM202"/>
  <c r="AM203"/>
  <c r="AM204"/>
  <c r="AM205"/>
  <c r="AM206"/>
  <c r="AM207"/>
  <c r="AM208"/>
  <c r="AM209"/>
  <c r="AM210"/>
  <c r="AM211"/>
  <c r="AM212"/>
  <c r="AM213"/>
  <c r="AM214"/>
  <c r="AM215"/>
  <c r="AM216"/>
  <c r="AM217"/>
  <c r="AM218"/>
  <c r="AM219"/>
  <c r="AM220"/>
  <c r="AJ10"/>
  <c r="AJ7"/>
  <c r="AJ8"/>
  <c r="AJ25"/>
  <c r="AJ13"/>
  <c r="AJ18"/>
  <c r="AJ32"/>
  <c r="AJ9"/>
  <c r="AJ20"/>
  <c r="AJ11"/>
  <c r="AI7"/>
  <c r="AI8"/>
  <c r="AI9"/>
  <c r="AI10"/>
  <c r="AI11"/>
  <c r="AI13"/>
  <c r="AI18"/>
  <c r="AI20"/>
  <c r="AI25"/>
  <c r="AI32"/>
  <c r="AS8"/>
  <c r="BB8" s="1"/>
  <c r="AS9"/>
  <c r="BB9" s="1"/>
  <c r="BB10"/>
  <c r="AS11"/>
  <c r="BB11" s="1"/>
  <c r="AS12"/>
  <c r="BB12" s="1"/>
  <c r="AS13"/>
  <c r="BB13" s="1"/>
  <c r="AR14"/>
  <c r="AT14" s="1"/>
  <c r="AU14" s="1"/>
  <c r="AS14"/>
  <c r="BB14" s="1"/>
  <c r="AS15"/>
  <c r="BB15" s="1"/>
  <c r="AS16"/>
  <c r="BB16" s="1"/>
  <c r="AS18"/>
  <c r="BB18" s="1"/>
  <c r="AR19"/>
  <c r="AT19" s="1"/>
  <c r="AU19" s="1"/>
  <c r="AS19"/>
  <c r="BB19" s="1"/>
  <c r="AS20"/>
  <c r="BB20" s="1"/>
  <c r="AS21"/>
  <c r="BB21" s="1"/>
  <c r="AS22"/>
  <c r="BB22" s="1"/>
  <c r="AS23"/>
  <c r="BB23" s="1"/>
  <c r="AS24"/>
  <c r="BB24" s="1"/>
  <c r="AS25"/>
  <c r="BB25" s="1"/>
  <c r="AS26"/>
  <c r="BB26" s="1"/>
  <c r="AS27"/>
  <c r="BB27" s="1"/>
  <c r="AS28"/>
  <c r="BB28" s="1"/>
  <c r="AS29"/>
  <c r="BB29" s="1"/>
  <c r="AS30"/>
  <c r="BB30" s="1"/>
  <c r="AS31"/>
  <c r="BB31" s="1"/>
  <c r="AS32"/>
  <c r="BB32" s="1"/>
  <c r="AS33"/>
  <c r="BB33" s="1"/>
  <c r="AS34"/>
  <c r="BB34" s="1"/>
  <c r="AS35"/>
  <c r="BB35" s="1"/>
  <c r="AR38"/>
  <c r="AT38" s="1"/>
  <c r="AS38"/>
  <c r="AS7"/>
  <c r="AS52"/>
  <c r="BB52" s="1"/>
  <c r="AS53"/>
  <c r="BB53" s="1"/>
  <c r="AS54"/>
  <c r="BB54" s="1"/>
  <c r="AS55"/>
  <c r="BB55" s="1"/>
  <c r="AS56"/>
  <c r="BB56" s="1"/>
  <c r="AS57"/>
  <c r="BB57" s="1"/>
  <c r="AS59"/>
  <c r="BB59" s="1"/>
  <c r="AS61"/>
  <c r="BB61" s="1"/>
  <c r="AS62"/>
  <c r="BB62" s="1"/>
  <c r="AS63"/>
  <c r="BB63" s="1"/>
  <c r="AS64"/>
  <c r="BB64" s="1"/>
  <c r="AS65"/>
  <c r="BB65" s="1"/>
  <c r="AS66"/>
  <c r="BB66" s="1"/>
  <c r="AS67"/>
  <c r="BB67" s="1"/>
  <c r="AS68"/>
  <c r="BB68" s="1"/>
  <c r="AS69"/>
  <c r="BB69" s="1"/>
  <c r="AS70"/>
  <c r="BB70" s="1"/>
  <c r="AS71"/>
  <c r="BB71" s="1"/>
  <c r="AS72"/>
  <c r="BB72" s="1"/>
  <c r="AS73"/>
  <c r="BB73" s="1"/>
  <c r="AS58"/>
  <c r="BB58" s="1"/>
  <c r="AI90"/>
  <c r="AJ90"/>
  <c r="AI98"/>
  <c r="AJ98"/>
  <c r="AI105"/>
  <c r="AJ105"/>
  <c r="AI96"/>
  <c r="AJ96"/>
  <c r="AR120"/>
  <c r="AT120" s="1"/>
  <c r="AS120"/>
  <c r="BB120" s="1"/>
  <c r="AS129"/>
  <c r="BB129" s="1"/>
  <c r="AI104"/>
  <c r="AJ104"/>
  <c r="AS85"/>
  <c r="BB85" s="1"/>
  <c r="AS86"/>
  <c r="BB86" s="1"/>
  <c r="AS87"/>
  <c r="BB87" s="1"/>
  <c r="AS88"/>
  <c r="BB88" s="1"/>
  <c r="AS89"/>
  <c r="BB89" s="1"/>
  <c r="AS90"/>
  <c r="BB90" s="1"/>
  <c r="AS92"/>
  <c r="BB92" s="1"/>
  <c r="AS93"/>
  <c r="BB93" s="1"/>
  <c r="AS94"/>
  <c r="BB94" s="1"/>
  <c r="AS95"/>
  <c r="BB95" s="1"/>
  <c r="AS96"/>
  <c r="BB96" s="1"/>
  <c r="AS97"/>
  <c r="BB97" s="1"/>
  <c r="AS98"/>
  <c r="BB98" s="1"/>
  <c r="AS99"/>
  <c r="BB99" s="1"/>
  <c r="AS100"/>
  <c r="BB100" s="1"/>
  <c r="AS101"/>
  <c r="BB101" s="1"/>
  <c r="AS102"/>
  <c r="BB102" s="1"/>
  <c r="AS103"/>
  <c r="BB103" s="1"/>
  <c r="AS104"/>
  <c r="BB104" s="1"/>
  <c r="AS105"/>
  <c r="BB105" s="1"/>
  <c r="AS108"/>
  <c r="AS51"/>
  <c r="BB51" s="1"/>
  <c r="AI123"/>
  <c r="AI124"/>
  <c r="AI126"/>
  <c r="AI129"/>
  <c r="AI130"/>
  <c r="AI131"/>
  <c r="AS146"/>
  <c r="BB146" s="1"/>
  <c r="AP179"/>
  <c r="BK179" s="1"/>
  <c r="AS183"/>
  <c r="BB183" s="1"/>
  <c r="AS184"/>
  <c r="BB184" s="1"/>
  <c r="AS185"/>
  <c r="BB185" s="1"/>
  <c r="AS187"/>
  <c r="BB187" s="1"/>
  <c r="AR185"/>
  <c r="AT185" s="1"/>
  <c r="AU185" s="1"/>
  <c r="AP181"/>
  <c r="AQ181"/>
  <c r="AI146"/>
  <c r="AI147"/>
  <c r="AI148"/>
  <c r="AI150"/>
  <c r="AI151"/>
  <c r="AI152"/>
  <c r="AI153"/>
  <c r="AI154"/>
  <c r="AI155"/>
  <c r="AI156"/>
  <c r="AI161"/>
  <c r="AI162"/>
  <c r="AI163"/>
  <c r="AS147"/>
  <c r="BB147" s="1"/>
  <c r="AS150"/>
  <c r="BB150" s="1"/>
  <c r="AS153"/>
  <c r="BB153" s="1"/>
  <c r="AS154"/>
  <c r="BB154" s="1"/>
  <c r="AS159"/>
  <c r="BB159" s="1"/>
  <c r="AS160"/>
  <c r="BB160" s="1"/>
  <c r="AS162"/>
  <c r="BB162" s="1"/>
  <c r="AS163"/>
  <c r="BB163" s="1"/>
  <c r="AS198"/>
  <c r="BB198" s="1"/>
  <c r="AS199"/>
  <c r="BB199" s="1"/>
  <c r="AS200"/>
  <c r="BB200" s="1"/>
  <c r="AS201"/>
  <c r="BB201" s="1"/>
  <c r="AS202"/>
  <c r="BB202" s="1"/>
  <c r="AS203"/>
  <c r="BB203" s="1"/>
  <c r="AS204"/>
  <c r="BB204" s="1"/>
  <c r="AS205"/>
  <c r="BB205" s="1"/>
  <c r="AS206"/>
  <c r="BB206" s="1"/>
  <c r="AS207"/>
  <c r="BB207" s="1"/>
  <c r="AS208"/>
  <c r="AS209"/>
  <c r="BB209" s="1"/>
  <c r="AS210"/>
  <c r="BB210" s="1"/>
  <c r="AS211"/>
  <c r="BB211" s="1"/>
  <c r="AS212"/>
  <c r="BB212" s="1"/>
  <c r="AS213"/>
  <c r="BB213" s="1"/>
  <c r="AS214"/>
  <c r="BB214" s="1"/>
  <c r="AS215"/>
  <c r="BB215" s="1"/>
  <c r="AS216"/>
  <c r="BB216" s="1"/>
  <c r="AS217"/>
  <c r="BB217" s="1"/>
  <c r="AS218"/>
  <c r="BB218" s="1"/>
  <c r="AS219"/>
  <c r="BB219" s="1"/>
  <c r="AS220"/>
  <c r="BB220" s="1"/>
  <c r="BB7"/>
  <c r="AE222" i="4"/>
  <c r="AE198" i="5"/>
  <c r="AE222" s="1"/>
  <c r="AQ126"/>
  <c r="AR152"/>
  <c r="AT152" s="1"/>
  <c r="AU152" s="1"/>
  <c r="AQ152"/>
  <c r="BK152" s="1"/>
  <c r="AP180"/>
  <c r="BK180" s="1"/>
  <c r="AR161"/>
  <c r="AT161" s="1"/>
  <c r="AU161" s="1"/>
  <c r="AQ161"/>
  <c r="BK161" s="1"/>
  <c r="AQ151"/>
  <c r="BK151" s="1"/>
  <c r="AQ182"/>
  <c r="AP183"/>
  <c r="BK183" s="1"/>
  <c r="AQ155"/>
  <c r="BK155" s="1"/>
  <c r="AG214" i="4"/>
  <c r="AH214" s="1"/>
  <c r="AG214" i="5"/>
  <c r="AH214" s="1"/>
  <c r="AJ150" i="4"/>
  <c r="AG150"/>
  <c r="AH150" s="1"/>
  <c r="AG150" i="5"/>
  <c r="AH150" s="1"/>
  <c r="AR53"/>
  <c r="AT53" s="1"/>
  <c r="AU53" s="1"/>
  <c r="AR55"/>
  <c r="AT55" s="1"/>
  <c r="AU55" s="1"/>
  <c r="AR57"/>
  <c r="AT57" s="1"/>
  <c r="AU57" s="1"/>
  <c r="AR59"/>
  <c r="AT59" s="1"/>
  <c r="AU59" s="1"/>
  <c r="AR61"/>
  <c r="AT61" s="1"/>
  <c r="AU61" s="1"/>
  <c r="AR63"/>
  <c r="AT63" s="1"/>
  <c r="AU63" s="1"/>
  <c r="AR65"/>
  <c r="AT65" s="1"/>
  <c r="AU65" s="1"/>
  <c r="AR67"/>
  <c r="AT67" s="1"/>
  <c r="AU67" s="1"/>
  <c r="AR69"/>
  <c r="AT69" s="1"/>
  <c r="AU69" s="1"/>
  <c r="AR71"/>
  <c r="AT71" s="1"/>
  <c r="AU71" s="1"/>
  <c r="AR73"/>
  <c r="AT73" s="1"/>
  <c r="AU73" s="1"/>
  <c r="AR129"/>
  <c r="AT129" s="1"/>
  <c r="AU129" s="1"/>
  <c r="AR85"/>
  <c r="AR86"/>
  <c r="AT86" s="1"/>
  <c r="AU86" s="1"/>
  <c r="AR87"/>
  <c r="AT87" s="1"/>
  <c r="AU87" s="1"/>
  <c r="AR88"/>
  <c r="AT88" s="1"/>
  <c r="AU88" s="1"/>
  <c r="AR89"/>
  <c r="AT89" s="1"/>
  <c r="AU89" s="1"/>
  <c r="AR90"/>
  <c r="AT90" s="1"/>
  <c r="AU90" s="1"/>
  <c r="AR92"/>
  <c r="AT92" s="1"/>
  <c r="AU92" s="1"/>
  <c r="AR93"/>
  <c r="AT93" s="1"/>
  <c r="AU93" s="1"/>
  <c r="AR94"/>
  <c r="AT94" s="1"/>
  <c r="AU94" s="1"/>
  <c r="AR95"/>
  <c r="AT95" s="1"/>
  <c r="AU95" s="1"/>
  <c r="AR96"/>
  <c r="AT96" s="1"/>
  <c r="AU96" s="1"/>
  <c r="AR97"/>
  <c r="AT97" s="1"/>
  <c r="AU97" s="1"/>
  <c r="AR98"/>
  <c r="AT98" s="1"/>
  <c r="AU98" s="1"/>
  <c r="AR99"/>
  <c r="AT99" s="1"/>
  <c r="AU99" s="1"/>
  <c r="AR100"/>
  <c r="AT100" s="1"/>
  <c r="AU100" s="1"/>
  <c r="AR101"/>
  <c r="AT101" s="1"/>
  <c r="AU101" s="1"/>
  <c r="AR102"/>
  <c r="AT102" s="1"/>
  <c r="AU102" s="1"/>
  <c r="AR103"/>
  <c r="AT103" s="1"/>
  <c r="AU103" s="1"/>
  <c r="AR104"/>
  <c r="AT104" s="1"/>
  <c r="AU104" s="1"/>
  <c r="AR105"/>
  <c r="AT105" s="1"/>
  <c r="AU105" s="1"/>
  <c r="AR108"/>
  <c r="AT108" s="1"/>
  <c r="AU108" s="1"/>
  <c r="AR184"/>
  <c r="AT184" s="1"/>
  <c r="AU184" s="1"/>
  <c r="AR187"/>
  <c r="AT187" s="1"/>
  <c r="AU187" s="1"/>
  <c r="AR148"/>
  <c r="AT148" s="1"/>
  <c r="AU148" s="1"/>
  <c r="AR154"/>
  <c r="AT154" s="1"/>
  <c r="AU154" s="1"/>
  <c r="AR159"/>
  <c r="AT159" s="1"/>
  <c r="AU159" s="1"/>
  <c r="AR162"/>
  <c r="AT162" s="1"/>
  <c r="AU162" s="1"/>
  <c r="AR146"/>
  <c r="AR156"/>
  <c r="AT156" s="1"/>
  <c r="AU156" s="1"/>
  <c r="AR198"/>
  <c r="AR199"/>
  <c r="AT199" s="1"/>
  <c r="AU199" s="1"/>
  <c r="AR200"/>
  <c r="AT200" s="1"/>
  <c r="AU200" s="1"/>
  <c r="AR201"/>
  <c r="AT201" s="1"/>
  <c r="AU201" s="1"/>
  <c r="AR202"/>
  <c r="AT202" s="1"/>
  <c r="AU202" s="1"/>
  <c r="AR203"/>
  <c r="AT203" s="1"/>
  <c r="AU203" s="1"/>
  <c r="AR204"/>
  <c r="AT204" s="1"/>
  <c r="AU204" s="1"/>
  <c r="AR205"/>
  <c r="AT205" s="1"/>
  <c r="AU205" s="1"/>
  <c r="AR206"/>
  <c r="AT206" s="1"/>
  <c r="AU206" s="1"/>
  <c r="AR207"/>
  <c r="AT207" s="1"/>
  <c r="AU207" s="1"/>
  <c r="AR208"/>
  <c r="AT208" s="1"/>
  <c r="AU208" s="1"/>
  <c r="AR209"/>
  <c r="AT209" s="1"/>
  <c r="AU209" s="1"/>
  <c r="AR210"/>
  <c r="AT210" s="1"/>
  <c r="AU210" s="1"/>
  <c r="AR211"/>
  <c r="AT211" s="1"/>
  <c r="AU211" s="1"/>
  <c r="AR212"/>
  <c r="AT212" s="1"/>
  <c r="AU212" s="1"/>
  <c r="AR213"/>
  <c r="AT213" s="1"/>
  <c r="AU213" s="1"/>
  <c r="AR214"/>
  <c r="AT214" s="1"/>
  <c r="AU214" s="1"/>
  <c r="AR215"/>
  <c r="AT215" s="1"/>
  <c r="AU215" s="1"/>
  <c r="AR216"/>
  <c r="AT216" s="1"/>
  <c r="AU216" s="1"/>
  <c r="AR217"/>
  <c r="AT217" s="1"/>
  <c r="AU217" s="1"/>
  <c r="AR218"/>
  <c r="AT218" s="1"/>
  <c r="AU218" s="1"/>
  <c r="AR219"/>
  <c r="AT219" s="1"/>
  <c r="AU219" s="1"/>
  <c r="AR220"/>
  <c r="AT220" s="1"/>
  <c r="AU220" s="1"/>
  <c r="AK242" i="4"/>
  <c r="AL242"/>
  <c r="AR8" i="5"/>
  <c r="AT8" s="1"/>
  <c r="AU8" s="1"/>
  <c r="AR9"/>
  <c r="AT9" s="1"/>
  <c r="AU9" s="1"/>
  <c r="AR10"/>
  <c r="AT10" s="1"/>
  <c r="AU10" s="1"/>
  <c r="AR11"/>
  <c r="AT11" s="1"/>
  <c r="AU11" s="1"/>
  <c r="AR12"/>
  <c r="AT12" s="1"/>
  <c r="AU12" s="1"/>
  <c r="AR13"/>
  <c r="AT13" s="1"/>
  <c r="AU13" s="1"/>
  <c r="AR15"/>
  <c r="AT15" s="1"/>
  <c r="AU15" s="1"/>
  <c r="AR16"/>
  <c r="AT16" s="1"/>
  <c r="AU16" s="1"/>
  <c r="AR18"/>
  <c r="AT18" s="1"/>
  <c r="AU18" s="1"/>
  <c r="AR20"/>
  <c r="AT20" s="1"/>
  <c r="AU20" s="1"/>
  <c r="AR21"/>
  <c r="AT21" s="1"/>
  <c r="AU21" s="1"/>
  <c r="AR22"/>
  <c r="AT22" s="1"/>
  <c r="AU22" s="1"/>
  <c r="AR23"/>
  <c r="AT23" s="1"/>
  <c r="AU23" s="1"/>
  <c r="AR24"/>
  <c r="AT24" s="1"/>
  <c r="AU24" s="1"/>
  <c r="AR25"/>
  <c r="AT25" s="1"/>
  <c r="AU25" s="1"/>
  <c r="AR26"/>
  <c r="AT26" s="1"/>
  <c r="AU26" s="1"/>
  <c r="AR27"/>
  <c r="AT27" s="1"/>
  <c r="AU27" s="1"/>
  <c r="AR28"/>
  <c r="AT28" s="1"/>
  <c r="AU28" s="1"/>
  <c r="AR29"/>
  <c r="AT29" s="1"/>
  <c r="AU29" s="1"/>
  <c r="AR30"/>
  <c r="AT30" s="1"/>
  <c r="AU30" s="1"/>
  <c r="AR31"/>
  <c r="AT31" s="1"/>
  <c r="AU31" s="1"/>
  <c r="AR32"/>
  <c r="AT32" s="1"/>
  <c r="AU32" s="1"/>
  <c r="AR33"/>
  <c r="AT33" s="1"/>
  <c r="AU33" s="1"/>
  <c r="AR34"/>
  <c r="AT34" s="1"/>
  <c r="AU34" s="1"/>
  <c r="AR35"/>
  <c r="AT35" s="1"/>
  <c r="AR7"/>
  <c r="AR52"/>
  <c r="AT52" s="1"/>
  <c r="AU52" s="1"/>
  <c r="AR54"/>
  <c r="AT54" s="1"/>
  <c r="AU54" s="1"/>
  <c r="AR56"/>
  <c r="AT56" s="1"/>
  <c r="AU56" s="1"/>
  <c r="AR58"/>
  <c r="AT58" s="1"/>
  <c r="AU58" s="1"/>
  <c r="AR60"/>
  <c r="AT60" s="1"/>
  <c r="AU60" s="1"/>
  <c r="AR62"/>
  <c r="AT62" s="1"/>
  <c r="AU62" s="1"/>
  <c r="AR64"/>
  <c r="AT64" s="1"/>
  <c r="AU64" s="1"/>
  <c r="AR66"/>
  <c r="AT66" s="1"/>
  <c r="AU66" s="1"/>
  <c r="AR68"/>
  <c r="AT68" s="1"/>
  <c r="AU68" s="1"/>
  <c r="AR70"/>
  <c r="AT70" s="1"/>
  <c r="AU70" s="1"/>
  <c r="AR72"/>
  <c r="AT72" s="1"/>
  <c r="AU72" s="1"/>
  <c r="AR51"/>
  <c r="AR151"/>
  <c r="AT151" s="1"/>
  <c r="AU151" s="1"/>
  <c r="AR182"/>
  <c r="AT182" s="1"/>
  <c r="AU182" s="1"/>
  <c r="AR147"/>
  <c r="AT147" s="1"/>
  <c r="AU147" s="1"/>
  <c r="AR153"/>
  <c r="AT153" s="1"/>
  <c r="AU153" s="1"/>
  <c r="AR158"/>
  <c r="AT158" s="1"/>
  <c r="AU158" s="1"/>
  <c r="AR160"/>
  <c r="AT160" s="1"/>
  <c r="AU160" s="1"/>
  <c r="AR163"/>
  <c r="AT163" s="1"/>
  <c r="AU163" s="1"/>
  <c r="AS148"/>
  <c r="BB148" s="1"/>
  <c r="AS158"/>
  <c r="BB158" s="1"/>
  <c r="AR183"/>
  <c r="AT183" s="1"/>
  <c r="AU183" s="1"/>
  <c r="AS156"/>
  <c r="BB156" s="1"/>
  <c r="AJ109" i="4"/>
  <c r="AP188"/>
  <c r="AM133"/>
  <c r="AM166"/>
  <c r="AV150"/>
  <c r="AW150" s="1"/>
  <c r="AN242"/>
  <c r="AM74"/>
  <c r="AM109"/>
  <c r="AM188"/>
  <c r="AO242"/>
  <c r="AI109"/>
  <c r="AQ188"/>
  <c r="AV214"/>
  <c r="AW214" s="1"/>
  <c r="AI166"/>
  <c r="AI41"/>
  <c r="AJ41"/>
  <c r="AM222"/>
  <c r="O14" i="2"/>
  <c r="O14" i="3" s="1"/>
  <c r="O166" i="4"/>
  <c r="O166" i="5" s="1"/>
  <c r="AE188" i="4"/>
  <c r="AD188"/>
  <c r="AD188" i="5" s="1"/>
  <c r="AE133" i="4"/>
  <c r="AD133"/>
  <c r="AE109"/>
  <c r="AD109"/>
  <c r="AD109" i="5" s="1"/>
  <c r="AE74" i="4"/>
  <c r="AE41"/>
  <c r="AD41"/>
  <c r="AD41" i="5" s="1"/>
  <c r="O188" i="4"/>
  <c r="O188" i="5" s="1"/>
  <c r="O109" i="4"/>
  <c r="O109" i="5" s="1"/>
  <c r="O74" i="4"/>
  <c r="O74" i="5" s="1"/>
  <c r="O11" i="2"/>
  <c r="O11" i="3" s="1"/>
  <c r="AD166" i="4"/>
  <c r="AE166"/>
  <c r="V8"/>
  <c r="W8" s="1"/>
  <c r="V9"/>
  <c r="W9" s="1"/>
  <c r="V10"/>
  <c r="W10" s="1"/>
  <c r="Y199" i="5"/>
  <c r="Y200"/>
  <c r="Y201"/>
  <c r="Y202"/>
  <c r="Y203"/>
  <c r="Y204"/>
  <c r="Y205"/>
  <c r="Y206"/>
  <c r="Y207"/>
  <c r="Y208"/>
  <c r="Y209"/>
  <c r="Y210"/>
  <c r="Y211"/>
  <c r="Y212"/>
  <c r="Y213"/>
  <c r="Y214"/>
  <c r="Y198"/>
  <c r="Y180"/>
  <c r="Y181"/>
  <c r="Y182"/>
  <c r="Y183"/>
  <c r="Y184"/>
  <c r="Y185"/>
  <c r="Y187"/>
  <c r="Y179"/>
  <c r="Y147"/>
  <c r="Y148"/>
  <c r="Y149"/>
  <c r="Y150"/>
  <c r="Y151"/>
  <c r="Y152"/>
  <c r="Y153"/>
  <c r="Y154"/>
  <c r="Y155"/>
  <c r="Y156"/>
  <c r="Y157"/>
  <c r="Y158"/>
  <c r="Y159"/>
  <c r="Y160"/>
  <c r="Y161"/>
  <c r="Y162"/>
  <c r="Y163"/>
  <c r="Y164"/>
  <c r="Y146"/>
  <c r="Y121"/>
  <c r="Y122"/>
  <c r="Y123"/>
  <c r="Y124"/>
  <c r="Y125"/>
  <c r="Y126"/>
  <c r="Y127"/>
  <c r="Y129"/>
  <c r="Y130"/>
  <c r="Y131"/>
  <c r="Y86"/>
  <c r="Y87"/>
  <c r="Y88"/>
  <c r="Y89"/>
  <c r="Y90"/>
  <c r="Y92"/>
  <c r="Y93"/>
  <c r="Y94"/>
  <c r="Y95"/>
  <c r="Y96"/>
  <c r="Y97"/>
  <c r="Y98"/>
  <c r="Y99"/>
  <c r="Y100"/>
  <c r="Y101"/>
  <c r="Y102"/>
  <c r="Y103"/>
  <c r="Y104"/>
  <c r="Y58"/>
  <c r="Y59"/>
  <c r="Y60"/>
  <c r="Y61"/>
  <c r="Y62"/>
  <c r="Y63"/>
  <c r="Y64"/>
  <c r="Y65"/>
  <c r="Y66"/>
  <c r="Y67"/>
  <c r="Y68"/>
  <c r="Y69"/>
  <c r="Y70"/>
  <c r="Y71"/>
  <c r="Y52"/>
  <c r="Y53"/>
  <c r="Y54"/>
  <c r="Y55"/>
  <c r="Y56"/>
  <c r="Y57"/>
  <c r="Y24"/>
  <c r="Y25"/>
  <c r="Z25" s="1"/>
  <c r="Y26"/>
  <c r="Y27"/>
  <c r="Y28"/>
  <c r="Y29"/>
  <c r="Y30"/>
  <c r="Y31"/>
  <c r="Y32"/>
  <c r="Y33"/>
  <c r="Z34"/>
  <c r="Y23"/>
  <c r="Y21"/>
  <c r="Y14"/>
  <c r="Y15"/>
  <c r="Y16"/>
  <c r="Y18"/>
  <c r="Y19"/>
  <c r="Y13"/>
  <c r="Y8"/>
  <c r="Y9"/>
  <c r="Y10"/>
  <c r="AW242"/>
  <c r="AR242"/>
  <c r="AQ242"/>
  <c r="AP242"/>
  <c r="AN242"/>
  <c r="AL242"/>
  <c r="AK242"/>
  <c r="AJ242"/>
  <c r="AT241"/>
  <c r="AN241"/>
  <c r="AS240"/>
  <c r="AN240"/>
  <c r="AM240"/>
  <c r="AT240" s="1"/>
  <c r="AS239"/>
  <c r="AN239"/>
  <c r="AM239"/>
  <c r="AT239" s="1"/>
  <c r="AS238"/>
  <c r="AN238"/>
  <c r="AM238"/>
  <c r="AT238" s="1"/>
  <c r="AS237"/>
  <c r="AN237"/>
  <c r="AM237"/>
  <c r="AT237" s="1"/>
  <c r="AS236"/>
  <c r="AN236"/>
  <c r="AM236"/>
  <c r="AT236" s="1"/>
  <c r="AS235"/>
  <c r="AN235"/>
  <c r="AM235"/>
  <c r="AT235" s="1"/>
  <c r="AT234"/>
  <c r="AN234"/>
  <c r="AS233"/>
  <c r="AN233"/>
  <c r="AM233"/>
  <c r="AT233" s="1"/>
  <c r="AS232"/>
  <c r="AN232"/>
  <c r="AM232"/>
  <c r="AT232" s="1"/>
  <c r="AS231"/>
  <c r="AN231"/>
  <c r="AM231"/>
  <c r="AT231" s="1"/>
  <c r="AS230"/>
  <c r="AN230"/>
  <c r="AM230"/>
  <c r="AT229"/>
  <c r="AN229"/>
  <c r="AT228"/>
  <c r="AN228"/>
  <c r="AL166"/>
  <c r="AL244" s="1"/>
  <c r="AK166"/>
  <c r="AK244" s="1"/>
  <c r="AA241" i="4"/>
  <c r="AA242" i="5" s="1"/>
  <c r="AA222" i="4"/>
  <c r="AA222" i="5" s="1"/>
  <c r="AA188" i="4"/>
  <c r="AA188" i="5" s="1"/>
  <c r="AB14" i="4"/>
  <c r="S101"/>
  <c r="S99"/>
  <c r="T99" s="1"/>
  <c r="S100"/>
  <c r="T100" s="1"/>
  <c r="Y100"/>
  <c r="Z100" s="1"/>
  <c r="Y101"/>
  <c r="AB101"/>
  <c r="Y30"/>
  <c r="Z30" s="1"/>
  <c r="Y31"/>
  <c r="Z31" s="1"/>
  <c r="Y32"/>
  <c r="Z32" s="1"/>
  <c r="Y33"/>
  <c r="Z33" s="1"/>
  <c r="Y34"/>
  <c r="Z34" s="1"/>
  <c r="Y18"/>
  <c r="Z18" s="1"/>
  <c r="Y20"/>
  <c r="Y21"/>
  <c r="Z21" s="1"/>
  <c r="Y23"/>
  <c r="Z23" s="1"/>
  <c r="Y8"/>
  <c r="Z8" s="1"/>
  <c r="Y9"/>
  <c r="Z9" s="1"/>
  <c r="Y10"/>
  <c r="Z10" s="1"/>
  <c r="Y13"/>
  <c r="Z13" s="1"/>
  <c r="Y14"/>
  <c r="Z14" s="1"/>
  <c r="Y15"/>
  <c r="Z15" s="1"/>
  <c r="Y16"/>
  <c r="Z16" s="1"/>
  <c r="Y120"/>
  <c r="Y121"/>
  <c r="Z121" s="1"/>
  <c r="Y94"/>
  <c r="Z94" s="1"/>
  <c r="Y95"/>
  <c r="Z95" s="1"/>
  <c r="Y96"/>
  <c r="Z96" s="1"/>
  <c r="Y97"/>
  <c r="Z97" s="1"/>
  <c r="Y98"/>
  <c r="Y99"/>
  <c r="Z99" s="1"/>
  <c r="Y103"/>
  <c r="Y104"/>
  <c r="Z104" s="1"/>
  <c r="Y123"/>
  <c r="Z123" s="1"/>
  <c r="AB208"/>
  <c r="AB210"/>
  <c r="AC210" s="1"/>
  <c r="AB157"/>
  <c r="AC157" s="1"/>
  <c r="AB108"/>
  <c r="AC108" s="1"/>
  <c r="AB122"/>
  <c r="AC122" s="1"/>
  <c r="AB132"/>
  <c r="AC132" s="1"/>
  <c r="AB38"/>
  <c r="AC38" s="1"/>
  <c r="AB227"/>
  <c r="AB228"/>
  <c r="AB233"/>
  <c r="AB240"/>
  <c r="Y199"/>
  <c r="Z199" s="1"/>
  <c r="Y200"/>
  <c r="Z200" s="1"/>
  <c r="Y201"/>
  <c r="Z201" s="1"/>
  <c r="Y202"/>
  <c r="Z202" s="1"/>
  <c r="Y203"/>
  <c r="Y204"/>
  <c r="Y205"/>
  <c r="Y206"/>
  <c r="Z206" s="1"/>
  <c r="Y207"/>
  <c r="Y208"/>
  <c r="Y209"/>
  <c r="Z209" s="1"/>
  <c r="Y210"/>
  <c r="Y211"/>
  <c r="Z211" s="1"/>
  <c r="Y213"/>
  <c r="Z213" s="1"/>
  <c r="Y214"/>
  <c r="Y215"/>
  <c r="Y198"/>
  <c r="Z198" s="1"/>
  <c r="Y180"/>
  <c r="Z180" s="1"/>
  <c r="Y181"/>
  <c r="Z181" s="1"/>
  <c r="Y182"/>
  <c r="Z182" s="1"/>
  <c r="Y183"/>
  <c r="Z183" s="1"/>
  <c r="Y184"/>
  <c r="Z184" s="1"/>
  <c r="Y185"/>
  <c r="Z185" s="1"/>
  <c r="Y187"/>
  <c r="Z187" s="1"/>
  <c r="Y179"/>
  <c r="Z179" s="1"/>
  <c r="Y147"/>
  <c r="Z147" s="1"/>
  <c r="Y148"/>
  <c r="Z148" s="1"/>
  <c r="Y150"/>
  <c r="Z150" s="1"/>
  <c r="Y151"/>
  <c r="Z151" s="1"/>
  <c r="Y152"/>
  <c r="Z152" s="1"/>
  <c r="Y153"/>
  <c r="Z153" s="1"/>
  <c r="Y154"/>
  <c r="Z154" s="1"/>
  <c r="Y155"/>
  <c r="Z155" s="1"/>
  <c r="Y156"/>
  <c r="Z156" s="1"/>
  <c r="Y157"/>
  <c r="Z157" s="1"/>
  <c r="Y158"/>
  <c r="Z158" s="1"/>
  <c r="Y159"/>
  <c r="Z159" s="1"/>
  <c r="Y160"/>
  <c r="Z160" s="1"/>
  <c r="Y161"/>
  <c r="Z161" s="1"/>
  <c r="Y162"/>
  <c r="Z162" s="1"/>
  <c r="Y163"/>
  <c r="Z163" s="1"/>
  <c r="Y165"/>
  <c r="Z165" s="1"/>
  <c r="Y146"/>
  <c r="Z146" s="1"/>
  <c r="Y122"/>
  <c r="Z122" s="1"/>
  <c r="Y124"/>
  <c r="Z124" s="1"/>
  <c r="Y125"/>
  <c r="Z125" s="1"/>
  <c r="Y126"/>
  <c r="Z126" s="1"/>
  <c r="Y127"/>
  <c r="Y129"/>
  <c r="Z129" s="1"/>
  <c r="Y130"/>
  <c r="Y131"/>
  <c r="Y132"/>
  <c r="Y86"/>
  <c r="Z86" s="1"/>
  <c r="Y87"/>
  <c r="Z87" s="1"/>
  <c r="Y88"/>
  <c r="Z88" s="1"/>
  <c r="Y89"/>
  <c r="Z89" s="1"/>
  <c r="Y90"/>
  <c r="Z90" s="1"/>
  <c r="Y92"/>
  <c r="Z92" s="1"/>
  <c r="Y93"/>
  <c r="Z93" s="1"/>
  <c r="Y105"/>
  <c r="Y108"/>
  <c r="Y85"/>
  <c r="Z85" s="1"/>
  <c r="Y52"/>
  <c r="Z52" s="1"/>
  <c r="Y53"/>
  <c r="Z53" s="1"/>
  <c r="Y54"/>
  <c r="Z54" s="1"/>
  <c r="Y55"/>
  <c r="Z55" s="1"/>
  <c r="Y56"/>
  <c r="Z56" s="1"/>
  <c r="Y57"/>
  <c r="Z57" s="1"/>
  <c r="Y58"/>
  <c r="Z58" s="1"/>
  <c r="Y60"/>
  <c r="Z60" s="1"/>
  <c r="Y61"/>
  <c r="Z61" s="1"/>
  <c r="Y62"/>
  <c r="Y63"/>
  <c r="Z63" s="1"/>
  <c r="Y64"/>
  <c r="Z64" s="1"/>
  <c r="Y66"/>
  <c r="Z66" s="1"/>
  <c r="Y67"/>
  <c r="Z67" s="1"/>
  <c r="Y68"/>
  <c r="Z68" s="1"/>
  <c r="Y69"/>
  <c r="Z69" s="1"/>
  <c r="Y71"/>
  <c r="Z71" s="1"/>
  <c r="Y72"/>
  <c r="Y51"/>
  <c r="Z51" s="1"/>
  <c r="Y38"/>
  <c r="Y24"/>
  <c r="Z24" s="1"/>
  <c r="Y25"/>
  <c r="Z25" s="1"/>
  <c r="Y26"/>
  <c r="Z26" s="1"/>
  <c r="Y27"/>
  <c r="Z27" s="1"/>
  <c r="Y28"/>
  <c r="Z28" s="1"/>
  <c r="Y29"/>
  <c r="Z29" s="1"/>
  <c r="Y7"/>
  <c r="Z7" s="1"/>
  <c r="U11" i="2"/>
  <c r="U11" i="3" s="1"/>
  <c r="X222" i="4"/>
  <c r="X222" i="5" s="1"/>
  <c r="X188" i="4"/>
  <c r="X188" i="5" s="1"/>
  <c r="X166" i="4"/>
  <c r="X166" i="5" s="1"/>
  <c r="X168" s="1"/>
  <c r="X133" i="4"/>
  <c r="X109"/>
  <c r="AB87"/>
  <c r="AC87" s="1"/>
  <c r="AB105"/>
  <c r="AB120"/>
  <c r="AC120" s="1"/>
  <c r="AB230"/>
  <c r="AB231"/>
  <c r="AB232"/>
  <c r="AB234"/>
  <c r="AB235"/>
  <c r="AB236"/>
  <c r="AB237"/>
  <c r="AB238"/>
  <c r="AB239"/>
  <c r="AB207"/>
  <c r="AC207" s="1"/>
  <c r="AB229"/>
  <c r="AB159"/>
  <c r="AC159" s="1"/>
  <c r="AB160"/>
  <c r="AC160" s="1"/>
  <c r="AB161"/>
  <c r="AC161" s="1"/>
  <c r="AB162"/>
  <c r="AC162" s="1"/>
  <c r="AB163"/>
  <c r="AC163" s="1"/>
  <c r="AB180"/>
  <c r="AC180" s="1"/>
  <c r="AB182"/>
  <c r="AC182" s="1"/>
  <c r="AB184"/>
  <c r="AC184" s="1"/>
  <c r="AB187"/>
  <c r="AC187" s="1"/>
  <c r="AB199"/>
  <c r="AC199" s="1"/>
  <c r="AB203"/>
  <c r="AB204"/>
  <c r="AB205"/>
  <c r="AB206"/>
  <c r="AC206" s="1"/>
  <c r="AB209"/>
  <c r="AC209" s="1"/>
  <c r="AB211"/>
  <c r="AC211" s="1"/>
  <c r="AB213"/>
  <c r="AC213" s="1"/>
  <c r="AB214"/>
  <c r="AC214" s="1"/>
  <c r="AB215"/>
  <c r="AC215" s="1"/>
  <c r="AB154"/>
  <c r="AC154" s="1"/>
  <c r="AB155"/>
  <c r="AC155" s="1"/>
  <c r="AB156"/>
  <c r="AC156" s="1"/>
  <c r="AB123"/>
  <c r="AC123" s="1"/>
  <c r="AB100"/>
  <c r="AC100" s="1"/>
  <c r="AB86"/>
  <c r="AC86" s="1"/>
  <c r="AB66"/>
  <c r="AC66" s="1"/>
  <c r="AB67"/>
  <c r="AC67" s="1"/>
  <c r="AB7"/>
  <c r="AC7" s="1"/>
  <c r="AB8"/>
  <c r="AC8" s="1"/>
  <c r="AB9"/>
  <c r="AC9" s="1"/>
  <c r="AB10"/>
  <c r="AC10" s="1"/>
  <c r="AB13"/>
  <c r="AC13" s="1"/>
  <c r="AB15"/>
  <c r="AC15" s="1"/>
  <c r="AB16"/>
  <c r="AC16" s="1"/>
  <c r="AB18"/>
  <c r="AC18" s="1"/>
  <c r="AB20"/>
  <c r="AC20" s="1"/>
  <c r="AB21"/>
  <c r="AC21" s="1"/>
  <c r="AB22"/>
  <c r="AB23"/>
  <c r="AC23" s="1"/>
  <c r="AB24"/>
  <c r="AC24" s="1"/>
  <c r="AB25"/>
  <c r="AC25" s="1"/>
  <c r="AB26"/>
  <c r="AC26" s="1"/>
  <c r="AB27"/>
  <c r="AC27" s="1"/>
  <c r="AB28"/>
  <c r="AC28" s="1"/>
  <c r="AB29"/>
  <c r="AC29" s="1"/>
  <c r="AB30"/>
  <c r="AC30" s="1"/>
  <c r="AB31"/>
  <c r="AC31" s="1"/>
  <c r="AB32"/>
  <c r="AC32" s="1"/>
  <c r="AB33"/>
  <c r="AC33" s="1"/>
  <c r="AB34"/>
  <c r="AC34" s="1"/>
  <c r="U222"/>
  <c r="U222" i="5" s="1"/>
  <c r="U188" i="4"/>
  <c r="U188" i="5" s="1"/>
  <c r="U14" i="2"/>
  <c r="U14" i="3" s="1"/>
  <c r="U13" i="2"/>
  <c r="U13" i="3" s="1"/>
  <c r="U12" i="2"/>
  <c r="U12" i="3" s="1"/>
  <c r="R188" i="4"/>
  <c r="R188" i="5" s="1"/>
  <c r="L188" i="4"/>
  <c r="L188" i="5" s="1"/>
  <c r="L166" i="4"/>
  <c r="L166" i="5" s="1"/>
  <c r="AA17" i="3"/>
  <c r="R14" i="2"/>
  <c r="R14" i="3" s="1"/>
  <c r="N18" i="2"/>
  <c r="M18"/>
  <c r="N17"/>
  <c r="M17"/>
  <c r="N11"/>
  <c r="N12"/>
  <c r="N13"/>
  <c r="N14"/>
  <c r="N15"/>
  <c r="N16"/>
  <c r="M11"/>
  <c r="M12"/>
  <c r="M13"/>
  <c r="M14"/>
  <c r="M15"/>
  <c r="M16"/>
  <c r="V7" i="4"/>
  <c r="W7" s="1"/>
  <c r="V71"/>
  <c r="V52"/>
  <c r="W52" s="1"/>
  <c r="V53"/>
  <c r="W53" s="1"/>
  <c r="V54"/>
  <c r="W54" s="1"/>
  <c r="V55"/>
  <c r="W55" s="1"/>
  <c r="V56"/>
  <c r="W56" s="1"/>
  <c r="V57"/>
  <c r="W57" s="1"/>
  <c r="V58"/>
  <c r="W58" s="1"/>
  <c r="V60"/>
  <c r="W60" s="1"/>
  <c r="V61"/>
  <c r="W61" s="1"/>
  <c r="V63"/>
  <c r="W63" s="1"/>
  <c r="V64"/>
  <c r="W64" s="1"/>
  <c r="V66"/>
  <c r="W66" s="1"/>
  <c r="V67"/>
  <c r="W67" s="1"/>
  <c r="V68"/>
  <c r="W68" s="1"/>
  <c r="V69"/>
  <c r="W69" s="1"/>
  <c r="V59"/>
  <c r="V62"/>
  <c r="V65"/>
  <c r="S52"/>
  <c r="T52" s="1"/>
  <c r="S53"/>
  <c r="T53" s="1"/>
  <c r="S54"/>
  <c r="T54" s="1"/>
  <c r="S55"/>
  <c r="T55" s="1"/>
  <c r="S56"/>
  <c r="T56" s="1"/>
  <c r="S58"/>
  <c r="T58" s="1"/>
  <c r="S60"/>
  <c r="T60" s="1"/>
  <c r="S61"/>
  <c r="T61" s="1"/>
  <c r="S63"/>
  <c r="T63" s="1"/>
  <c r="S64"/>
  <c r="T64" s="1"/>
  <c r="S66"/>
  <c r="T66" s="1"/>
  <c r="S67"/>
  <c r="T67" s="1"/>
  <c r="S68"/>
  <c r="T68" s="1"/>
  <c r="S69"/>
  <c r="T69" s="1"/>
  <c r="P52"/>
  <c r="Q52" s="1"/>
  <c r="P53"/>
  <c r="Q53" s="1"/>
  <c r="P54"/>
  <c r="Q54" s="1"/>
  <c r="P55"/>
  <c r="Q55" s="1"/>
  <c r="P56"/>
  <c r="Q56" s="1"/>
  <c r="P58"/>
  <c r="Q58" s="1"/>
  <c r="P59"/>
  <c r="Q59" s="1"/>
  <c r="P60"/>
  <c r="Q60" s="1"/>
  <c r="P61"/>
  <c r="Q61" s="1"/>
  <c r="P63"/>
  <c r="Q63" s="1"/>
  <c r="P64"/>
  <c r="Q64" s="1"/>
  <c r="P66"/>
  <c r="Q66" s="1"/>
  <c r="P67"/>
  <c r="Q67" s="1"/>
  <c r="Q68"/>
  <c r="P69"/>
  <c r="Q69" s="1"/>
  <c r="S214"/>
  <c r="V214"/>
  <c r="V103"/>
  <c r="S103"/>
  <c r="P103"/>
  <c r="V102"/>
  <c r="S102"/>
  <c r="P102"/>
  <c r="S62"/>
  <c r="P62"/>
  <c r="P214"/>
  <c r="V162"/>
  <c r="W162" s="1"/>
  <c r="S162"/>
  <c r="T162" s="1"/>
  <c r="P162"/>
  <c r="Q162" s="1"/>
  <c r="V127"/>
  <c r="P127"/>
  <c r="S127"/>
  <c r="S213"/>
  <c r="V182"/>
  <c r="S182"/>
  <c r="P182"/>
  <c r="S212"/>
  <c r="P212"/>
  <c r="Q212" s="1"/>
  <c r="P206"/>
  <c r="P207"/>
  <c r="P208"/>
  <c r="P209"/>
  <c r="P210"/>
  <c r="P211"/>
  <c r="P213"/>
  <c r="S165"/>
  <c r="P161"/>
  <c r="Q161" s="1"/>
  <c r="P101"/>
  <c r="Q101" s="1"/>
  <c r="P104"/>
  <c r="S59"/>
  <c r="V213"/>
  <c r="W213" s="1"/>
  <c r="V212"/>
  <c r="V211"/>
  <c r="W211" s="1"/>
  <c r="V210"/>
  <c r="V209"/>
  <c r="W209" s="1"/>
  <c r="V208"/>
  <c r="V207"/>
  <c r="V206"/>
  <c r="W206" s="1"/>
  <c r="V205"/>
  <c r="V204"/>
  <c r="V203"/>
  <c r="V202"/>
  <c r="W202" s="1"/>
  <c r="V201"/>
  <c r="W201" s="1"/>
  <c r="V200"/>
  <c r="W200" s="1"/>
  <c r="V199"/>
  <c r="W199" s="1"/>
  <c r="V198"/>
  <c r="W198" s="1"/>
  <c r="V187"/>
  <c r="W187" s="1"/>
  <c r="V185"/>
  <c r="W185" s="1"/>
  <c r="V184"/>
  <c r="W184" s="1"/>
  <c r="V183"/>
  <c r="W183" s="1"/>
  <c r="V181"/>
  <c r="W181" s="1"/>
  <c r="V180"/>
  <c r="V179"/>
  <c r="W179" s="1"/>
  <c r="V165"/>
  <c r="V161"/>
  <c r="W161" s="1"/>
  <c r="V160"/>
  <c r="W160" s="1"/>
  <c r="V159"/>
  <c r="W159" s="1"/>
  <c r="V158"/>
  <c r="W158" s="1"/>
  <c r="V157"/>
  <c r="W157" s="1"/>
  <c r="V156"/>
  <c r="W156" s="1"/>
  <c r="V155"/>
  <c r="W155" s="1"/>
  <c r="V154"/>
  <c r="W154" s="1"/>
  <c r="V153"/>
  <c r="W153" s="1"/>
  <c r="V152"/>
  <c r="W152" s="1"/>
  <c r="V151"/>
  <c r="W151" s="1"/>
  <c r="V150"/>
  <c r="W150" s="1"/>
  <c r="V148"/>
  <c r="W148" s="1"/>
  <c r="V147"/>
  <c r="W147" s="1"/>
  <c r="V146"/>
  <c r="W146" s="1"/>
  <c r="V126"/>
  <c r="W126" s="1"/>
  <c r="V125"/>
  <c r="W125" s="1"/>
  <c r="V124"/>
  <c r="W124" s="1"/>
  <c r="V123"/>
  <c r="W123" s="1"/>
  <c r="V122"/>
  <c r="W122" s="1"/>
  <c r="V121"/>
  <c r="W121" s="1"/>
  <c r="V104"/>
  <c r="W104" s="1"/>
  <c r="V101"/>
  <c r="V100"/>
  <c r="W100" s="1"/>
  <c r="V99"/>
  <c r="W99" s="1"/>
  <c r="V98"/>
  <c r="V97"/>
  <c r="W97" s="1"/>
  <c r="V96"/>
  <c r="W96" s="1"/>
  <c r="V95"/>
  <c r="W95" s="1"/>
  <c r="V94"/>
  <c r="W94" s="1"/>
  <c r="V93"/>
  <c r="W93" s="1"/>
  <c r="V92"/>
  <c r="W92" s="1"/>
  <c r="V90"/>
  <c r="W90" s="1"/>
  <c r="V89"/>
  <c r="W89" s="1"/>
  <c r="V88"/>
  <c r="W88" s="1"/>
  <c r="V87"/>
  <c r="W87" s="1"/>
  <c r="V86"/>
  <c r="W86" s="1"/>
  <c r="V85"/>
  <c r="W85" s="1"/>
  <c r="V51"/>
  <c r="W51" s="1"/>
  <c r="V34"/>
  <c r="W34" s="1"/>
  <c r="V33"/>
  <c r="W33" s="1"/>
  <c r="V32"/>
  <c r="W32" s="1"/>
  <c r="V31"/>
  <c r="W31" s="1"/>
  <c r="V30"/>
  <c r="W30" s="1"/>
  <c r="V29"/>
  <c r="W29" s="1"/>
  <c r="V28"/>
  <c r="W28" s="1"/>
  <c r="V27"/>
  <c r="W27" s="1"/>
  <c r="V26"/>
  <c r="W26" s="1"/>
  <c r="V25"/>
  <c r="W25" s="1"/>
  <c r="V24"/>
  <c r="W24" s="1"/>
  <c r="V23"/>
  <c r="W23" s="1"/>
  <c r="V21"/>
  <c r="W21" s="1"/>
  <c r="V18"/>
  <c r="W18" s="1"/>
  <c r="V16"/>
  <c r="W16" s="1"/>
  <c r="V15"/>
  <c r="W15" s="1"/>
  <c r="V14"/>
  <c r="W14" s="1"/>
  <c r="V13"/>
  <c r="W13" s="1"/>
  <c r="S8"/>
  <c r="T8" s="1"/>
  <c r="S9"/>
  <c r="T9" s="1"/>
  <c r="S10"/>
  <c r="T10" s="1"/>
  <c r="S13"/>
  <c r="T13" s="1"/>
  <c r="S14"/>
  <c r="T14" s="1"/>
  <c r="S15"/>
  <c r="T15" s="1"/>
  <c r="S16"/>
  <c r="T16" s="1"/>
  <c r="S18"/>
  <c r="T18" s="1"/>
  <c r="S21"/>
  <c r="T21" s="1"/>
  <c r="S23"/>
  <c r="T23" s="1"/>
  <c r="S24"/>
  <c r="T24" s="1"/>
  <c r="S25"/>
  <c r="T25" s="1"/>
  <c r="S26"/>
  <c r="T26" s="1"/>
  <c r="S27"/>
  <c r="T27" s="1"/>
  <c r="S28"/>
  <c r="T28" s="1"/>
  <c r="S29"/>
  <c r="T29" s="1"/>
  <c r="S30"/>
  <c r="T30" s="1"/>
  <c r="S31"/>
  <c r="T31" s="1"/>
  <c r="S32"/>
  <c r="T32" s="1"/>
  <c r="S33"/>
  <c r="T33" s="1"/>
  <c r="S34"/>
  <c r="T34" s="1"/>
  <c r="S51"/>
  <c r="T51" s="1"/>
  <c r="S85"/>
  <c r="T85" s="1"/>
  <c r="S86"/>
  <c r="T86" s="1"/>
  <c r="S87"/>
  <c r="T87" s="1"/>
  <c r="S88"/>
  <c r="T88" s="1"/>
  <c r="S89"/>
  <c r="T89" s="1"/>
  <c r="S90"/>
  <c r="T90" s="1"/>
  <c r="S92"/>
  <c r="T92" s="1"/>
  <c r="S93"/>
  <c r="T93" s="1"/>
  <c r="S94"/>
  <c r="T94" s="1"/>
  <c r="S95"/>
  <c r="T95" s="1"/>
  <c r="S96"/>
  <c r="T96" s="1"/>
  <c r="S97"/>
  <c r="T97" s="1"/>
  <c r="S104"/>
  <c r="T104" s="1"/>
  <c r="S121"/>
  <c r="T121" s="1"/>
  <c r="S122"/>
  <c r="T122" s="1"/>
  <c r="S123"/>
  <c r="T123" s="1"/>
  <c r="S124"/>
  <c r="T124" s="1"/>
  <c r="S125"/>
  <c r="T125" s="1"/>
  <c r="S126"/>
  <c r="T126" s="1"/>
  <c r="S146"/>
  <c r="T146" s="1"/>
  <c r="S147"/>
  <c r="T147" s="1"/>
  <c r="S148"/>
  <c r="T148" s="1"/>
  <c r="S150"/>
  <c r="T150" s="1"/>
  <c r="S151"/>
  <c r="T151" s="1"/>
  <c r="S152"/>
  <c r="T152" s="1"/>
  <c r="S153"/>
  <c r="T153" s="1"/>
  <c r="S154"/>
  <c r="T154" s="1"/>
  <c r="S155"/>
  <c r="T155" s="1"/>
  <c r="S156"/>
  <c r="T156" s="1"/>
  <c r="S157"/>
  <c r="T157" s="1"/>
  <c r="S158"/>
  <c r="T158" s="1"/>
  <c r="S159"/>
  <c r="T159" s="1"/>
  <c r="S160"/>
  <c r="T160" s="1"/>
  <c r="S161"/>
  <c r="T161" s="1"/>
  <c r="S179"/>
  <c r="T179" s="1"/>
  <c r="S180"/>
  <c r="T180" s="1"/>
  <c r="S181"/>
  <c r="T181" s="1"/>
  <c r="S183"/>
  <c r="T183" s="1"/>
  <c r="S184"/>
  <c r="T184" s="1"/>
  <c r="S185"/>
  <c r="T185" s="1"/>
  <c r="S187"/>
  <c r="T187" s="1"/>
  <c r="S198"/>
  <c r="T198" s="1"/>
  <c r="S199"/>
  <c r="T199" s="1"/>
  <c r="S200"/>
  <c r="T200" s="1"/>
  <c r="S201"/>
  <c r="T201" s="1"/>
  <c r="S202"/>
  <c r="T202" s="1"/>
  <c r="S203"/>
  <c r="S204"/>
  <c r="S205"/>
  <c r="S206"/>
  <c r="T206" s="1"/>
  <c r="S208"/>
  <c r="T208" s="1"/>
  <c r="S209"/>
  <c r="T209" s="1"/>
  <c r="S210"/>
  <c r="S211"/>
  <c r="T211" s="1"/>
  <c r="S7"/>
  <c r="T7" s="1"/>
  <c r="S57"/>
  <c r="P199"/>
  <c r="Q199" s="1"/>
  <c r="P200"/>
  <c r="Q200" s="1"/>
  <c r="P201"/>
  <c r="Q201" s="1"/>
  <c r="P202"/>
  <c r="Q202" s="1"/>
  <c r="P198"/>
  <c r="Q198" s="1"/>
  <c r="P203"/>
  <c r="P204"/>
  <c r="P205"/>
  <c r="P180"/>
  <c r="Q180" s="1"/>
  <c r="P181"/>
  <c r="Q181" s="1"/>
  <c r="P183"/>
  <c r="Q183" s="1"/>
  <c r="P184"/>
  <c r="Q184" s="1"/>
  <c r="P185"/>
  <c r="Q185" s="1"/>
  <c r="P187"/>
  <c r="Q187" s="1"/>
  <c r="P179"/>
  <c r="Q179" s="1"/>
  <c r="P147"/>
  <c r="Q147" s="1"/>
  <c r="P148"/>
  <c r="Q148" s="1"/>
  <c r="P150"/>
  <c r="Q150" s="1"/>
  <c r="P151"/>
  <c r="Q151" s="1"/>
  <c r="P152"/>
  <c r="Q152" s="1"/>
  <c r="P153"/>
  <c r="Q153" s="1"/>
  <c r="P154"/>
  <c r="Q154" s="1"/>
  <c r="P155"/>
  <c r="Q155" s="1"/>
  <c r="P156"/>
  <c r="Q156" s="1"/>
  <c r="P157"/>
  <c r="Q157" s="1"/>
  <c r="P158"/>
  <c r="Q158" s="1"/>
  <c r="P159"/>
  <c r="Q159" s="1"/>
  <c r="P160"/>
  <c r="Q160" s="1"/>
  <c r="P165"/>
  <c r="Q165" s="1"/>
  <c r="P146"/>
  <c r="Q146" s="1"/>
  <c r="P123"/>
  <c r="Q123" s="1"/>
  <c r="P124"/>
  <c r="Q124" s="1"/>
  <c r="P125"/>
  <c r="Q125" s="1"/>
  <c r="P126"/>
  <c r="Q126" s="1"/>
  <c r="P121"/>
  <c r="Q121" s="1"/>
  <c r="P122"/>
  <c r="P86"/>
  <c r="Q86" s="1"/>
  <c r="P87"/>
  <c r="Q87" s="1"/>
  <c r="P88"/>
  <c r="Q88" s="1"/>
  <c r="P89"/>
  <c r="Q89" s="1"/>
  <c r="P90"/>
  <c r="Q90" s="1"/>
  <c r="P92"/>
  <c r="Q92" s="1"/>
  <c r="P93"/>
  <c r="Q93" s="1"/>
  <c r="P94"/>
  <c r="Q94" s="1"/>
  <c r="P95"/>
  <c r="Q95" s="1"/>
  <c r="P96"/>
  <c r="Q96" s="1"/>
  <c r="P97"/>
  <c r="Q97" s="1"/>
  <c r="P99"/>
  <c r="Q99" s="1"/>
  <c r="P100"/>
  <c r="Q100" s="1"/>
  <c r="P85"/>
  <c r="Q85" s="1"/>
  <c r="P51"/>
  <c r="Q51" s="1"/>
  <c r="P7"/>
  <c r="Q7" s="1"/>
  <c r="P8"/>
  <c r="Q8" s="1"/>
  <c r="P9"/>
  <c r="Q9" s="1"/>
  <c r="P10"/>
  <c r="Q10" s="1"/>
  <c r="P13"/>
  <c r="Q13" s="1"/>
  <c r="P14"/>
  <c r="Q14" s="1"/>
  <c r="P15"/>
  <c r="Q15" s="1"/>
  <c r="P16"/>
  <c r="Q16" s="1"/>
  <c r="P18"/>
  <c r="Q18" s="1"/>
  <c r="P21"/>
  <c r="Q21" s="1"/>
  <c r="P23"/>
  <c r="Q23" s="1"/>
  <c r="P24"/>
  <c r="Q24" s="1"/>
  <c r="P25"/>
  <c r="Q25" s="1"/>
  <c r="P26"/>
  <c r="Q26" s="1"/>
  <c r="P27"/>
  <c r="Q27" s="1"/>
  <c r="P28"/>
  <c r="Q28" s="1"/>
  <c r="P29"/>
  <c r="Q29" s="1"/>
  <c r="P30"/>
  <c r="Q30" s="1"/>
  <c r="P31"/>
  <c r="Q31" s="1"/>
  <c r="P32"/>
  <c r="Q32" s="1"/>
  <c r="P33"/>
  <c r="Q33" s="1"/>
  <c r="P34"/>
  <c r="Q34" s="1"/>
  <c r="R166"/>
  <c r="R166" i="5" s="1"/>
  <c r="U166" i="4"/>
  <c r="U166" i="5" s="1"/>
  <c r="O15" i="2"/>
  <c r="O15" i="3" s="1"/>
  <c r="AB153" i="4"/>
  <c r="AC153" s="1"/>
  <c r="AB151"/>
  <c r="AC151" s="1"/>
  <c r="AB148"/>
  <c r="AC148" s="1"/>
  <c r="AB146"/>
  <c r="AC146" s="1"/>
  <c r="AB130"/>
  <c r="AB127"/>
  <c r="AC127" s="1"/>
  <c r="AB125"/>
  <c r="AC125" s="1"/>
  <c r="AB104"/>
  <c r="AC104" s="1"/>
  <c r="AB102"/>
  <c r="AC102" s="1"/>
  <c r="AB99"/>
  <c r="AC99" s="1"/>
  <c r="AB97"/>
  <c r="AC97" s="1"/>
  <c r="AB95"/>
  <c r="AC95" s="1"/>
  <c r="AB93"/>
  <c r="AC93" s="1"/>
  <c r="AB90"/>
  <c r="AC90" s="1"/>
  <c r="AB88"/>
  <c r="AC88" s="1"/>
  <c r="AB72"/>
  <c r="AB63"/>
  <c r="AC63" s="1"/>
  <c r="AB61"/>
  <c r="AC61" s="1"/>
  <c r="AB57"/>
  <c r="AC57" s="1"/>
  <c r="AB55"/>
  <c r="AC55" s="1"/>
  <c r="AB53"/>
  <c r="AC53" s="1"/>
  <c r="AB51"/>
  <c r="AC51" s="1"/>
  <c r="AB152"/>
  <c r="AC152" s="1"/>
  <c r="AB150"/>
  <c r="AC150" s="1"/>
  <c r="AB147"/>
  <c r="AC147" s="1"/>
  <c r="AB131"/>
  <c r="AC131" s="1"/>
  <c r="AB129"/>
  <c r="AC129" s="1"/>
  <c r="AB126"/>
  <c r="AC126" s="1"/>
  <c r="AB124"/>
  <c r="AC124" s="1"/>
  <c r="AB103"/>
  <c r="AC103" s="1"/>
  <c r="AB98"/>
  <c r="AB96"/>
  <c r="AC96" s="1"/>
  <c r="AB94"/>
  <c r="AC94" s="1"/>
  <c r="AB92"/>
  <c r="AC92" s="1"/>
  <c r="AB89"/>
  <c r="AC89" s="1"/>
  <c r="AB85"/>
  <c r="AC85" s="1"/>
  <c r="AB71"/>
  <c r="AC71" s="1"/>
  <c r="AB69"/>
  <c r="AC69" s="1"/>
  <c r="AB64"/>
  <c r="AC64" s="1"/>
  <c r="AB62"/>
  <c r="AC62" s="1"/>
  <c r="AB60"/>
  <c r="AC60" s="1"/>
  <c r="AB58"/>
  <c r="AC58" s="1"/>
  <c r="AB56"/>
  <c r="AC56" s="1"/>
  <c r="AB54"/>
  <c r="AC54" s="1"/>
  <c r="AB52"/>
  <c r="AC52" s="1"/>
  <c r="AB158"/>
  <c r="AC158" s="1"/>
  <c r="AS74" l="1"/>
  <c r="BM74" s="1"/>
  <c r="BP74" s="1"/>
  <c r="AV214" i="5"/>
  <c r="AW214" s="1"/>
  <c r="BM182"/>
  <c r="BN182" s="1"/>
  <c r="BV182"/>
  <c r="BM181"/>
  <c r="BN181" s="1"/>
  <c r="BV181"/>
  <c r="BL188"/>
  <c r="AM74"/>
  <c r="AM188"/>
  <c r="AR41"/>
  <c r="AT41" s="1"/>
  <c r="AU41" s="1"/>
  <c r="AS41"/>
  <c r="AR188" i="4"/>
  <c r="AI109" i="5"/>
  <c r="AR155"/>
  <c r="AT155" s="1"/>
  <c r="AU155" s="1"/>
  <c r="AS74"/>
  <c r="AZ76" s="1"/>
  <c r="AJ109"/>
  <c r="X109"/>
  <c r="X133"/>
  <c r="AJ41"/>
  <c r="AM222"/>
  <c r="AM133"/>
  <c r="AM109"/>
  <c r="AM41"/>
  <c r="BB74"/>
  <c r="BF74" s="1"/>
  <c r="AS222"/>
  <c r="BK181"/>
  <c r="AQ133"/>
  <c r="BK126"/>
  <c r="BK133" s="1"/>
  <c r="AQ188"/>
  <c r="BK182"/>
  <c r="BK166"/>
  <c r="Y166" i="4"/>
  <c r="Z166" s="1"/>
  <c r="U17" i="2"/>
  <c r="U17" i="3" s="1"/>
  <c r="U16" i="2"/>
  <c r="U16" i="3" s="1"/>
  <c r="AD168" i="4"/>
  <c r="AD168" i="5" s="1"/>
  <c r="AD166"/>
  <c r="O16" i="2"/>
  <c r="O16" i="3" s="1"/>
  <c r="AD135" i="4"/>
  <c r="AD135" i="5" s="1"/>
  <c r="AD133"/>
  <c r="BB109"/>
  <c r="BB41"/>
  <c r="BF41" s="1"/>
  <c r="BB222"/>
  <c r="BF222" s="1"/>
  <c r="AG220"/>
  <c r="AH220" s="1"/>
  <c r="BC219"/>
  <c r="BC218"/>
  <c r="BC217"/>
  <c r="AS161"/>
  <c r="BB161" s="1"/>
  <c r="AS155"/>
  <c r="BB155" s="1"/>
  <c r="AS151"/>
  <c r="BB151" s="1"/>
  <c r="AS152"/>
  <c r="BB152" s="1"/>
  <c r="AS181"/>
  <c r="BB181" s="1"/>
  <c r="AS179"/>
  <c r="BB179" s="1"/>
  <c r="AJ150"/>
  <c r="AS182"/>
  <c r="BB182" s="1"/>
  <c r="AS180"/>
  <c r="BB180" s="1"/>
  <c r="BC180" s="1"/>
  <c r="AS126"/>
  <c r="AS133" s="1"/>
  <c r="AZ134" s="1"/>
  <c r="AI41"/>
  <c r="O13" i="2"/>
  <c r="O13" i="3" s="1"/>
  <c r="BC150" i="5"/>
  <c r="BC214"/>
  <c r="AV150"/>
  <c r="AP188"/>
  <c r="AP244" s="1"/>
  <c r="AQ166"/>
  <c r="AM242" i="4"/>
  <c r="AG38"/>
  <c r="AH38" s="1"/>
  <c r="AG34"/>
  <c r="AH34" s="1"/>
  <c r="BC34" i="5"/>
  <c r="AG32" i="4"/>
  <c r="AH32" s="1"/>
  <c r="BC32" i="5"/>
  <c r="AG30" i="4"/>
  <c r="AH30" s="1"/>
  <c r="BC30" i="5"/>
  <c r="AG28" i="4"/>
  <c r="AH28" s="1"/>
  <c r="BC28" i="5"/>
  <c r="AG26" i="4"/>
  <c r="AH26" s="1"/>
  <c r="BC26" i="5"/>
  <c r="AG24" i="4"/>
  <c r="AH24" s="1"/>
  <c r="BC24" i="5"/>
  <c r="AG22" i="4"/>
  <c r="AH22" s="1"/>
  <c r="BC22" i="5"/>
  <c r="AG20" i="4"/>
  <c r="AH20" s="1"/>
  <c r="BC20" i="5"/>
  <c r="AG18" i="4"/>
  <c r="AH18" s="1"/>
  <c r="BC18" i="5"/>
  <c r="AG15" i="4"/>
  <c r="AH15" s="1"/>
  <c r="BC15" i="5"/>
  <c r="AG13" i="4"/>
  <c r="AH13" s="1"/>
  <c r="BC13" i="5"/>
  <c r="BC11"/>
  <c r="AG9" i="4"/>
  <c r="AH9" s="1"/>
  <c r="BC9" i="5"/>
  <c r="AG51" i="4"/>
  <c r="AH51" s="1"/>
  <c r="BC51" i="5"/>
  <c r="AG72" i="4"/>
  <c r="AH72" s="1"/>
  <c r="BC72" i="5"/>
  <c r="AG70" i="4"/>
  <c r="AH70" s="1"/>
  <c r="BC70" i="5"/>
  <c r="AG68" i="4"/>
  <c r="AH68" s="1"/>
  <c r="BC68" i="5"/>
  <c r="AG66" i="4"/>
  <c r="AH66" s="1"/>
  <c r="BC66" i="5"/>
  <c r="AG64" i="4"/>
  <c r="AH64" s="1"/>
  <c r="BC64" i="5"/>
  <c r="AG62" i="4"/>
  <c r="AH62" s="1"/>
  <c r="BC62" i="5"/>
  <c r="AG60" i="4"/>
  <c r="AH60" s="1"/>
  <c r="BC60" i="5"/>
  <c r="AG58" i="4"/>
  <c r="AH58" s="1"/>
  <c r="BC58" i="5"/>
  <c r="AG56" i="4"/>
  <c r="AH56" s="1"/>
  <c r="BC56" i="5"/>
  <c r="AG54" i="4"/>
  <c r="AH54" s="1"/>
  <c r="BC54" i="5"/>
  <c r="AG52" i="4"/>
  <c r="AH52" s="1"/>
  <c r="BC52" i="5"/>
  <c r="AG108" i="4"/>
  <c r="AH108" s="1"/>
  <c r="AG104"/>
  <c r="AH104" s="1"/>
  <c r="BC104" i="5"/>
  <c r="AG102" i="4"/>
  <c r="AH102" s="1"/>
  <c r="BC102" i="5"/>
  <c r="AG100" i="4"/>
  <c r="AH100" s="1"/>
  <c r="BC100" i="5"/>
  <c r="AG98" i="4"/>
  <c r="AH98" s="1"/>
  <c r="BC98" i="5"/>
  <c r="AG96" i="4"/>
  <c r="AH96" s="1"/>
  <c r="BC96" i="5"/>
  <c r="AG94" i="4"/>
  <c r="AH94" s="1"/>
  <c r="BC94" i="5"/>
  <c r="AG92" i="4"/>
  <c r="AH92" s="1"/>
  <c r="BC92" i="5"/>
  <c r="AG89" i="4"/>
  <c r="AH89" s="1"/>
  <c r="BC89" i="5"/>
  <c r="AG87" i="4"/>
  <c r="AH87" s="1"/>
  <c r="BC87" i="5"/>
  <c r="AV120" i="4"/>
  <c r="AW120" s="1"/>
  <c r="AG120"/>
  <c r="AH120" s="1"/>
  <c r="BC120" i="5"/>
  <c r="AV131" i="4"/>
  <c r="AW131" s="1"/>
  <c r="AG131"/>
  <c r="AH131" s="1"/>
  <c r="BC131" i="5"/>
  <c r="AV129" i="4"/>
  <c r="AW129" s="1"/>
  <c r="AG129"/>
  <c r="AH129" s="1"/>
  <c r="AV126"/>
  <c r="AW126" s="1"/>
  <c r="AG126"/>
  <c r="AH126" s="1"/>
  <c r="AV124"/>
  <c r="AW124" s="1"/>
  <c r="AG124"/>
  <c r="AH124" s="1"/>
  <c r="AG122"/>
  <c r="AH122" s="1"/>
  <c r="BC122" i="5"/>
  <c r="AJ163" i="4"/>
  <c r="AG163"/>
  <c r="AH163" s="1"/>
  <c r="BC163" i="5"/>
  <c r="AG161" i="4"/>
  <c r="AH161" s="1"/>
  <c r="AG161" i="5"/>
  <c r="AH161" s="1"/>
  <c r="AG159" i="4"/>
  <c r="AH159" s="1"/>
  <c r="BC159" i="5"/>
  <c r="AV156" i="4"/>
  <c r="AW156" s="1"/>
  <c r="AG156"/>
  <c r="AH156" s="1"/>
  <c r="AG156" i="5"/>
  <c r="AH156" s="1"/>
  <c r="AV154" i="4"/>
  <c r="AW154" s="1"/>
  <c r="AG154"/>
  <c r="AH154" s="1"/>
  <c r="BC154" i="5"/>
  <c r="AG152" i="4"/>
  <c r="AH152" s="1"/>
  <c r="AG152" i="5"/>
  <c r="AH152" s="1"/>
  <c r="AG149" i="4"/>
  <c r="AH149" s="1"/>
  <c r="AV147"/>
  <c r="AW147" s="1"/>
  <c r="AG147"/>
  <c r="AH147" s="1"/>
  <c r="BC147" i="5"/>
  <c r="AG187" i="4"/>
  <c r="AH187" s="1"/>
  <c r="BC187" i="5"/>
  <c r="AG184" i="4"/>
  <c r="AH184" s="1"/>
  <c r="BC184" i="5"/>
  <c r="AG182" i="4"/>
  <c r="AH182" s="1"/>
  <c r="AG180"/>
  <c r="AH180" s="1"/>
  <c r="AG218"/>
  <c r="AH218" s="1"/>
  <c r="AG216"/>
  <c r="AH216" s="1"/>
  <c r="BC216" i="5"/>
  <c r="AG213" i="4"/>
  <c r="AH213" s="1"/>
  <c r="BC213" i="5"/>
  <c r="AG211" i="4"/>
  <c r="AH211" s="1"/>
  <c r="BC211" i="5"/>
  <c r="AG209" i="4"/>
  <c r="AH209" s="1"/>
  <c r="BC209" i="5"/>
  <c r="AG207" i="4"/>
  <c r="AH207" s="1"/>
  <c r="BC207" i="5"/>
  <c r="AG205" i="4"/>
  <c r="AH205" s="1"/>
  <c r="BC205" i="5"/>
  <c r="AG203" i="4"/>
  <c r="AH203" s="1"/>
  <c r="BC203" i="5"/>
  <c r="AG201" i="4"/>
  <c r="AH201" s="1"/>
  <c r="BC201" i="5"/>
  <c r="AG199" i="4"/>
  <c r="AH199" s="1"/>
  <c r="BC199" i="5"/>
  <c r="AR111"/>
  <c r="AT111" s="1"/>
  <c r="AU111" s="1"/>
  <c r="AR43"/>
  <c r="AT43" s="1"/>
  <c r="AU43" s="1"/>
  <c r="AS43"/>
  <c r="AY43" s="1"/>
  <c r="AY44" s="1"/>
  <c r="AR126"/>
  <c r="AR181"/>
  <c r="AT181" s="1"/>
  <c r="AU181" s="1"/>
  <c r="AR222"/>
  <c r="AT198"/>
  <c r="AU198" s="1"/>
  <c r="AT146"/>
  <c r="AU146" s="1"/>
  <c r="AT85"/>
  <c r="AU85" s="1"/>
  <c r="AR109"/>
  <c r="AT109" s="1"/>
  <c r="AU120"/>
  <c r="AV220"/>
  <c r="AV7" i="4"/>
  <c r="AW7" s="1"/>
  <c r="AH7"/>
  <c r="AG35"/>
  <c r="AH35" s="1"/>
  <c r="BC35" i="5"/>
  <c r="AG33" i="4"/>
  <c r="AH33" s="1"/>
  <c r="BC33" i="5"/>
  <c r="AG31" i="4"/>
  <c r="AH31" s="1"/>
  <c r="BC31" i="5"/>
  <c r="AG29" i="4"/>
  <c r="AH29" s="1"/>
  <c r="BC29" i="5"/>
  <c r="AG27" i="4"/>
  <c r="AH27" s="1"/>
  <c r="BC27" i="5"/>
  <c r="AG25" i="4"/>
  <c r="AH25" s="1"/>
  <c r="BC25" i="5"/>
  <c r="AG23" i="4"/>
  <c r="AH23" s="1"/>
  <c r="BC23" i="5"/>
  <c r="AG21" i="4"/>
  <c r="AH21" s="1"/>
  <c r="BC21" i="5"/>
  <c r="AG19" i="4"/>
  <c r="AH19" s="1"/>
  <c r="AG16"/>
  <c r="AH16" s="1"/>
  <c r="BC16" i="5"/>
  <c r="AG14" i="4"/>
  <c r="AH14" s="1"/>
  <c r="BC12" i="5"/>
  <c r="AG10" i="4"/>
  <c r="AH10" s="1"/>
  <c r="BC10" i="5"/>
  <c r="AG8" i="4"/>
  <c r="AH8" s="1"/>
  <c r="BC8" i="5"/>
  <c r="AV73" i="4"/>
  <c r="AW73" s="1"/>
  <c r="AG73"/>
  <c r="AH73" s="1"/>
  <c r="BC73" i="5"/>
  <c r="AG71" i="4"/>
  <c r="AH71" s="1"/>
  <c r="BC71" i="5"/>
  <c r="AV69" i="4"/>
  <c r="AW69" s="1"/>
  <c r="AG69"/>
  <c r="AH69" s="1"/>
  <c r="BC69" i="5"/>
  <c r="AG67" i="4"/>
  <c r="AH67" s="1"/>
  <c r="BC67" i="5"/>
  <c r="AG65" i="4"/>
  <c r="AH65" s="1"/>
  <c r="BC65" i="5"/>
  <c r="AG63" i="4"/>
  <c r="AH63" s="1"/>
  <c r="BC63" i="5"/>
  <c r="AV61" i="4"/>
  <c r="AW61" s="1"/>
  <c r="AG61"/>
  <c r="AH61" s="1"/>
  <c r="BC61" i="5"/>
  <c r="AG59" i="4"/>
  <c r="AH59" s="1"/>
  <c r="BC59" i="5"/>
  <c r="AV57" i="4"/>
  <c r="AW57" s="1"/>
  <c r="AG57"/>
  <c r="AH57" s="1"/>
  <c r="BC57" i="5"/>
  <c r="AG55" i="4"/>
  <c r="AH55" s="1"/>
  <c r="BC55" i="5"/>
  <c r="AV53" i="4"/>
  <c r="AW53" s="1"/>
  <c r="AG53"/>
  <c r="AH53" s="1"/>
  <c r="BC53" i="5"/>
  <c r="AV85" i="4"/>
  <c r="AW85" s="1"/>
  <c r="AG85"/>
  <c r="AH85" s="1"/>
  <c r="BC85" i="5"/>
  <c r="AG105" i="4"/>
  <c r="AH105" s="1"/>
  <c r="BC105" i="5"/>
  <c r="AG103" i="4"/>
  <c r="AH103" s="1"/>
  <c r="BC103" i="5"/>
  <c r="AG101" i="4"/>
  <c r="AH101" s="1"/>
  <c r="BC101" i="5"/>
  <c r="AG99" i="4"/>
  <c r="AH99" s="1"/>
  <c r="BC99" i="5"/>
  <c r="AG97" i="4"/>
  <c r="AH97" s="1"/>
  <c r="BC97" i="5"/>
  <c r="AG95" i="4"/>
  <c r="AH95" s="1"/>
  <c r="BC95" i="5"/>
  <c r="AG93" i="4"/>
  <c r="AH93" s="1"/>
  <c r="BC93" i="5"/>
  <c r="AG90" i="4"/>
  <c r="AH90" s="1"/>
  <c r="BC90" i="5"/>
  <c r="AG88" i="4"/>
  <c r="AH88" s="1"/>
  <c r="BC88" i="5"/>
  <c r="AG86" i="4"/>
  <c r="AH86" s="1"/>
  <c r="BC86" i="5"/>
  <c r="AG132" i="4"/>
  <c r="AH132" s="1"/>
  <c r="AV130"/>
  <c r="AW130" s="1"/>
  <c r="AG130"/>
  <c r="AH130" s="1"/>
  <c r="BC130" i="5"/>
  <c r="AG127" i="4"/>
  <c r="AH127" s="1"/>
  <c r="BC127" i="5"/>
  <c r="AG125" i="4"/>
  <c r="AH125" s="1"/>
  <c r="BC125" i="5"/>
  <c r="AV123" i="4"/>
  <c r="AW123" s="1"/>
  <c r="AG123"/>
  <c r="AH123" s="1"/>
  <c r="AV121"/>
  <c r="AW121" s="1"/>
  <c r="AG121"/>
  <c r="AH121" s="1"/>
  <c r="BC121" i="5"/>
  <c r="AJ146" i="4"/>
  <c r="AG146"/>
  <c r="AH146" s="1"/>
  <c r="BC146" i="5"/>
  <c r="AV162" i="4"/>
  <c r="AW162" s="1"/>
  <c r="AG162"/>
  <c r="AH162" s="1"/>
  <c r="BC162" i="5"/>
  <c r="AG160" i="4"/>
  <c r="AH160" s="1"/>
  <c r="BC160" i="5"/>
  <c r="AG158" i="4"/>
  <c r="AH158" s="1"/>
  <c r="AG158" i="5"/>
  <c r="AH158" s="1"/>
  <c r="AG155" i="4"/>
  <c r="AH155" s="1"/>
  <c r="AG155" i="5"/>
  <c r="AH155" s="1"/>
  <c r="AV153" i="4"/>
  <c r="AW153" s="1"/>
  <c r="AG153"/>
  <c r="AH153" s="1"/>
  <c r="BC153" i="5"/>
  <c r="AG151" i="4"/>
  <c r="AH151" s="1"/>
  <c r="AG151" i="5"/>
  <c r="AH151" s="1"/>
  <c r="AV148" i="4"/>
  <c r="AW148" s="1"/>
  <c r="AG148"/>
  <c r="AH148" s="1"/>
  <c r="AG148" i="5"/>
  <c r="AH148" s="1"/>
  <c r="AV179" i="4"/>
  <c r="AW179" s="1"/>
  <c r="AG179"/>
  <c r="AH179" s="1"/>
  <c r="AG185"/>
  <c r="AH185" s="1"/>
  <c r="BC185" i="5"/>
  <c r="AG183" i="4"/>
  <c r="AH183" s="1"/>
  <c r="BC183" i="5"/>
  <c r="AG181" i="4"/>
  <c r="AH181" s="1"/>
  <c r="AG181" i="5"/>
  <c r="AH181" s="1"/>
  <c r="AV198" i="4"/>
  <c r="AW198" s="1"/>
  <c r="AG198"/>
  <c r="AH198" s="1"/>
  <c r="BC198" i="5"/>
  <c r="AG219" i="4"/>
  <c r="AH219" s="1"/>
  <c r="AG217"/>
  <c r="AH217" s="1"/>
  <c r="AG215"/>
  <c r="AH215" s="1"/>
  <c r="BC215" i="5"/>
  <c r="AG212" i="4"/>
  <c r="AH212" s="1"/>
  <c r="BC212" i="5"/>
  <c r="AG210" i="4"/>
  <c r="AH210" s="1"/>
  <c r="BC210" i="5"/>
  <c r="AG208" i="4"/>
  <c r="AH208" s="1"/>
  <c r="AG206"/>
  <c r="AH206" s="1"/>
  <c r="BC206" i="5"/>
  <c r="AG204" i="4"/>
  <c r="AH204" s="1"/>
  <c r="BC204" i="5"/>
  <c r="AG202" i="4"/>
  <c r="AH202" s="1"/>
  <c r="BC202" i="5"/>
  <c r="AG200" i="4"/>
  <c r="AH200" s="1"/>
  <c r="BC200" i="5"/>
  <c r="AS111"/>
  <c r="AY111" s="1"/>
  <c r="AR179"/>
  <c r="AR74"/>
  <c r="AT51"/>
  <c r="AU51" s="1"/>
  <c r="AT7"/>
  <c r="AU7" s="1"/>
  <c r="AB222"/>
  <c r="AC222" s="1"/>
  <c r="Y85"/>
  <c r="Y109" s="1"/>
  <c r="Y7"/>
  <c r="Y120"/>
  <c r="Y133" s="1"/>
  <c r="AB188"/>
  <c r="AC188" s="1"/>
  <c r="Y51"/>
  <c r="Y74" s="1"/>
  <c r="AV122" i="4"/>
  <c r="AW122" s="1"/>
  <c r="AV161"/>
  <c r="AW161" s="1"/>
  <c r="AV151"/>
  <c r="AW151" s="1"/>
  <c r="AV159"/>
  <c r="AW159" s="1"/>
  <c r="AV163"/>
  <c r="AW163" s="1"/>
  <c r="AV158"/>
  <c r="AW158" s="1"/>
  <c r="AV127"/>
  <c r="AW127" s="1"/>
  <c r="AV125"/>
  <c r="AW125" s="1"/>
  <c r="AV155"/>
  <c r="AW155" s="1"/>
  <c r="AV152"/>
  <c r="AW152" s="1"/>
  <c r="AV146"/>
  <c r="AV160"/>
  <c r="AW160" s="1"/>
  <c r="AV217"/>
  <c r="AW217" s="1"/>
  <c r="AV209"/>
  <c r="AW209" s="1"/>
  <c r="AV201"/>
  <c r="AW201" s="1"/>
  <c r="AV216"/>
  <c r="AW216" s="1"/>
  <c r="AV206"/>
  <c r="AW206" s="1"/>
  <c r="AV219"/>
  <c r="AW219" s="1"/>
  <c r="AV211"/>
  <c r="AW211" s="1"/>
  <c r="AV203"/>
  <c r="AW203" s="1"/>
  <c r="AV218"/>
  <c r="AW218" s="1"/>
  <c r="AV208"/>
  <c r="AW208" s="1"/>
  <c r="AV200"/>
  <c r="AW200" s="1"/>
  <c r="AV213"/>
  <c r="AW213" s="1"/>
  <c r="AV205"/>
  <c r="AW205" s="1"/>
  <c r="AV220"/>
  <c r="AW220" s="1"/>
  <c r="AV210"/>
  <c r="AW210" s="1"/>
  <c r="AV202"/>
  <c r="AW202" s="1"/>
  <c r="AV215"/>
  <c r="AW215" s="1"/>
  <c r="AV207"/>
  <c r="AW207" s="1"/>
  <c r="AV199"/>
  <c r="AW199" s="1"/>
  <c r="AV212"/>
  <c r="AW212" s="1"/>
  <c r="AV204"/>
  <c r="AW204" s="1"/>
  <c r="AI51"/>
  <c r="AV51"/>
  <c r="AJ51"/>
  <c r="AJ68"/>
  <c r="AI68"/>
  <c r="AJ66"/>
  <c r="AI66"/>
  <c r="AI64"/>
  <c r="AJ64"/>
  <c r="AI62"/>
  <c r="AJ62"/>
  <c r="AI60"/>
  <c r="AJ60"/>
  <c r="AJ58"/>
  <c r="AV58"/>
  <c r="AW58" s="1"/>
  <c r="AI58"/>
  <c r="AJ56"/>
  <c r="AI56"/>
  <c r="AJ54"/>
  <c r="AI54"/>
  <c r="AJ52"/>
  <c r="AI52"/>
  <c r="AJ131"/>
  <c r="AJ129"/>
  <c r="AJ126"/>
  <c r="AJ124"/>
  <c r="AJ161"/>
  <c r="AJ156"/>
  <c r="AJ154"/>
  <c r="AJ152"/>
  <c r="AJ147"/>
  <c r="AV187"/>
  <c r="AW187" s="1"/>
  <c r="AJ187"/>
  <c r="AI187"/>
  <c r="AV184"/>
  <c r="AW184" s="1"/>
  <c r="AJ184"/>
  <c r="AI184"/>
  <c r="AV182"/>
  <c r="AW182" s="1"/>
  <c r="AJ182"/>
  <c r="AI182"/>
  <c r="AV180"/>
  <c r="AW180" s="1"/>
  <c r="AJ180"/>
  <c r="AI180"/>
  <c r="AV105"/>
  <c r="AW105" s="1"/>
  <c r="AV103"/>
  <c r="AW103" s="1"/>
  <c r="AV101"/>
  <c r="AW101" s="1"/>
  <c r="AV99"/>
  <c r="AW99" s="1"/>
  <c r="AV97"/>
  <c r="AW97" s="1"/>
  <c r="AV95"/>
  <c r="AW95" s="1"/>
  <c r="AV93"/>
  <c r="AW93" s="1"/>
  <c r="AV90"/>
  <c r="AW90" s="1"/>
  <c r="AV88"/>
  <c r="AW88" s="1"/>
  <c r="AV86"/>
  <c r="AW86" s="1"/>
  <c r="AV65"/>
  <c r="AW65" s="1"/>
  <c r="AV72"/>
  <c r="AW72" s="1"/>
  <c r="AV68"/>
  <c r="AW68" s="1"/>
  <c r="AV64"/>
  <c r="AW64" s="1"/>
  <c r="AV60"/>
  <c r="AW60" s="1"/>
  <c r="AV54"/>
  <c r="AW54" s="1"/>
  <c r="AI73"/>
  <c r="AJ73"/>
  <c r="AJ71"/>
  <c r="AI71"/>
  <c r="AI69"/>
  <c r="AJ69"/>
  <c r="AI67"/>
  <c r="AJ67"/>
  <c r="AJ63"/>
  <c r="AI63"/>
  <c r="AJ61"/>
  <c r="AI61"/>
  <c r="AI57"/>
  <c r="AJ57"/>
  <c r="AI55"/>
  <c r="AJ55"/>
  <c r="AI53"/>
  <c r="AJ53"/>
  <c r="AJ130"/>
  <c r="AJ123"/>
  <c r="AI121"/>
  <c r="AJ121"/>
  <c r="AJ162"/>
  <c r="AJ155"/>
  <c r="AJ153"/>
  <c r="AJ151"/>
  <c r="AJ148"/>
  <c r="AJ179"/>
  <c r="AI179"/>
  <c r="AV185"/>
  <c r="AW185" s="1"/>
  <c r="AJ185"/>
  <c r="AI185"/>
  <c r="AV183"/>
  <c r="AW183" s="1"/>
  <c r="AJ183"/>
  <c r="AI183"/>
  <c r="AV181"/>
  <c r="AW181" s="1"/>
  <c r="AJ181"/>
  <c r="AI181"/>
  <c r="AV108"/>
  <c r="AW108" s="1"/>
  <c r="AV104"/>
  <c r="AW104" s="1"/>
  <c r="AV102"/>
  <c r="AW102" s="1"/>
  <c r="AV100"/>
  <c r="AW100" s="1"/>
  <c r="AV98"/>
  <c r="AW98" s="1"/>
  <c r="AV96"/>
  <c r="AW96" s="1"/>
  <c r="AV94"/>
  <c r="AW94" s="1"/>
  <c r="AV92"/>
  <c r="AW92" s="1"/>
  <c r="AV89"/>
  <c r="AW89" s="1"/>
  <c r="AV87"/>
  <c r="AW87" s="1"/>
  <c r="AV71"/>
  <c r="AW71" s="1"/>
  <c r="AV67"/>
  <c r="AW67" s="1"/>
  <c r="AV63"/>
  <c r="AW63" s="1"/>
  <c r="AV59"/>
  <c r="AW59" s="1"/>
  <c r="AV55"/>
  <c r="AW55" s="1"/>
  <c r="AV20"/>
  <c r="AW20" s="1"/>
  <c r="AV70"/>
  <c r="AW70" s="1"/>
  <c r="AV66"/>
  <c r="AW66" s="1"/>
  <c r="AV62"/>
  <c r="AW62" s="1"/>
  <c r="AV56"/>
  <c r="AW56" s="1"/>
  <c r="AV52"/>
  <c r="AW52" s="1"/>
  <c r="AV35"/>
  <c r="AW35" s="1"/>
  <c r="AV33"/>
  <c r="AW33" s="1"/>
  <c r="AV31"/>
  <c r="AW31" s="1"/>
  <c r="AV29"/>
  <c r="AW29" s="1"/>
  <c r="AV27"/>
  <c r="AW27" s="1"/>
  <c r="AV25"/>
  <c r="AW25" s="1"/>
  <c r="AV23"/>
  <c r="AW23" s="1"/>
  <c r="AV21"/>
  <c r="AW21" s="1"/>
  <c r="AV16"/>
  <c r="AW16" s="1"/>
  <c r="AV13"/>
  <c r="AW13" s="1"/>
  <c r="AV11"/>
  <c r="AW11" s="1"/>
  <c r="AV9"/>
  <c r="AW9" s="1"/>
  <c r="AV34"/>
  <c r="AW34" s="1"/>
  <c r="AV32"/>
  <c r="AW32" s="1"/>
  <c r="AV30"/>
  <c r="AW30" s="1"/>
  <c r="AV28"/>
  <c r="AW28" s="1"/>
  <c r="AV26"/>
  <c r="AW26" s="1"/>
  <c r="AV24"/>
  <c r="AW24" s="1"/>
  <c r="AV22"/>
  <c r="AW22" s="1"/>
  <c r="AV18"/>
  <c r="AW18" s="1"/>
  <c r="AV15"/>
  <c r="AW15" s="1"/>
  <c r="AV12"/>
  <c r="AW12" s="1"/>
  <c r="AV10"/>
  <c r="AW10" s="1"/>
  <c r="AV8"/>
  <c r="AW8" s="1"/>
  <c r="AH41"/>
  <c r="P133"/>
  <c r="Q133" s="1"/>
  <c r="Z58" i="5"/>
  <c r="S164"/>
  <c r="V198"/>
  <c r="W198" s="1"/>
  <c r="S200"/>
  <c r="T200" s="1"/>
  <c r="AA14" i="3"/>
  <c r="Y222" i="4"/>
  <c r="Z222" s="1"/>
  <c r="AA17" i="2"/>
  <c r="L15"/>
  <c r="Y109" i="4"/>
  <c r="Z109" s="1"/>
  <c r="V152" i="5"/>
  <c r="W152" s="1"/>
  <c r="R11" i="2"/>
  <c r="P52" i="5"/>
  <c r="Q52" s="1"/>
  <c r="S155"/>
  <c r="T155" s="1"/>
  <c r="P205"/>
  <c r="R16" i="2"/>
  <c r="R16" i="3" s="1"/>
  <c r="S188" i="4"/>
  <c r="T188" s="1"/>
  <c r="Z41"/>
  <c r="Y188"/>
  <c r="Z188" s="1"/>
  <c r="P33" i="5"/>
  <c r="Q33" s="1"/>
  <c r="P101"/>
  <c r="Q101" s="1"/>
  <c r="Y74" i="4"/>
  <c r="Z74" s="1"/>
  <c r="P188"/>
  <c r="Q188" s="1"/>
  <c r="S14" i="5"/>
  <c r="T14" s="1"/>
  <c r="V29"/>
  <c r="W29" s="1"/>
  <c r="S31"/>
  <c r="T31" s="1"/>
  <c r="V33"/>
  <c r="W33" s="1"/>
  <c r="P51"/>
  <c r="Q51" s="1"/>
  <c r="S54"/>
  <c r="T54" s="1"/>
  <c r="V62"/>
  <c r="S68"/>
  <c r="T68" s="1"/>
  <c r="V70"/>
  <c r="W70" s="1"/>
  <c r="S89"/>
  <c r="T89" s="1"/>
  <c r="P94"/>
  <c r="Q94" s="1"/>
  <c r="V164"/>
  <c r="S201"/>
  <c r="T201" s="1"/>
  <c r="V205"/>
  <c r="P109" i="4"/>
  <c r="Q109" s="1"/>
  <c r="R12" i="2"/>
  <c r="Z13" i="5"/>
  <c r="V19"/>
  <c r="W19" s="1"/>
  <c r="S23"/>
  <c r="T23" s="1"/>
  <c r="S56"/>
  <c r="T56" s="1"/>
  <c r="V66"/>
  <c r="W66" s="1"/>
  <c r="V148"/>
  <c r="W148" s="1"/>
  <c r="V149"/>
  <c r="V209"/>
  <c r="W209" s="1"/>
  <c r="P222" i="4"/>
  <c r="Q222" s="1"/>
  <c r="V14" i="5"/>
  <c r="W14" s="1"/>
  <c r="S25"/>
  <c r="T25" s="1"/>
  <c r="V94"/>
  <c r="W94" s="1"/>
  <c r="S96"/>
  <c r="T96" s="1"/>
  <c r="V98"/>
  <c r="S100"/>
  <c r="T100" s="1"/>
  <c r="S157"/>
  <c r="T157" s="1"/>
  <c r="S161"/>
  <c r="T161" s="1"/>
  <c r="V181"/>
  <c r="W181" s="1"/>
  <c r="V201"/>
  <c r="W201" s="1"/>
  <c r="V202"/>
  <c r="W202" s="1"/>
  <c r="S209"/>
  <c r="T209" s="1"/>
  <c r="L12" i="2"/>
  <c r="L12" i="3" s="1"/>
  <c r="M12" s="1"/>
  <c r="N12" s="1"/>
  <c r="AA11"/>
  <c r="P151" i="5"/>
  <c r="Q151" s="1"/>
  <c r="AB166" i="4"/>
  <c r="AC166" s="1"/>
  <c r="AB109"/>
  <c r="AC109" s="1"/>
  <c r="AB133"/>
  <c r="AC133" s="1"/>
  <c r="AB188"/>
  <c r="AC188" s="1"/>
  <c r="Y133"/>
  <c r="Z133" s="1"/>
  <c r="AA15" i="2"/>
  <c r="AA16"/>
  <c r="S41" i="4"/>
  <c r="T41" s="1"/>
  <c r="S16" i="5"/>
  <c r="T16" s="1"/>
  <c r="S19"/>
  <c r="T19" s="1"/>
  <c r="S27"/>
  <c r="T27" s="1"/>
  <c r="S51"/>
  <c r="T51" s="1"/>
  <c r="S52"/>
  <c r="T52" s="1"/>
  <c r="V60"/>
  <c r="W60" s="1"/>
  <c r="S62"/>
  <c r="V64"/>
  <c r="W64" s="1"/>
  <c r="S70"/>
  <c r="P85"/>
  <c r="Q85" s="1"/>
  <c r="S87"/>
  <c r="T87" s="1"/>
  <c r="P88"/>
  <c r="Q88" s="1"/>
  <c r="V92"/>
  <c r="W92" s="1"/>
  <c r="Z96"/>
  <c r="V102"/>
  <c r="V104"/>
  <c r="W104" s="1"/>
  <c r="S126"/>
  <c r="T126" s="1"/>
  <c r="S146"/>
  <c r="T146" s="1"/>
  <c r="V147"/>
  <c r="W147" s="1"/>
  <c r="S151"/>
  <c r="T151" s="1"/>
  <c r="S153"/>
  <c r="T153" s="1"/>
  <c r="P166" i="4"/>
  <c r="Q166" s="1"/>
  <c r="X242"/>
  <c r="X244" i="5" s="1"/>
  <c r="P41" i="4"/>
  <c r="Q41" s="1"/>
  <c r="L242"/>
  <c r="L244" i="5" s="1"/>
  <c r="P19"/>
  <c r="Q19" s="1"/>
  <c r="S29"/>
  <c r="T29" s="1"/>
  <c r="P30"/>
  <c r="Q30" s="1"/>
  <c r="S33"/>
  <c r="T33" s="1"/>
  <c r="P34"/>
  <c r="Q34" s="1"/>
  <c r="V56"/>
  <c r="W56" s="1"/>
  <c r="S60"/>
  <c r="T60" s="1"/>
  <c r="S64"/>
  <c r="T64" s="1"/>
  <c r="V68"/>
  <c r="W68" s="1"/>
  <c r="V89"/>
  <c r="W89" s="1"/>
  <c r="S92"/>
  <c r="T92" s="1"/>
  <c r="V96"/>
  <c r="W96" s="1"/>
  <c r="P97"/>
  <c r="Q97" s="1"/>
  <c r="V100"/>
  <c r="W100" s="1"/>
  <c r="S102"/>
  <c r="S104"/>
  <c r="T104" s="1"/>
  <c r="S124"/>
  <c r="T124" s="1"/>
  <c r="P127"/>
  <c r="S147"/>
  <c r="T147" s="1"/>
  <c r="S149"/>
  <c r="P153"/>
  <c r="Q153" s="1"/>
  <c r="V155"/>
  <c r="W155" s="1"/>
  <c r="AB41" i="4"/>
  <c r="AC41" s="1"/>
  <c r="V188"/>
  <c r="W188" s="1"/>
  <c r="S8" i="5"/>
  <c r="T8" s="1"/>
  <c r="S10"/>
  <c r="T10" s="1"/>
  <c r="Z32"/>
  <c r="S58"/>
  <c r="T58" s="1"/>
  <c r="S66"/>
  <c r="T66" s="1"/>
  <c r="V87"/>
  <c r="W87" s="1"/>
  <c r="S94"/>
  <c r="T94" s="1"/>
  <c r="S98"/>
  <c r="T98" s="1"/>
  <c r="Z104"/>
  <c r="S122"/>
  <c r="T122" s="1"/>
  <c r="V125"/>
  <c r="W125" s="1"/>
  <c r="V151"/>
  <c r="W151" s="1"/>
  <c r="S159"/>
  <c r="T159" s="1"/>
  <c r="P183"/>
  <c r="Q183" s="1"/>
  <c r="S199"/>
  <c r="T199" s="1"/>
  <c r="V41" i="4"/>
  <c r="W41" s="1"/>
  <c r="AB241"/>
  <c r="U242"/>
  <c r="U244" i="5" s="1"/>
  <c r="L16" i="2"/>
  <c r="L16" i="3" s="1"/>
  <c r="M16" s="1"/>
  <c r="N16" s="1"/>
  <c r="P208" i="5"/>
  <c r="L14" i="2"/>
  <c r="L14" i="3" s="1"/>
  <c r="M14" s="1"/>
  <c r="N14" s="1"/>
  <c r="Z183" i="5"/>
  <c r="L11" i="2"/>
  <c r="V10" i="5"/>
  <c r="W10" s="1"/>
  <c r="P13"/>
  <c r="Q13" s="1"/>
  <c r="P31"/>
  <c r="Q31" s="1"/>
  <c r="V32"/>
  <c r="W32" s="1"/>
  <c r="V53"/>
  <c r="W53" s="1"/>
  <c r="P55"/>
  <c r="Q55" s="1"/>
  <c r="P60"/>
  <c r="Q60" s="1"/>
  <c r="Z61"/>
  <c r="P63"/>
  <c r="Q63" s="1"/>
  <c r="V65"/>
  <c r="P68"/>
  <c r="Q68" s="1"/>
  <c r="P102"/>
  <c r="V121"/>
  <c r="P123"/>
  <c r="Q123" s="1"/>
  <c r="P146"/>
  <c r="Q146" s="1"/>
  <c r="V156"/>
  <c r="W156" s="1"/>
  <c r="P157"/>
  <c r="Q157" s="1"/>
  <c r="P162"/>
  <c r="V180"/>
  <c r="S181"/>
  <c r="T181" s="1"/>
  <c r="V184"/>
  <c r="W184" s="1"/>
  <c r="V185"/>
  <c r="W185" s="1"/>
  <c r="P200"/>
  <c r="Q200" s="1"/>
  <c r="P203"/>
  <c r="V204"/>
  <c r="V212"/>
  <c r="V9"/>
  <c r="W9" s="1"/>
  <c r="P14"/>
  <c r="Q14" s="1"/>
  <c r="P15"/>
  <c r="Q15" s="1"/>
  <c r="P23"/>
  <c r="Q23" s="1"/>
  <c r="V24"/>
  <c r="W24" s="1"/>
  <c r="P26"/>
  <c r="Q26" s="1"/>
  <c r="P56"/>
  <c r="Q56" s="1"/>
  <c r="V57"/>
  <c r="W57" s="1"/>
  <c r="V69"/>
  <c r="W69" s="1"/>
  <c r="P89"/>
  <c r="Q89" s="1"/>
  <c r="S93"/>
  <c r="T93" s="1"/>
  <c r="P98"/>
  <c r="Q98" s="1"/>
  <c r="P158"/>
  <c r="Q158" s="1"/>
  <c r="S180"/>
  <c r="T180" s="1"/>
  <c r="S184"/>
  <c r="T184" s="1"/>
  <c r="S185"/>
  <c r="T185" s="1"/>
  <c r="S204"/>
  <c r="V208"/>
  <c r="S212"/>
  <c r="V213"/>
  <c r="W213" s="1"/>
  <c r="P10"/>
  <c r="Q10" s="1"/>
  <c r="V18"/>
  <c r="W18" s="1"/>
  <c r="V21"/>
  <c r="W21" s="1"/>
  <c r="V25"/>
  <c r="W25" s="1"/>
  <c r="P27"/>
  <c r="Q27" s="1"/>
  <c r="V28"/>
  <c r="W28" s="1"/>
  <c r="P59"/>
  <c r="Q59" s="1"/>
  <c r="V61"/>
  <c r="W61" s="1"/>
  <c r="P64"/>
  <c r="Q64" s="1"/>
  <c r="P67"/>
  <c r="Q67" s="1"/>
  <c r="S69"/>
  <c r="T69" s="1"/>
  <c r="P93"/>
  <c r="Q93" s="1"/>
  <c r="S95"/>
  <c r="T95" s="1"/>
  <c r="Z97"/>
  <c r="V122"/>
  <c r="W122" s="1"/>
  <c r="P124"/>
  <c r="Q124" s="1"/>
  <c r="V126"/>
  <c r="W126" s="1"/>
  <c r="P149"/>
  <c r="V159"/>
  <c r="W159" s="1"/>
  <c r="V160"/>
  <c r="W160" s="1"/>
  <c r="P161"/>
  <c r="V200"/>
  <c r="W200" s="1"/>
  <c r="P204"/>
  <c r="S208"/>
  <c r="T208" s="1"/>
  <c r="P212"/>
  <c r="Q212" s="1"/>
  <c r="V8"/>
  <c r="W8" s="1"/>
  <c r="S59"/>
  <c r="V146"/>
  <c r="W146" s="1"/>
  <c r="V157"/>
  <c r="W157" s="1"/>
  <c r="S158"/>
  <c r="T158" s="1"/>
  <c r="Z199"/>
  <c r="S210"/>
  <c r="S214"/>
  <c r="V13"/>
  <c r="W13" s="1"/>
  <c r="S18"/>
  <c r="T18" s="1"/>
  <c r="P24"/>
  <c r="Q24" s="1"/>
  <c r="V34"/>
  <c r="W34" s="1"/>
  <c r="P53"/>
  <c r="Q53" s="1"/>
  <c r="S88"/>
  <c r="T88" s="1"/>
  <c r="S90"/>
  <c r="T90" s="1"/>
  <c r="V154"/>
  <c r="W154" s="1"/>
  <c r="AE166"/>
  <c r="P179"/>
  <c r="Q179" s="1"/>
  <c r="P25"/>
  <c r="Q25" s="1"/>
  <c r="S26"/>
  <c r="T26" s="1"/>
  <c r="S30"/>
  <c r="T30" s="1"/>
  <c r="P54"/>
  <c r="Q54" s="1"/>
  <c r="S101"/>
  <c r="P103"/>
  <c r="S127"/>
  <c r="P150"/>
  <c r="Q150" s="1"/>
  <c r="P152"/>
  <c r="Q152" s="1"/>
  <c r="P154"/>
  <c r="Q154" s="1"/>
  <c r="P156"/>
  <c r="Q156" s="1"/>
  <c r="V187"/>
  <c r="W187" s="1"/>
  <c r="P201"/>
  <c r="Q201" s="1"/>
  <c r="S206"/>
  <c r="T206" s="1"/>
  <c r="S213"/>
  <c r="AM166"/>
  <c r="Z180"/>
  <c r="W166" i="4"/>
  <c r="L17" i="2"/>
  <c r="L17" i="3" s="1"/>
  <c r="M17" s="1"/>
  <c r="N17" s="1"/>
  <c r="L13" i="2"/>
  <c r="R13"/>
  <c r="R13" i="3" s="1"/>
  <c r="V13" s="1"/>
  <c r="W13" s="1"/>
  <c r="S109" i="4"/>
  <c r="T109" s="1"/>
  <c r="P198" i="5"/>
  <c r="Q198" s="1"/>
  <c r="P211"/>
  <c r="Z19"/>
  <c r="Z66"/>
  <c r="Z181"/>
  <c r="Z184"/>
  <c r="Z126"/>
  <c r="Z150"/>
  <c r="Z158"/>
  <c r="Z29"/>
  <c r="Z148"/>
  <c r="V222" i="4"/>
  <c r="W222" s="1"/>
  <c r="Z10" i="5"/>
  <c r="Z24"/>
  <c r="Z55"/>
  <c r="Z69"/>
  <c r="Z123"/>
  <c r="Z160"/>
  <c r="Z164"/>
  <c r="Z201"/>
  <c r="Z213"/>
  <c r="AM242"/>
  <c r="AT242" s="1"/>
  <c r="AS242"/>
  <c r="V133" i="4"/>
  <c r="W133" s="1"/>
  <c r="R17" i="2"/>
  <c r="AE242" i="4"/>
  <c r="AT230" i="5"/>
  <c r="Z23"/>
  <c r="Z53"/>
  <c r="Z57"/>
  <c r="Z64"/>
  <c r="Z88"/>
  <c r="Z89"/>
  <c r="Z93"/>
  <c r="Z100"/>
  <c r="Z147"/>
  <c r="Z151"/>
  <c r="Z152"/>
  <c r="Z154"/>
  <c r="Z206"/>
  <c r="Z209"/>
  <c r="AA13" i="2"/>
  <c r="AA13" i="3"/>
  <c r="R242" i="4"/>
  <c r="R244" i="5" s="1"/>
  <c r="AA14" i="2"/>
  <c r="AA12"/>
  <c r="AA16" i="3"/>
  <c r="U15" i="2"/>
  <c r="U15" i="3" s="1"/>
  <c r="S133" i="4"/>
  <c r="T133" s="1"/>
  <c r="S14" i="3"/>
  <c r="T14" s="1"/>
  <c r="X11" i="2"/>
  <c r="X14"/>
  <c r="X16"/>
  <c r="X16" i="3" s="1"/>
  <c r="AB12" i="2"/>
  <c r="AB12" i="3" s="1"/>
  <c r="AB15" i="2"/>
  <c r="AB15" i="3" s="1"/>
  <c r="R15" i="2"/>
  <c r="O17"/>
  <c r="O17" i="3" s="1"/>
  <c r="S222" i="4"/>
  <c r="T222" s="1"/>
  <c r="AB222"/>
  <c r="AC222" s="1"/>
  <c r="X12" i="2"/>
  <c r="X13"/>
  <c r="X13" i="3" s="1"/>
  <c r="X15" i="2"/>
  <c r="X15" i="3" s="1"/>
  <c r="X17" i="2"/>
  <c r="X17" i="3" s="1"/>
  <c r="AB11" i="2"/>
  <c r="AB13"/>
  <c r="AB13" i="3" s="1"/>
  <c r="AB16" i="2"/>
  <c r="AB16" i="3" s="1"/>
  <c r="AB14" i="2"/>
  <c r="AB14" i="3" s="1"/>
  <c r="AD242" i="4"/>
  <c r="P185" i="5"/>
  <c r="Q185" s="1"/>
  <c r="P199"/>
  <c r="Q199" s="1"/>
  <c r="P184"/>
  <c r="Q184" s="1"/>
  <c r="S14" i="2"/>
  <c r="T14" s="1"/>
  <c r="V16" i="5"/>
  <c r="W16" s="1"/>
  <c r="P21"/>
  <c r="Q21" s="1"/>
  <c r="S24"/>
  <c r="T24" s="1"/>
  <c r="V26"/>
  <c r="W26" s="1"/>
  <c r="Z27"/>
  <c r="P28"/>
  <c r="Q28" s="1"/>
  <c r="V30"/>
  <c r="W30" s="1"/>
  <c r="Z31"/>
  <c r="P32"/>
  <c r="Q32" s="1"/>
  <c r="V51"/>
  <c r="S53"/>
  <c r="T53" s="1"/>
  <c r="S55"/>
  <c r="T55" s="1"/>
  <c r="P58"/>
  <c r="Q58" s="1"/>
  <c r="V59"/>
  <c r="Z63"/>
  <c r="P65"/>
  <c r="Q65" s="1"/>
  <c r="P66"/>
  <c r="Q66" s="1"/>
  <c r="Z67"/>
  <c r="P86"/>
  <c r="Q86" s="1"/>
  <c r="Z86"/>
  <c r="P87"/>
  <c r="Q87" s="1"/>
  <c r="V88"/>
  <c r="W88" s="1"/>
  <c r="V90"/>
  <c r="W90" s="1"/>
  <c r="P92"/>
  <c r="Q92" s="1"/>
  <c r="V93"/>
  <c r="W93" s="1"/>
  <c r="V95"/>
  <c r="W95" s="1"/>
  <c r="P99"/>
  <c r="Q99" s="1"/>
  <c r="V101"/>
  <c r="S103"/>
  <c r="P122"/>
  <c r="Z124"/>
  <c r="P125"/>
  <c r="Q125" s="1"/>
  <c r="V127"/>
  <c r="S150"/>
  <c r="T150" s="1"/>
  <c r="S152"/>
  <c r="T152" s="1"/>
  <c r="S156"/>
  <c r="T156" s="1"/>
  <c r="V158"/>
  <c r="W158" s="1"/>
  <c r="P160"/>
  <c r="Q160" s="1"/>
  <c r="V161"/>
  <c r="W161" s="1"/>
  <c r="P182"/>
  <c r="S183"/>
  <c r="T183" s="1"/>
  <c r="V203"/>
  <c r="V206"/>
  <c r="W206" s="1"/>
  <c r="V210"/>
  <c r="V211"/>
  <c r="W211" s="1"/>
  <c r="V214"/>
  <c r="S9"/>
  <c r="T9" s="1"/>
  <c r="S13"/>
  <c r="T13" s="1"/>
  <c r="V15"/>
  <c r="W15" s="1"/>
  <c r="P16"/>
  <c r="Q16" s="1"/>
  <c r="Z16"/>
  <c r="P18"/>
  <c r="Q18" s="1"/>
  <c r="V27"/>
  <c r="W27" s="1"/>
  <c r="P29"/>
  <c r="Q29" s="1"/>
  <c r="V31"/>
  <c r="W31" s="1"/>
  <c r="S34"/>
  <c r="T34" s="1"/>
  <c r="S61"/>
  <c r="T61" s="1"/>
  <c r="V63"/>
  <c r="W63" s="1"/>
  <c r="V67"/>
  <c r="W67" s="1"/>
  <c r="P69"/>
  <c r="Q69" s="1"/>
  <c r="P70"/>
  <c r="V71"/>
  <c r="V85"/>
  <c r="V86"/>
  <c r="W86" s="1"/>
  <c r="P90"/>
  <c r="Q90" s="1"/>
  <c r="P95"/>
  <c r="Q95" s="1"/>
  <c r="Z95"/>
  <c r="P96"/>
  <c r="Q96" s="1"/>
  <c r="V97"/>
  <c r="W97" s="1"/>
  <c r="V99"/>
  <c r="W99" s="1"/>
  <c r="P100"/>
  <c r="Q100" s="1"/>
  <c r="P104"/>
  <c r="S121"/>
  <c r="T121" s="1"/>
  <c r="V123"/>
  <c r="W123" s="1"/>
  <c r="V124"/>
  <c r="W124" s="1"/>
  <c r="P126"/>
  <c r="Q126" s="1"/>
  <c r="S148"/>
  <c r="T148" s="1"/>
  <c r="S154"/>
  <c r="T154" s="1"/>
  <c r="P159"/>
  <c r="Q159" s="1"/>
  <c r="Z161"/>
  <c r="V162"/>
  <c r="V182"/>
  <c r="S187"/>
  <c r="T187" s="1"/>
  <c r="S198"/>
  <c r="T198" s="1"/>
  <c r="S202"/>
  <c r="T202" s="1"/>
  <c r="P206"/>
  <c r="V207"/>
  <c r="P210"/>
  <c r="P214"/>
  <c r="V7"/>
  <c r="P8"/>
  <c r="Q8" s="1"/>
  <c r="Z8"/>
  <c r="P9"/>
  <c r="Q9" s="1"/>
  <c r="S15"/>
  <c r="T15" s="1"/>
  <c r="S21"/>
  <c r="T21" s="1"/>
  <c r="V23"/>
  <c r="W23" s="1"/>
  <c r="S28"/>
  <c r="T28" s="1"/>
  <c r="S32"/>
  <c r="T32" s="1"/>
  <c r="V55"/>
  <c r="W55" s="1"/>
  <c r="S57"/>
  <c r="P61"/>
  <c r="Q61" s="1"/>
  <c r="P62"/>
  <c r="S63"/>
  <c r="T63" s="1"/>
  <c r="S65"/>
  <c r="S67"/>
  <c r="T67" s="1"/>
  <c r="S85"/>
  <c r="T85" s="1"/>
  <c r="S86"/>
  <c r="T86" s="1"/>
  <c r="S97"/>
  <c r="T97" s="1"/>
  <c r="S99"/>
  <c r="T99" s="1"/>
  <c r="V103"/>
  <c r="AE109"/>
  <c r="P121"/>
  <c r="Q121" s="1"/>
  <c r="S123"/>
  <c r="T123" s="1"/>
  <c r="S125"/>
  <c r="T125" s="1"/>
  <c r="Z146"/>
  <c r="P147"/>
  <c r="Q147" s="1"/>
  <c r="P148"/>
  <c r="Q148" s="1"/>
  <c r="V150"/>
  <c r="W150" s="1"/>
  <c r="V153"/>
  <c r="W153" s="1"/>
  <c r="P155"/>
  <c r="Q155" s="1"/>
  <c r="Z157"/>
  <c r="S160"/>
  <c r="T160" s="1"/>
  <c r="S162"/>
  <c r="S179"/>
  <c r="T179" s="1"/>
  <c r="P180"/>
  <c r="Q180" s="1"/>
  <c r="S182"/>
  <c r="V183"/>
  <c r="W183" s="1"/>
  <c r="P187"/>
  <c r="Q187" s="1"/>
  <c r="Z187"/>
  <c r="V199"/>
  <c r="W199" s="1"/>
  <c r="P202"/>
  <c r="Q202" s="1"/>
  <c r="Y222"/>
  <c r="P17" i="3"/>
  <c r="Q17" s="1"/>
  <c r="V58" i="5"/>
  <c r="W58" s="1"/>
  <c r="P164"/>
  <c r="Q164" s="1"/>
  <c r="P181"/>
  <c r="Q181" s="1"/>
  <c r="S203"/>
  <c r="S205"/>
  <c r="P207"/>
  <c r="P209"/>
  <c r="S211"/>
  <c r="T211" s="1"/>
  <c r="P213"/>
  <c r="AB17" i="2"/>
  <c r="AB17" i="3" s="1"/>
  <c r="V14" i="2"/>
  <c r="W14" s="1"/>
  <c r="AI166" i="5"/>
  <c r="Y188"/>
  <c r="V179"/>
  <c r="W179" s="1"/>
  <c r="V52"/>
  <c r="W52" s="1"/>
  <c r="Z52"/>
  <c r="V54"/>
  <c r="W54" s="1"/>
  <c r="Z56"/>
  <c r="Z94"/>
  <c r="Z99"/>
  <c r="Z92"/>
  <c r="Z9"/>
  <c r="Z14"/>
  <c r="Z15"/>
  <c r="Z18"/>
  <c r="Z21"/>
  <c r="Z26"/>
  <c r="Z28"/>
  <c r="Z30"/>
  <c r="Z33"/>
  <c r="Z54"/>
  <c r="Z60"/>
  <c r="Z68"/>
  <c r="Z70"/>
  <c r="Z71"/>
  <c r="AS109"/>
  <c r="Z87"/>
  <c r="Z90"/>
  <c r="Z156"/>
  <c r="Z159"/>
  <c r="Z122"/>
  <c r="Z125"/>
  <c r="Z129"/>
  <c r="Z153"/>
  <c r="Z155"/>
  <c r="Z179"/>
  <c r="Z182"/>
  <c r="Z185"/>
  <c r="Z198"/>
  <c r="Z200"/>
  <c r="Z202"/>
  <c r="Z211"/>
  <c r="AA242" i="4"/>
  <c r="AA244" i="5" s="1"/>
  <c r="V166" i="4"/>
  <c r="W109"/>
  <c r="V74"/>
  <c r="W74" s="1"/>
  <c r="S166"/>
  <c r="AB68"/>
  <c r="AC68" s="1"/>
  <c r="AB121"/>
  <c r="AC121" s="1"/>
  <c r="AB201"/>
  <c r="AC201" s="1"/>
  <c r="AB202"/>
  <c r="AC202" s="1"/>
  <c r="AB200"/>
  <c r="AC200" s="1"/>
  <c r="AB198"/>
  <c r="AC198" s="1"/>
  <c r="AB183"/>
  <c r="AC183" s="1"/>
  <c r="AB179"/>
  <c r="AC179" s="1"/>
  <c r="AB185"/>
  <c r="AC185" s="1"/>
  <c r="AB181"/>
  <c r="AC181" s="1"/>
  <c r="AB74"/>
  <c r="AC74" s="1"/>
  <c r="BF109" i="5" l="1"/>
  <c r="BK188"/>
  <c r="BK244" s="1"/>
  <c r="AH12" i="2"/>
  <c r="AT74" i="4"/>
  <c r="BN74" i="5" s="1"/>
  <c r="BA214"/>
  <c r="AS188" i="4"/>
  <c r="AS242" s="1"/>
  <c r="AH18" i="2" s="1"/>
  <c r="AV179" i="5"/>
  <c r="AW179" s="1"/>
  <c r="S16" i="3"/>
  <c r="T16" s="1"/>
  <c r="AS188" i="5"/>
  <c r="BB188" s="1"/>
  <c r="BF188" s="1"/>
  <c r="AR166"/>
  <c r="AT166" s="1"/>
  <c r="AU166" s="1"/>
  <c r="P14" i="2"/>
  <c r="Q14" s="1"/>
  <c r="P14" i="3"/>
  <c r="Q14" s="1"/>
  <c r="AM244" i="5"/>
  <c r="BV188"/>
  <c r="BL244"/>
  <c r="BV244" s="1"/>
  <c r="AC133"/>
  <c r="AB109"/>
  <c r="AC109" s="1"/>
  <c r="P16" i="3"/>
  <c r="Q16" s="1"/>
  <c r="Y12" i="2"/>
  <c r="Z12" s="1"/>
  <c r="X12" i="3"/>
  <c r="Y12" s="1"/>
  <c r="Z12" s="1"/>
  <c r="S15" i="2"/>
  <c r="T15" s="1"/>
  <c r="R15" i="3"/>
  <c r="S15" s="1"/>
  <c r="T15" s="1"/>
  <c r="Y14" i="2"/>
  <c r="Z14" s="1"/>
  <c r="X14" i="3"/>
  <c r="AC14" s="1"/>
  <c r="AD14" s="1"/>
  <c r="V12" i="2"/>
  <c r="W12" s="1"/>
  <c r="R12" i="3"/>
  <c r="V12" s="1"/>
  <c r="W12" s="1"/>
  <c r="P15" i="2"/>
  <c r="Q15" s="1"/>
  <c r="L15" i="3"/>
  <c r="V17" i="2"/>
  <c r="W17" s="1"/>
  <c r="R17" i="3"/>
  <c r="P13" i="2"/>
  <c r="Q13" s="1"/>
  <c r="L13" i="3"/>
  <c r="M13" s="1"/>
  <c r="N13" s="1"/>
  <c r="AF11" i="2"/>
  <c r="AG11" s="1"/>
  <c r="AB11" i="3"/>
  <c r="AF11" s="1"/>
  <c r="AG11" s="1"/>
  <c r="Y11" i="2"/>
  <c r="Z11" s="1"/>
  <c r="X11" i="3"/>
  <c r="Y11" s="1"/>
  <c r="Z11" s="1"/>
  <c r="S11" i="2"/>
  <c r="T11" s="1"/>
  <c r="R11" i="3"/>
  <c r="P11" i="2"/>
  <c r="Q11" s="1"/>
  <c r="L11" i="3"/>
  <c r="BC182" i="5"/>
  <c r="S13" i="3"/>
  <c r="T13" s="1"/>
  <c r="Y16" i="2"/>
  <c r="Z16" s="1"/>
  <c r="V16" i="3"/>
  <c r="W16" s="1"/>
  <c r="S13" i="2"/>
  <c r="T13" s="1"/>
  <c r="P16"/>
  <c r="Q16" s="1"/>
  <c r="S16"/>
  <c r="T16" s="1"/>
  <c r="AS166" i="5"/>
  <c r="AY167" s="1"/>
  <c r="AQ244"/>
  <c r="BB126"/>
  <c r="BC126" s="1"/>
  <c r="AP242" i="4"/>
  <c r="AD244" i="5"/>
  <c r="N166"/>
  <c r="M166"/>
  <c r="M188"/>
  <c r="N188"/>
  <c r="L18" i="2"/>
  <c r="L18" i="3" s="1"/>
  <c r="M18" s="1"/>
  <c r="N18" s="1"/>
  <c r="BB166" i="5"/>
  <c r="BF166" s="1"/>
  <c r="BC220"/>
  <c r="AI181"/>
  <c r="AJ181"/>
  <c r="AI183"/>
  <c r="AJ183"/>
  <c r="AI185"/>
  <c r="AJ185"/>
  <c r="AI179"/>
  <c r="AJ179"/>
  <c r="AJ148"/>
  <c r="AJ151"/>
  <c r="AJ153"/>
  <c r="AJ155"/>
  <c r="AJ162"/>
  <c r="AJ121"/>
  <c r="AI121"/>
  <c r="AI133" s="1"/>
  <c r="AJ123"/>
  <c r="AJ130"/>
  <c r="AJ53"/>
  <c r="AI53"/>
  <c r="AJ55"/>
  <c r="AI55"/>
  <c r="AJ57"/>
  <c r="AI57"/>
  <c r="AI61"/>
  <c r="AJ61"/>
  <c r="AI63"/>
  <c r="AJ63"/>
  <c r="AJ67"/>
  <c r="AI67"/>
  <c r="AJ69"/>
  <c r="AI69"/>
  <c r="AI71"/>
  <c r="AJ71"/>
  <c r="AJ73"/>
  <c r="AI73"/>
  <c r="AI180"/>
  <c r="AJ180"/>
  <c r="AI182"/>
  <c r="AJ182"/>
  <c r="AI184"/>
  <c r="AJ184"/>
  <c r="AI187"/>
  <c r="AJ187"/>
  <c r="AJ147"/>
  <c r="AJ152"/>
  <c r="AJ154"/>
  <c r="AJ156"/>
  <c r="AJ161"/>
  <c r="AJ124"/>
  <c r="AJ126"/>
  <c r="AJ129"/>
  <c r="AJ131"/>
  <c r="AI52"/>
  <c r="AJ52"/>
  <c r="AI54"/>
  <c r="AJ54"/>
  <c r="AI56"/>
  <c r="AJ56"/>
  <c r="AI58"/>
  <c r="AJ58"/>
  <c r="AJ60"/>
  <c r="AI60"/>
  <c r="AJ62"/>
  <c r="AI62"/>
  <c r="AJ64"/>
  <c r="AI64"/>
  <c r="AI66"/>
  <c r="AJ66"/>
  <c r="AI68"/>
  <c r="AJ68"/>
  <c r="AJ51"/>
  <c r="AI51"/>
  <c r="AJ146"/>
  <c r="AJ163"/>
  <c r="BC7"/>
  <c r="AZ43"/>
  <c r="BB43" s="1"/>
  <c r="BC123"/>
  <c r="AW150"/>
  <c r="BA150"/>
  <c r="BC158"/>
  <c r="BC179"/>
  <c r="BC155"/>
  <c r="BC181"/>
  <c r="BC124"/>
  <c r="BC129"/>
  <c r="BC148"/>
  <c r="BC156"/>
  <c r="BC152"/>
  <c r="BC161"/>
  <c r="BC151"/>
  <c r="AW220"/>
  <c r="BA220"/>
  <c r="Z51"/>
  <c r="AV156"/>
  <c r="R18" i="2"/>
  <c r="R18" i="3" s="1"/>
  <c r="Z85" i="5"/>
  <c r="AV158"/>
  <c r="AV152"/>
  <c r="AV161"/>
  <c r="AV148"/>
  <c r="AV155"/>
  <c r="AS190"/>
  <c r="AZ191" s="1"/>
  <c r="AZ192" s="1"/>
  <c r="AG166" i="4"/>
  <c r="AH166" s="1"/>
  <c r="AR242"/>
  <c r="AG133"/>
  <c r="AH133" s="1"/>
  <c r="AC17" i="3"/>
  <c r="AD17" s="1"/>
  <c r="AG74" i="4"/>
  <c r="AH74" s="1"/>
  <c r="AR188" i="5"/>
  <c r="AT188" s="1"/>
  <c r="AU188" s="1"/>
  <c r="AT179"/>
  <c r="AU179" s="1"/>
  <c r="AG200"/>
  <c r="AH200" s="1"/>
  <c r="AV200"/>
  <c r="AG202"/>
  <c r="AH202" s="1"/>
  <c r="AV202"/>
  <c r="AG204"/>
  <c r="AH204" s="1"/>
  <c r="AV204"/>
  <c r="AG206"/>
  <c r="AH206" s="1"/>
  <c r="AV206"/>
  <c r="AG208"/>
  <c r="AH208" s="1"/>
  <c r="AV208"/>
  <c r="AW208" s="1"/>
  <c r="AG210"/>
  <c r="AH210" s="1"/>
  <c r="AV210"/>
  <c r="AG212"/>
  <c r="AH212" s="1"/>
  <c r="AV212"/>
  <c r="AG215"/>
  <c r="AH215" s="1"/>
  <c r="AV215"/>
  <c r="AG217"/>
  <c r="AH217" s="1"/>
  <c r="AV217"/>
  <c r="AG219"/>
  <c r="AH219" s="1"/>
  <c r="AV219"/>
  <c r="AG198"/>
  <c r="AH198" s="1"/>
  <c r="BC222"/>
  <c r="AV198"/>
  <c r="AG160"/>
  <c r="AH160" s="1"/>
  <c r="AV160"/>
  <c r="AG162"/>
  <c r="AH162" s="1"/>
  <c r="AV162"/>
  <c r="AG121"/>
  <c r="AH121" s="1"/>
  <c r="AV121"/>
  <c r="AG125"/>
  <c r="AH125" s="1"/>
  <c r="AV125"/>
  <c r="AV127"/>
  <c r="AG127"/>
  <c r="AH127" s="1"/>
  <c r="AG130"/>
  <c r="AH130" s="1"/>
  <c r="AV130"/>
  <c r="AG53"/>
  <c r="AH53" s="1"/>
  <c r="AV53"/>
  <c r="AG59"/>
  <c r="AH59" s="1"/>
  <c r="AV59"/>
  <c r="AG61"/>
  <c r="AH61" s="1"/>
  <c r="AV61"/>
  <c r="AG71"/>
  <c r="AH71" s="1"/>
  <c r="AV71"/>
  <c r="AG73"/>
  <c r="AH73" s="1"/>
  <c r="AV73"/>
  <c r="AT222"/>
  <c r="AG149"/>
  <c r="AH149" s="1"/>
  <c r="AV149"/>
  <c r="AG154"/>
  <c r="AH154" s="1"/>
  <c r="AV154"/>
  <c r="AG159"/>
  <c r="AH159" s="1"/>
  <c r="AV159"/>
  <c r="AG163"/>
  <c r="AH163" s="1"/>
  <c r="AV163"/>
  <c r="AG126"/>
  <c r="AH126" s="1"/>
  <c r="AV126"/>
  <c r="BA126" s="1"/>
  <c r="AG131"/>
  <c r="AH131" s="1"/>
  <c r="AV131"/>
  <c r="AG87"/>
  <c r="AH87" s="1"/>
  <c r="AV87"/>
  <c r="AG89"/>
  <c r="AH89" s="1"/>
  <c r="AV89"/>
  <c r="AG92"/>
  <c r="AH92" s="1"/>
  <c r="AV92"/>
  <c r="AG94"/>
  <c r="AH94" s="1"/>
  <c r="AV94"/>
  <c r="AG96"/>
  <c r="AH96" s="1"/>
  <c r="AV96"/>
  <c r="AG98"/>
  <c r="AH98" s="1"/>
  <c r="AV98"/>
  <c r="AG100"/>
  <c r="AH100" s="1"/>
  <c r="AV100"/>
  <c r="AG102"/>
  <c r="AH102" s="1"/>
  <c r="AV102"/>
  <c r="AG104"/>
  <c r="AH104" s="1"/>
  <c r="AV104"/>
  <c r="AG108"/>
  <c r="AH108" s="1"/>
  <c r="AV108"/>
  <c r="AW108" s="1"/>
  <c r="AG52"/>
  <c r="AH52" s="1"/>
  <c r="AV52"/>
  <c r="AG54"/>
  <c r="AH54" s="1"/>
  <c r="AV54"/>
  <c r="AG56"/>
  <c r="AH56" s="1"/>
  <c r="AV56"/>
  <c r="AG58"/>
  <c r="AH58" s="1"/>
  <c r="AV58"/>
  <c r="AG60"/>
  <c r="AH60" s="1"/>
  <c r="AV60"/>
  <c r="AG62"/>
  <c r="AH62" s="1"/>
  <c r="AV62"/>
  <c r="AG64"/>
  <c r="AH64" s="1"/>
  <c r="AV64"/>
  <c r="AG66"/>
  <c r="AH66" s="1"/>
  <c r="AV66"/>
  <c r="AG68"/>
  <c r="AH68" s="1"/>
  <c r="AV68"/>
  <c r="AG70"/>
  <c r="AH70" s="1"/>
  <c r="AV70"/>
  <c r="AG72"/>
  <c r="AH72" s="1"/>
  <c r="AV72"/>
  <c r="AG51"/>
  <c r="AH51" s="1"/>
  <c r="AV51"/>
  <c r="AG9"/>
  <c r="AH9" s="1"/>
  <c r="AV9"/>
  <c r="AG11"/>
  <c r="AH11" s="1"/>
  <c r="AV11"/>
  <c r="AG13"/>
  <c r="AH13" s="1"/>
  <c r="AV13"/>
  <c r="AG15"/>
  <c r="AH15" s="1"/>
  <c r="AV15"/>
  <c r="AG18"/>
  <c r="AH18" s="1"/>
  <c r="AV18"/>
  <c r="AG20"/>
  <c r="AH20" s="1"/>
  <c r="AV20"/>
  <c r="AG22"/>
  <c r="AH22" s="1"/>
  <c r="AV22"/>
  <c r="AG24"/>
  <c r="AH24" s="1"/>
  <c r="AV24"/>
  <c r="AG26"/>
  <c r="AH26" s="1"/>
  <c r="AV26"/>
  <c r="AG28"/>
  <c r="AH28" s="1"/>
  <c r="AV28"/>
  <c r="AG30"/>
  <c r="AH30" s="1"/>
  <c r="AV30"/>
  <c r="AG32"/>
  <c r="AH32" s="1"/>
  <c r="AV32"/>
  <c r="AG34"/>
  <c r="AH34" s="1"/>
  <c r="AV34"/>
  <c r="AV38"/>
  <c r="AV151"/>
  <c r="BA151" s="1"/>
  <c r="AV43" i="4"/>
  <c r="AW43" s="1"/>
  <c r="AV109"/>
  <c r="AW109" s="1"/>
  <c r="AG109"/>
  <c r="AH109" s="1"/>
  <c r="AV222"/>
  <c r="AG222"/>
  <c r="AH222" s="1"/>
  <c r="AT76" i="5"/>
  <c r="AU76" s="1"/>
  <c r="AT74"/>
  <c r="AU74" s="1"/>
  <c r="AG183"/>
  <c r="AH183" s="1"/>
  <c r="AV183"/>
  <c r="AG185"/>
  <c r="AH185" s="1"/>
  <c r="AV185"/>
  <c r="AG179"/>
  <c r="AH179" s="1"/>
  <c r="AG153"/>
  <c r="AH153" s="1"/>
  <c r="AV153"/>
  <c r="AG146"/>
  <c r="AH146" s="1"/>
  <c r="AV146"/>
  <c r="AV123"/>
  <c r="AG123"/>
  <c r="AH123" s="1"/>
  <c r="AV132"/>
  <c r="AW132" s="1"/>
  <c r="AG132"/>
  <c r="AH132" s="1"/>
  <c r="AG86"/>
  <c r="AH86" s="1"/>
  <c r="AV86"/>
  <c r="AG88"/>
  <c r="AH88" s="1"/>
  <c r="AV88"/>
  <c r="AG90"/>
  <c r="AH90" s="1"/>
  <c r="AV90"/>
  <c r="AG93"/>
  <c r="AH93" s="1"/>
  <c r="AV93"/>
  <c r="AG95"/>
  <c r="AH95" s="1"/>
  <c r="AV95"/>
  <c r="AG97"/>
  <c r="AH97" s="1"/>
  <c r="AV97"/>
  <c r="AG99"/>
  <c r="AH99" s="1"/>
  <c r="AV99"/>
  <c r="AG101"/>
  <c r="AH101" s="1"/>
  <c r="AV101"/>
  <c r="AG103"/>
  <c r="AH103" s="1"/>
  <c r="AV103"/>
  <c r="AG105"/>
  <c r="AH105" s="1"/>
  <c r="AV105"/>
  <c r="AG109"/>
  <c r="AH109" s="1"/>
  <c r="AG85"/>
  <c r="AH85" s="1"/>
  <c r="AV85"/>
  <c r="AG55"/>
  <c r="AH55" s="1"/>
  <c r="AV55"/>
  <c r="AG57"/>
  <c r="AH57" s="1"/>
  <c r="AV57"/>
  <c r="AG63"/>
  <c r="AH63" s="1"/>
  <c r="AV63"/>
  <c r="AG65"/>
  <c r="AH65" s="1"/>
  <c r="AV65"/>
  <c r="AG67"/>
  <c r="AH67" s="1"/>
  <c r="AV67"/>
  <c r="AG69"/>
  <c r="AH69" s="1"/>
  <c r="AV69"/>
  <c r="AG8"/>
  <c r="AH8" s="1"/>
  <c r="AV8"/>
  <c r="AG10"/>
  <c r="AH10" s="1"/>
  <c r="AV10"/>
  <c r="AG12"/>
  <c r="AH12" s="1"/>
  <c r="AV12"/>
  <c r="AG14"/>
  <c r="AH14" s="1"/>
  <c r="AV14"/>
  <c r="AG16"/>
  <c r="AH16" s="1"/>
  <c r="AV16"/>
  <c r="AG19"/>
  <c r="AH19" s="1"/>
  <c r="AV19"/>
  <c r="AG21"/>
  <c r="AH21" s="1"/>
  <c r="AV21"/>
  <c r="AG23"/>
  <c r="AH23" s="1"/>
  <c r="AV23"/>
  <c r="AG25"/>
  <c r="AH25" s="1"/>
  <c r="AV25"/>
  <c r="AG27"/>
  <c r="AH27" s="1"/>
  <c r="AV27"/>
  <c r="AG29"/>
  <c r="AH29" s="1"/>
  <c r="AV29"/>
  <c r="AG31"/>
  <c r="AH31" s="1"/>
  <c r="AV31"/>
  <c r="AG33"/>
  <c r="AH33" s="1"/>
  <c r="AV33"/>
  <c r="AV35"/>
  <c r="AG7"/>
  <c r="AH7" s="1"/>
  <c r="AV7"/>
  <c r="AT126"/>
  <c r="AR133"/>
  <c r="AG199"/>
  <c r="AH199" s="1"/>
  <c r="AV199"/>
  <c r="AG201"/>
  <c r="AH201" s="1"/>
  <c r="AV201"/>
  <c r="AG203"/>
  <c r="AH203" s="1"/>
  <c r="AV203"/>
  <c r="AG205"/>
  <c r="AH205" s="1"/>
  <c r="AV205"/>
  <c r="AG207"/>
  <c r="AH207" s="1"/>
  <c r="AV207"/>
  <c r="AG209"/>
  <c r="AH209" s="1"/>
  <c r="AV209"/>
  <c r="AG211"/>
  <c r="AH211" s="1"/>
  <c r="AV211"/>
  <c r="AG213"/>
  <c r="AH213" s="1"/>
  <c r="AV213"/>
  <c r="AG216"/>
  <c r="AH216" s="1"/>
  <c r="AV216"/>
  <c r="AG218"/>
  <c r="AH218" s="1"/>
  <c r="AV218"/>
  <c r="AG180"/>
  <c r="AH180" s="1"/>
  <c r="AV180"/>
  <c r="AG182"/>
  <c r="AH182" s="1"/>
  <c r="AV182"/>
  <c r="AG184"/>
  <c r="AH184" s="1"/>
  <c r="AV184"/>
  <c r="AG187"/>
  <c r="AH187" s="1"/>
  <c r="AV187"/>
  <c r="AG147"/>
  <c r="AH147" s="1"/>
  <c r="AV147"/>
  <c r="AG122"/>
  <c r="AH122" s="1"/>
  <c r="AV122"/>
  <c r="AG124"/>
  <c r="AH124" s="1"/>
  <c r="AV124"/>
  <c r="AG129"/>
  <c r="AH129" s="1"/>
  <c r="AV129"/>
  <c r="AG120"/>
  <c r="AH120" s="1"/>
  <c r="AV120"/>
  <c r="AV111" i="4"/>
  <c r="AW111" s="1"/>
  <c r="AV181" i="5"/>
  <c r="Z109"/>
  <c r="Z133"/>
  <c r="Z74"/>
  <c r="Z41"/>
  <c r="W7"/>
  <c r="W41"/>
  <c r="W51"/>
  <c r="V74"/>
  <c r="W74" s="1"/>
  <c r="AE244"/>
  <c r="AB244"/>
  <c r="AC244" s="1"/>
  <c r="W85"/>
  <c r="V109"/>
  <c r="W109" s="1"/>
  <c r="W121"/>
  <c r="V133"/>
  <c r="W133" s="1"/>
  <c r="AV133" i="4"/>
  <c r="AF14" i="3"/>
  <c r="AG14" s="1"/>
  <c r="U18" i="2"/>
  <c r="U18" i="3" s="1"/>
  <c r="V16" i="2"/>
  <c r="W16" s="1"/>
  <c r="AV74" i="4"/>
  <c r="AW74" s="1"/>
  <c r="AW51"/>
  <c r="AV166"/>
  <c r="AW166" s="1"/>
  <c r="AW146"/>
  <c r="AJ166"/>
  <c r="AJ133"/>
  <c r="AJ188"/>
  <c r="AJ74"/>
  <c r="AI74"/>
  <c r="AV41"/>
  <c r="AW41" s="1"/>
  <c r="AI188"/>
  <c r="V11" i="2"/>
  <c r="W11" s="1"/>
  <c r="S17"/>
  <c r="T17" s="1"/>
  <c r="AC11"/>
  <c r="AD11" s="1"/>
  <c r="X18"/>
  <c r="X18" i="3" s="1"/>
  <c r="Y242" i="4"/>
  <c r="Z242" s="1"/>
  <c r="AC16" i="3"/>
  <c r="AD16" s="1"/>
  <c r="Y17"/>
  <c r="Z17" s="1"/>
  <c r="AF13"/>
  <c r="AG13" s="1"/>
  <c r="AC17" i="2"/>
  <c r="AD17" s="1"/>
  <c r="AC15" i="3"/>
  <c r="AD15" s="1"/>
  <c r="AA12"/>
  <c r="V242" i="4"/>
  <c r="W242" s="1"/>
  <c r="Y17" i="2"/>
  <c r="Z17" s="1"/>
  <c r="AF13"/>
  <c r="AG13" s="1"/>
  <c r="AC12"/>
  <c r="AD12" s="1"/>
  <c r="P166" i="5"/>
  <c r="Q166" s="1"/>
  <c r="AA15" i="3"/>
  <c r="V13" i="2"/>
  <c r="W13" s="1"/>
  <c r="AA11"/>
  <c r="S133" i="5"/>
  <c r="T133" s="1"/>
  <c r="V14" i="3"/>
  <c r="W14" s="1"/>
  <c r="P109" i="5"/>
  <c r="Q109" s="1"/>
  <c r="AC13" i="2"/>
  <c r="AD13" s="1"/>
  <c r="Y13"/>
  <c r="Z13" s="1"/>
  <c r="S109" i="5"/>
  <c r="T109" s="1"/>
  <c r="S222"/>
  <c r="T222" s="1"/>
  <c r="Z188"/>
  <c r="S74"/>
  <c r="T74" s="1"/>
  <c r="AC16" i="2"/>
  <c r="AD16" s="1"/>
  <c r="V15"/>
  <c r="W15" s="1"/>
  <c r="AC14"/>
  <c r="AD14" s="1"/>
  <c r="Y15" i="3"/>
  <c r="Z15" s="1"/>
  <c r="AF12"/>
  <c r="AG12" s="1"/>
  <c r="AC15" i="2"/>
  <c r="AD15" s="1"/>
  <c r="W166" i="5"/>
  <c r="P17" i="2"/>
  <c r="Q17" s="1"/>
  <c r="Y15"/>
  <c r="Z15" s="1"/>
  <c r="Y16" i="3"/>
  <c r="Z16" s="1"/>
  <c r="AF15"/>
  <c r="AG15" s="1"/>
  <c r="V222" i="5"/>
  <c r="W222" s="1"/>
  <c r="Y13" i="3"/>
  <c r="Z13" s="1"/>
  <c r="Z222" i="5"/>
  <c r="P133"/>
  <c r="Q133" s="1"/>
  <c r="P188"/>
  <c r="Q188" s="1"/>
  <c r="P222"/>
  <c r="Q222" s="1"/>
  <c r="S188"/>
  <c r="T188" s="1"/>
  <c r="P74"/>
  <c r="Q74" s="1"/>
  <c r="V166"/>
  <c r="AF17" i="2"/>
  <c r="AG17" s="1"/>
  <c r="S166" i="5"/>
  <c r="T166" s="1"/>
  <c r="AF12" i="2"/>
  <c r="AG12" s="1"/>
  <c r="AF14"/>
  <c r="AG14" s="1"/>
  <c r="AB166" i="5"/>
  <c r="AC166" s="1"/>
  <c r="AA18" i="2"/>
  <c r="AA18" i="3"/>
  <c r="AC13"/>
  <c r="AD13" s="1"/>
  <c r="AF15" i="2"/>
  <c r="AG15" s="1"/>
  <c r="AF17" i="3"/>
  <c r="AG17" s="1"/>
  <c r="V188" i="5"/>
  <c r="W188" s="1"/>
  <c r="AB242" i="4"/>
  <c r="AC242" s="1"/>
  <c r="AB18" i="2"/>
  <c r="AB18" i="3" s="1"/>
  <c r="Z121" i="5"/>
  <c r="Z7"/>
  <c r="Y166"/>
  <c r="Z166" s="1"/>
  <c r="T166" i="4"/>
  <c r="BA179" i="5" l="1"/>
  <c r="AT188" i="4"/>
  <c r="AU188" s="1"/>
  <c r="AU74"/>
  <c r="BM188"/>
  <c r="AH16" i="2"/>
  <c r="AL16" s="1"/>
  <c r="AM16" s="1"/>
  <c r="AT168" i="5"/>
  <c r="AU168" s="1"/>
  <c r="AI74"/>
  <c r="AI188"/>
  <c r="Y14" i="3"/>
  <c r="Z14" s="1"/>
  <c r="AC12"/>
  <c r="AD12" s="1"/>
  <c r="AS244" i="5"/>
  <c r="V15" i="3"/>
  <c r="W15" s="1"/>
  <c r="AC11"/>
  <c r="AD11" s="1"/>
  <c r="AL18" i="2"/>
  <c r="AM18" s="1"/>
  <c r="AH18" i="3"/>
  <c r="AL18" s="1"/>
  <c r="AM18" s="1"/>
  <c r="BL242" i="5"/>
  <c r="BM242" i="4"/>
  <c r="BP188"/>
  <c r="BB133" i="5"/>
  <c r="BF133" s="1"/>
  <c r="V17" i="3"/>
  <c r="W17" s="1"/>
  <c r="S17"/>
  <c r="T17" s="1"/>
  <c r="M15"/>
  <c r="N15" s="1"/>
  <c r="P15"/>
  <c r="Q15" s="1"/>
  <c r="P13"/>
  <c r="Q13" s="1"/>
  <c r="S11"/>
  <c r="T11" s="1"/>
  <c r="V11"/>
  <c r="W11" s="1"/>
  <c r="P11"/>
  <c r="Q11" s="1"/>
  <c r="M11"/>
  <c r="N11" s="1"/>
  <c r="V18"/>
  <c r="W18" s="1"/>
  <c r="Y18"/>
  <c r="Z18" s="1"/>
  <c r="AJ74" i="5"/>
  <c r="AJ166"/>
  <c r="AJ188"/>
  <c r="BC166"/>
  <c r="M244"/>
  <c r="N244"/>
  <c r="AJ133"/>
  <c r="AV168"/>
  <c r="AW168" s="1"/>
  <c r="AZ222"/>
  <c r="AW181"/>
  <c r="BA181"/>
  <c r="AW120"/>
  <c r="BA120"/>
  <c r="AW69"/>
  <c r="BA69"/>
  <c r="AW67"/>
  <c r="BA67"/>
  <c r="AW65"/>
  <c r="BA65"/>
  <c r="AW63"/>
  <c r="BA63"/>
  <c r="AW57"/>
  <c r="BA57"/>
  <c r="AW55"/>
  <c r="BA55"/>
  <c r="AW123"/>
  <c r="BA123"/>
  <c r="AW153"/>
  <c r="BA153"/>
  <c r="AW185"/>
  <c r="BA185"/>
  <c r="AW183"/>
  <c r="BA183"/>
  <c r="AW72"/>
  <c r="BA72"/>
  <c r="AW70"/>
  <c r="BA70"/>
  <c r="AW68"/>
  <c r="BA68"/>
  <c r="AW66"/>
  <c r="BA66"/>
  <c r="AW64"/>
  <c r="BA64"/>
  <c r="AW62"/>
  <c r="BA62"/>
  <c r="AW60"/>
  <c r="BA60"/>
  <c r="AW58"/>
  <c r="BA58"/>
  <c r="AW56"/>
  <c r="BA56"/>
  <c r="AW54"/>
  <c r="BA54"/>
  <c r="AW52"/>
  <c r="BA52"/>
  <c r="AW131"/>
  <c r="BA131"/>
  <c r="AW163"/>
  <c r="BA163"/>
  <c r="AW159"/>
  <c r="BA159"/>
  <c r="AW154"/>
  <c r="BA154"/>
  <c r="AW149"/>
  <c r="BA149"/>
  <c r="AW127"/>
  <c r="BA127"/>
  <c r="AW148"/>
  <c r="BA148"/>
  <c r="AW152"/>
  <c r="BA152"/>
  <c r="AW156"/>
  <c r="BA156"/>
  <c r="AW129"/>
  <c r="BA129"/>
  <c r="AW124"/>
  <c r="BA124"/>
  <c r="AW122"/>
  <c r="BA122"/>
  <c r="AW147"/>
  <c r="BA147"/>
  <c r="AW187"/>
  <c r="BA187"/>
  <c r="AW184"/>
  <c r="BA184"/>
  <c r="AW182"/>
  <c r="BA182"/>
  <c r="AW180"/>
  <c r="BA180"/>
  <c r="AW146"/>
  <c r="BA146"/>
  <c r="AW51"/>
  <c r="BA51"/>
  <c r="BC74"/>
  <c r="AW73"/>
  <c r="BA73"/>
  <c r="AW71"/>
  <c r="BA71"/>
  <c r="AW61"/>
  <c r="BA61"/>
  <c r="AW59"/>
  <c r="BA59"/>
  <c r="AW53"/>
  <c r="BA53"/>
  <c r="AW130"/>
  <c r="BA130"/>
  <c r="AW125"/>
  <c r="BA125"/>
  <c r="AW121"/>
  <c r="BA121"/>
  <c r="AW162"/>
  <c r="BA162"/>
  <c r="AW160"/>
  <c r="BA160"/>
  <c r="AW155"/>
  <c r="BA155"/>
  <c r="AW161"/>
  <c r="BA161"/>
  <c r="AW158"/>
  <c r="BA158"/>
  <c r="AW218"/>
  <c r="BA218"/>
  <c r="AW213"/>
  <c r="BA213"/>
  <c r="AW209"/>
  <c r="BA209"/>
  <c r="AW205"/>
  <c r="BA205"/>
  <c r="AW201"/>
  <c r="BA201"/>
  <c r="AW105"/>
  <c r="BA105"/>
  <c r="AW101"/>
  <c r="BA101"/>
  <c r="AW97"/>
  <c r="BA97"/>
  <c r="AW93"/>
  <c r="BA93"/>
  <c r="AW88"/>
  <c r="BA88"/>
  <c r="AW34"/>
  <c r="BA34"/>
  <c r="AW30"/>
  <c r="BA30"/>
  <c r="AW26"/>
  <c r="BA26"/>
  <c r="AW22"/>
  <c r="BA22"/>
  <c r="AW18"/>
  <c r="BA18"/>
  <c r="AW13"/>
  <c r="BA13"/>
  <c r="AW9"/>
  <c r="BA9"/>
  <c r="AW33"/>
  <c r="BA33"/>
  <c r="AW29"/>
  <c r="BA29"/>
  <c r="AW25"/>
  <c r="BA25"/>
  <c r="AW21"/>
  <c r="BA21"/>
  <c r="AW16"/>
  <c r="BA16"/>
  <c r="AW12"/>
  <c r="BA12"/>
  <c r="AW8"/>
  <c r="BA8"/>
  <c r="AW102"/>
  <c r="BA102"/>
  <c r="AW98"/>
  <c r="BA98"/>
  <c r="AW94"/>
  <c r="BA94"/>
  <c r="AW89"/>
  <c r="BA89"/>
  <c r="AW217"/>
  <c r="BA217"/>
  <c r="AW212"/>
  <c r="BA212"/>
  <c r="AW204"/>
  <c r="BA204"/>
  <c r="AW200"/>
  <c r="BA200"/>
  <c r="AZ111"/>
  <c r="BB111" s="1"/>
  <c r="AW216"/>
  <c r="BA216"/>
  <c r="AW211"/>
  <c r="BA211"/>
  <c r="AW207"/>
  <c r="BA207"/>
  <c r="AW203"/>
  <c r="BA203"/>
  <c r="AW199"/>
  <c r="BA199"/>
  <c r="AW7"/>
  <c r="BA7"/>
  <c r="AW103"/>
  <c r="BA103"/>
  <c r="AW99"/>
  <c r="BA99"/>
  <c r="AW95"/>
  <c r="BA95"/>
  <c r="AW90"/>
  <c r="BA90"/>
  <c r="AW86"/>
  <c r="BA86"/>
  <c r="AW151"/>
  <c r="AW38"/>
  <c r="BA38"/>
  <c r="AW32"/>
  <c r="BA32"/>
  <c r="AW28"/>
  <c r="BA28"/>
  <c r="AW24"/>
  <c r="BA24"/>
  <c r="AW20"/>
  <c r="BA20"/>
  <c r="AW15"/>
  <c r="BA15"/>
  <c r="AW11"/>
  <c r="BA11"/>
  <c r="AW198"/>
  <c r="BA198"/>
  <c r="AW35"/>
  <c r="BA35"/>
  <c r="AW31"/>
  <c r="BA31"/>
  <c r="AW27"/>
  <c r="BA27"/>
  <c r="AW23"/>
  <c r="BA23"/>
  <c r="AW19"/>
  <c r="BA19"/>
  <c r="AW14"/>
  <c r="BA14"/>
  <c r="AW10"/>
  <c r="BA10"/>
  <c r="AW85"/>
  <c r="BA85"/>
  <c r="AW104"/>
  <c r="BA104"/>
  <c r="AW100"/>
  <c r="BA100"/>
  <c r="AW96"/>
  <c r="BA96"/>
  <c r="AW92"/>
  <c r="BA92"/>
  <c r="AW87"/>
  <c r="BA87"/>
  <c r="AW126"/>
  <c r="AW219"/>
  <c r="BA219"/>
  <c r="AW215"/>
  <c r="BA215"/>
  <c r="AW210"/>
  <c r="BA210"/>
  <c r="AW206"/>
  <c r="BA206"/>
  <c r="AW202"/>
  <c r="BA202"/>
  <c r="Y18" i="2"/>
  <c r="Z18" s="1"/>
  <c r="V18"/>
  <c r="W18" s="1"/>
  <c r="AI242" i="4"/>
  <c r="AV109" i="5"/>
  <c r="AW109" s="1"/>
  <c r="AV135" i="4"/>
  <c r="AW135" s="1"/>
  <c r="AR190" i="5"/>
  <c r="AT190" s="1"/>
  <c r="AU190" s="1"/>
  <c r="AV168" i="4"/>
  <c r="AW168" s="1"/>
  <c r="AR244" i="5"/>
  <c r="AT135"/>
  <c r="AU135" s="1"/>
  <c r="AU126"/>
  <c r="AT133"/>
  <c r="AU133" s="1"/>
  <c r="AV76" i="4"/>
  <c r="AW76" s="1"/>
  <c r="AJ242"/>
  <c r="AV111" i="5"/>
  <c r="AW111" s="1"/>
  <c r="AG133"/>
  <c r="AH133" s="1"/>
  <c r="AV133"/>
  <c r="AW133" s="1"/>
  <c r="AV43"/>
  <c r="AW43" s="1"/>
  <c r="AG41"/>
  <c r="AH41" s="1"/>
  <c r="AV41"/>
  <c r="AW41" s="1"/>
  <c r="AV166"/>
  <c r="AW166" s="1"/>
  <c r="AG166"/>
  <c r="AH166" s="1"/>
  <c r="AW222" i="4"/>
  <c r="AG74" i="5"/>
  <c r="AH74" s="1"/>
  <c r="AV74"/>
  <c r="AW74" s="1"/>
  <c r="AU222"/>
  <c r="AG222"/>
  <c r="AH222" s="1"/>
  <c r="AV222"/>
  <c r="AW222" s="1"/>
  <c r="Y244"/>
  <c r="Z244" s="1"/>
  <c r="AW133" i="4"/>
  <c r="V244" i="5"/>
  <c r="W244" s="1"/>
  <c r="AC18" i="2"/>
  <c r="AD18" s="1"/>
  <c r="AC18" i="3"/>
  <c r="AD18" s="1"/>
  <c r="AU109" i="5"/>
  <c r="AT242" i="4" l="1"/>
  <c r="AU242" s="1"/>
  <c r="AH16" i="3"/>
  <c r="AL16" s="1"/>
  <c r="AM16" s="1"/>
  <c r="AI244" i="5"/>
  <c r="BM244"/>
  <c r="BP242" i="4"/>
  <c r="BV242" i="5"/>
  <c r="BC133"/>
  <c r="AJ244"/>
  <c r="AY168"/>
  <c r="AO243" i="4"/>
  <c r="AV135" i="5"/>
  <c r="AW135" s="1"/>
  <c r="AZ135"/>
  <c r="AZ136" s="1"/>
  <c r="BA166"/>
  <c r="BA133"/>
  <c r="AV76"/>
  <c r="AW76" s="1"/>
  <c r="AS75"/>
  <c r="AT244"/>
  <c r="AU244" s="1"/>
  <c r="P7"/>
  <c r="Q7" s="1"/>
  <c r="S7"/>
  <c r="T7" s="1"/>
  <c r="BM242" l="1"/>
  <c r="BN242" s="1"/>
  <c r="S41"/>
  <c r="T41" s="1"/>
  <c r="P41"/>
  <c r="Q41" s="1"/>
  <c r="S74" i="4" l="1"/>
  <c r="T74" s="1"/>
  <c r="O12" i="2"/>
  <c r="P74" i="4"/>
  <c r="Q74" s="1"/>
  <c r="O242"/>
  <c r="P12" i="2" l="1"/>
  <c r="Q12" s="1"/>
  <c r="O12" i="3"/>
  <c r="P12" s="1"/>
  <c r="Q12" s="1"/>
  <c r="O244" i="5"/>
  <c r="P244" s="1"/>
  <c r="Q244" s="1"/>
  <c r="P242" i="4"/>
  <c r="Q242" s="1"/>
  <c r="S12" i="2"/>
  <c r="T12" s="1"/>
  <c r="O18"/>
  <c r="O18" i="3" s="1"/>
  <c r="S242" i="4"/>
  <c r="T242" s="1"/>
  <c r="S12" i="3" l="1"/>
  <c r="T12" s="1"/>
  <c r="S244" i="5"/>
  <c r="T244" s="1"/>
  <c r="P18" i="3"/>
  <c r="Q18" s="1"/>
  <c r="S18"/>
  <c r="T18" s="1"/>
  <c r="P18" i="2"/>
  <c r="Q18" s="1"/>
  <c r="S18"/>
  <c r="T18" s="1"/>
  <c r="E244" i="5" l="1"/>
  <c r="D244"/>
  <c r="BF41" i="4"/>
  <c r="BG41" s="1"/>
  <c r="BR41" i="5"/>
  <c r="BY41" s="1"/>
  <c r="BZ41" s="1"/>
  <c r="AL11" i="3"/>
  <c r="AM11" s="1"/>
  <c r="BS41" i="5" l="1"/>
  <c r="BT41" s="1"/>
  <c r="BR244"/>
  <c r="BY244" s="1"/>
  <c r="BZ244" s="1"/>
  <c r="BF74" i="4"/>
  <c r="BG74" s="1"/>
  <c r="AY74"/>
  <c r="AZ74" s="1"/>
  <c r="BO74" i="5"/>
  <c r="BP74" s="1"/>
  <c r="BQ74" s="1"/>
  <c r="AI12" i="2"/>
  <c r="AJ12" s="1"/>
  <c r="BS244" i="5" l="1"/>
  <c r="BT244" s="1"/>
  <c r="AH12" i="3"/>
  <c r="AI12" s="1"/>
  <c r="AJ12" s="1"/>
  <c r="BS74" i="5"/>
  <c r="BT74" s="1"/>
  <c r="AL12" i="2"/>
  <c r="AM12" s="1"/>
  <c r="AY188" i="4"/>
  <c r="AZ188" s="1"/>
  <c r="AV190"/>
  <c r="AW190" s="1"/>
  <c r="AG188"/>
  <c r="AH188" s="1"/>
  <c r="AF188" i="5"/>
  <c r="BM188" s="1"/>
  <c r="AE16" i="2"/>
  <c r="AI16" s="1"/>
  <c r="AJ16" s="1"/>
  <c r="AV188" i="4"/>
  <c r="AW188" s="1"/>
  <c r="AQ242"/>
  <c r="BC188" i="5" l="1"/>
  <c r="BN188"/>
  <c r="AL12" i="3"/>
  <c r="AM12" s="1"/>
  <c r="AF16" i="2"/>
  <c r="AG16" s="1"/>
  <c r="AV242" i="4"/>
  <c r="AW242" s="1"/>
  <c r="AE16" i="3"/>
  <c r="AI16" s="1"/>
  <c r="AJ16" s="1"/>
  <c r="BP188" i="5"/>
  <c r="BQ188" s="1"/>
  <c r="AE18" i="2"/>
  <c r="AG242" i="4"/>
  <c r="AH242" s="1"/>
  <c r="AY242"/>
  <c r="AZ242" s="1"/>
  <c r="AV190" i="5"/>
  <c r="AW190" s="1"/>
  <c r="AF244"/>
  <c r="BN244" s="1"/>
  <c r="AZ193"/>
  <c r="AG188"/>
  <c r="AH188" s="1"/>
  <c r="AV188"/>
  <c r="AF16" i="3" l="1"/>
  <c r="AG16" s="1"/>
  <c r="BA188" i="5"/>
  <c r="AW188"/>
  <c r="AE18" i="3"/>
  <c r="AI18" i="2"/>
  <c r="AJ18" s="1"/>
  <c r="AF18"/>
  <c r="AG18" s="1"/>
  <c r="AG244" i="5"/>
  <c r="AH244" s="1"/>
  <c r="AV244"/>
  <c r="AW244" s="1"/>
  <c r="BP244"/>
  <c r="BQ244" s="1"/>
  <c r="AI18" i="3" l="1"/>
  <c r="AJ18" s="1"/>
  <c r="AF18"/>
  <c r="AG18" s="1"/>
</calcChain>
</file>

<file path=xl/comments1.xml><?xml version="1.0" encoding="utf-8"?>
<comments xmlns="http://schemas.openxmlformats.org/spreadsheetml/2006/main">
  <authors>
    <author>Jenny Reed</author>
    <author>Ed Lazere</author>
    <author>gajdeczka</author>
  </authors>
  <commentList>
    <comment ref="BN21" authorId="0" guid="{0946B5CA-D7BE-4127-829B-D4F0ACD0C755}">
      <text>
        <r>
          <rPr>
            <b/>
            <sz val="8"/>
            <color indexed="81"/>
            <rFont val="Tahoma"/>
            <family val="2"/>
          </rPr>
          <t>Jenny Reed:</t>
        </r>
        <r>
          <rPr>
            <sz val="8"/>
            <color indexed="81"/>
            <rFont val="Tahoma"/>
            <family val="2"/>
          </rPr>
          <t xml:space="preserve">
Removed $1.36 mil that had been shifted from DDOT
</t>
        </r>
      </text>
    </comment>
    <comment ref="BE25" authorId="1" guid="{95F388C9-A991-43DD-A81F-E3B12F95F37A}">
      <text>
        <r>
          <rPr>
            <b/>
            <sz val="9"/>
            <color indexed="81"/>
            <rFont val="Tahoma"/>
            <family val="2"/>
          </rPr>
          <t>Ed Lazere:</t>
        </r>
        <r>
          <rPr>
            <sz val="9"/>
            <color indexed="81"/>
            <rFont val="Tahoma"/>
            <family val="2"/>
          </rPr>
          <t xml:space="preserve">
See Budget Shifts tab &amp; FY2013 notes tab
</t>
        </r>
      </text>
    </comment>
    <comment ref="BN25" authorId="1" guid="{9F54E7AE-FDF7-4C85-AF21-034078663D7F}">
      <text>
        <r>
          <rPr>
            <b/>
            <sz val="9"/>
            <color indexed="81"/>
            <rFont val="Tahoma"/>
            <family val="2"/>
          </rPr>
          <t>Ed Lazere:</t>
        </r>
        <r>
          <rPr>
            <sz val="9"/>
            <color indexed="81"/>
            <rFont val="Tahoma"/>
            <family val="2"/>
          </rPr>
          <t xml:space="preserve">
see Budget Shifts tab
</t>
        </r>
      </text>
    </comment>
    <comment ref="BN34" authorId="0" guid="{771E8A8A-E31E-4B30-9136-3F6985B12BF3}">
      <text>
        <r>
          <rPr>
            <b/>
            <sz val="8"/>
            <color indexed="81"/>
            <rFont val="Tahoma"/>
            <family val="2"/>
          </rPr>
          <t>Jenny Reed:</t>
        </r>
        <r>
          <rPr>
            <sz val="8"/>
            <color indexed="81"/>
            <rFont val="Tahoma"/>
            <family val="2"/>
          </rPr>
          <t xml:space="preserve">
Removed $2.2 million that had been shifted from DMV to OTR
</t>
        </r>
      </text>
    </comment>
    <comment ref="BE37" authorId="1" guid="{EF45F922-4B3B-4188-98FC-55F65ED1D03C}">
      <text>
        <r>
          <rPr>
            <b/>
            <sz val="9"/>
            <color indexed="81"/>
            <rFont val="Tahoma"/>
            <family val="2"/>
          </rPr>
          <t>Ed Lazere:</t>
        </r>
        <r>
          <rPr>
            <sz val="9"/>
            <color indexed="81"/>
            <rFont val="Tahoma"/>
            <family val="2"/>
          </rPr>
          <t xml:space="preserve">
This was moved into Dep Mayor for Pub Sfety
</t>
        </r>
      </text>
    </comment>
    <comment ref="BN85" authorId="1" guid="{73B653A3-FB37-419C-984B-0D91E7E90998}">
      <text>
        <r>
          <rPr>
            <b/>
            <sz val="9"/>
            <color indexed="81"/>
            <rFont val="Tahoma"/>
            <family val="2"/>
          </rPr>
          <t>Ed Lazere:</t>
        </r>
        <r>
          <rPr>
            <sz val="9"/>
            <color indexed="81"/>
            <rFont val="Tahoma"/>
            <family val="2"/>
          </rPr>
          <t xml:space="preserve">
see Budget Shifts tab
</t>
        </r>
      </text>
    </comment>
    <comment ref="BN100" authorId="1" guid="{A7F0BABC-B92D-46FF-A7DD-062DDC8600E1}">
      <text>
        <r>
          <rPr>
            <b/>
            <sz val="9"/>
            <color indexed="81"/>
            <rFont val="Tahoma"/>
            <family val="2"/>
          </rPr>
          <t>Ed Lazere:</t>
        </r>
        <r>
          <rPr>
            <sz val="9"/>
            <color indexed="81"/>
            <rFont val="Tahoma"/>
            <family val="2"/>
          </rPr>
          <t xml:space="preserve">
see Budget Shifts tab
</t>
        </r>
      </text>
    </comment>
    <comment ref="AX121" authorId="0" guid="{C6EA9A1E-F6B3-4B4B-A5F3-2B8257FB79F1}">
      <text>
        <r>
          <rPr>
            <b/>
            <sz val="8"/>
            <color indexed="81"/>
            <rFont val="Tahoma"/>
            <family val="2"/>
          </rPr>
          <t>Jenny Reed:</t>
        </r>
        <r>
          <rPr>
            <sz val="8"/>
            <color indexed="81"/>
            <rFont val="Tahoma"/>
            <family val="2"/>
          </rPr>
          <t xml:space="preserve">
Added $11 million to account for stimulus money lost in FY 2012
</t>
        </r>
      </text>
    </comment>
    <comment ref="AX124" authorId="0" guid="{3DB589BE-2D02-408B-A677-49A445A0ACDD}">
      <text>
        <r>
          <rPr>
            <b/>
            <sz val="8"/>
            <color indexed="81"/>
            <rFont val="Tahoma"/>
            <family val="2"/>
          </rPr>
          <t>Jenny Reed:</t>
        </r>
        <r>
          <rPr>
            <sz val="8"/>
            <color indexed="81"/>
            <rFont val="Tahoma"/>
            <family val="2"/>
          </rPr>
          <t xml:space="preserve">
Added $7m to account for loss of stimulus money in FY 2012
</t>
        </r>
      </text>
    </comment>
    <comment ref="BE129" authorId="1" guid="{BE5500AE-980E-449B-B039-ECC44CA18547}">
      <text>
        <r>
          <rPr>
            <b/>
            <sz val="9"/>
            <color indexed="81"/>
            <rFont val="Tahoma"/>
            <family val="2"/>
          </rPr>
          <t>Ed Lazere:</t>
        </r>
        <r>
          <rPr>
            <sz val="9"/>
            <color indexed="81"/>
            <rFont val="Tahoma"/>
            <family val="2"/>
          </rPr>
          <t xml:space="preserve">
see Budget Shifts tab
</t>
        </r>
      </text>
    </comment>
    <comment ref="BN129" authorId="1" guid="{6C6F303B-FB55-42A3-B516-2885CC0971D3}">
      <text>
        <r>
          <rPr>
            <b/>
            <sz val="9"/>
            <color indexed="81"/>
            <rFont val="Tahoma"/>
            <family val="2"/>
          </rPr>
          <t>Ed Lazere:</t>
        </r>
        <r>
          <rPr>
            <sz val="9"/>
            <color indexed="81"/>
            <rFont val="Tahoma"/>
            <family val="2"/>
          </rPr>
          <t xml:space="preserve">
See Budget Shifts tab
</t>
        </r>
      </text>
    </comment>
    <comment ref="AP133" authorId="0" guid="{AE3FB40A-0B9E-4A2D-9C14-3EC40CCA27E1}">
      <text>
        <r>
          <rPr>
            <b/>
            <sz val="8"/>
            <color indexed="81"/>
            <rFont val="Tahoma"/>
            <family val="2"/>
          </rPr>
          <t>Jenny Reed:</t>
        </r>
        <r>
          <rPr>
            <sz val="8"/>
            <color indexed="81"/>
            <rFont val="Tahoma"/>
            <family val="2"/>
          </rPr>
          <t xml:space="preserve">
Note: Many agencies were excepted from the fixed cost shift in FY 2011 (ones with MOE matches).  
</t>
        </r>
      </text>
    </comment>
    <comment ref="AX146" authorId="0" guid="{8C4C05E2-431B-41BA-90CA-FAA3399AF088}">
      <text>
        <r>
          <rPr>
            <b/>
            <sz val="8"/>
            <color indexed="81"/>
            <rFont val="Tahoma"/>
            <family val="2"/>
          </rPr>
          <t>Jenny Reed:</t>
        </r>
        <r>
          <rPr>
            <sz val="8"/>
            <color indexed="81"/>
            <rFont val="Tahoma"/>
            <family val="2"/>
          </rPr>
          <t xml:space="preserve">
Added $14 million to account for loss of stimulus money in FY 2012
</t>
        </r>
      </text>
    </comment>
    <comment ref="BN150" authorId="1" guid="{6CB1ABB0-25C3-46AB-97AC-0C17BD506C4D}">
      <text>
        <r>
          <rPr>
            <b/>
            <sz val="9"/>
            <color indexed="81"/>
            <rFont val="Tahoma"/>
            <family val="2"/>
          </rPr>
          <t>Ed Lazere:</t>
        </r>
        <r>
          <rPr>
            <sz val="9"/>
            <color indexed="81"/>
            <rFont val="Tahoma"/>
            <family val="2"/>
          </rPr>
          <t xml:space="preserve">
See Budget Shifts tab
</t>
        </r>
      </text>
    </comment>
    <comment ref="BE151" authorId="1" guid="{56A3623A-7501-4370-9D7C-65DF1A37E31B}">
      <text>
        <r>
          <rPr>
            <b/>
            <sz val="9"/>
            <color indexed="81"/>
            <rFont val="Tahoma"/>
            <family val="2"/>
          </rPr>
          <t>Ed Lazere:</t>
        </r>
        <r>
          <rPr>
            <sz val="9"/>
            <color indexed="81"/>
            <rFont val="Tahoma"/>
            <family val="2"/>
          </rPr>
          <t xml:space="preserve">
see Budget Shifts tab
</t>
        </r>
      </text>
    </comment>
    <comment ref="BN151" authorId="1" guid="{C86E8E91-8451-4477-89CF-34FADEEA05A3}">
      <text>
        <r>
          <rPr>
            <b/>
            <sz val="9"/>
            <color indexed="81"/>
            <rFont val="Tahoma"/>
            <family val="2"/>
          </rPr>
          <t>Ed Lazere:</t>
        </r>
        <r>
          <rPr>
            <sz val="9"/>
            <color indexed="81"/>
            <rFont val="Tahoma"/>
            <family val="2"/>
          </rPr>
          <t xml:space="preserve">
see Budget Shifts tab
</t>
        </r>
      </text>
    </comment>
    <comment ref="AX163" authorId="0" guid="{F3621B1B-3519-4CDE-A0A0-CFC793F9EEF3}">
      <text>
        <r>
          <rPr>
            <b/>
            <sz val="8"/>
            <color indexed="81"/>
            <rFont val="Tahoma"/>
            <family val="2"/>
          </rPr>
          <t>Jenny Reed:</t>
        </r>
        <r>
          <rPr>
            <sz val="8"/>
            <color indexed="81"/>
            <rFont val="Tahoma"/>
            <family val="2"/>
          </rPr>
          <t xml:space="preserve">
Added $80.7 m to account for stimulus
</t>
        </r>
      </text>
    </comment>
    <comment ref="BN180" authorId="0" guid="{C406E86D-3C26-48D2-95F1-4F52DBA32C84}">
      <text>
        <r>
          <rPr>
            <b/>
            <sz val="8"/>
            <color indexed="81"/>
            <rFont val="Tahoma"/>
            <family val="2"/>
          </rPr>
          <t>Jenny Reed:</t>
        </r>
        <r>
          <rPr>
            <sz val="8"/>
            <color indexed="81"/>
            <rFont val="Tahoma"/>
            <family val="2"/>
          </rPr>
          <t xml:space="preserve">
Approx. $50.6m transferred to WMATA in FY 2013, previously included in DDOT's budget
</t>
        </r>
      </text>
    </comment>
    <comment ref="BN185" authorId="0" guid="{611826FA-86BB-46E3-83D9-885048A50531}">
      <text>
        <r>
          <rPr>
            <b/>
            <sz val="8"/>
            <color indexed="81"/>
            <rFont val="Tahoma"/>
            <family val="2"/>
          </rPr>
          <t>Jenny Reed:</t>
        </r>
        <r>
          <rPr>
            <sz val="8"/>
            <color indexed="81"/>
            <rFont val="Tahoma"/>
            <family val="2"/>
          </rPr>
          <t xml:space="preserve">
Includes about $50.6m transferred from DDOT that used to be done via intra-district
</t>
        </r>
      </text>
    </comment>
    <comment ref="BE187" authorId="2" guid="{FC5B353C-8015-4459-9FB3-672B7D7989B6}">
      <text>
        <r>
          <rPr>
            <b/>
            <sz val="8"/>
            <color indexed="81"/>
            <rFont val="Tahoma"/>
            <family val="2"/>
          </rPr>
          <t>gajdeczka:</t>
        </r>
        <r>
          <rPr>
            <sz val="8"/>
            <color indexed="81"/>
            <rFont val="Tahoma"/>
            <family val="2"/>
          </rPr>
          <t xml:space="preserve">
move to DDOT
</t>
        </r>
      </text>
    </comment>
  </commentList>
</comments>
</file>

<file path=xl/comments2.xml><?xml version="1.0" encoding="utf-8"?>
<comments xmlns="http://schemas.openxmlformats.org/spreadsheetml/2006/main">
  <authors>
    <author>Jenny Reed</author>
    <author>Ed Lazere</author>
    <author>healy</author>
  </authors>
  <commentList>
    <comment ref="BW21" authorId="0" guid="{76D8F8FF-89E7-45DD-8796-48AC0D410C90}">
      <text>
        <r>
          <rPr>
            <b/>
            <sz val="8"/>
            <color indexed="81"/>
            <rFont val="Tahoma"/>
            <family val="2"/>
          </rPr>
          <t>Jenny Reed:</t>
        </r>
        <r>
          <rPr>
            <sz val="8"/>
            <color indexed="81"/>
            <rFont val="Tahoma"/>
            <family val="2"/>
          </rPr>
          <t xml:space="preserve">
Removed $1.36 mil that had been shifted from DDOT
</t>
        </r>
      </text>
    </comment>
    <comment ref="BW25" authorId="1" guid="{F9782E22-2584-4EB6-92E9-71B4170DF583}">
      <text>
        <r>
          <rPr>
            <b/>
            <sz val="9"/>
            <color indexed="81"/>
            <rFont val="Tahoma"/>
            <family val="2"/>
          </rPr>
          <t>Ed Lazere:</t>
        </r>
        <r>
          <rPr>
            <sz val="9"/>
            <color indexed="81"/>
            <rFont val="Tahoma"/>
            <family val="2"/>
          </rPr>
          <t xml:space="preserve">
see Budget Shifts tab
</t>
        </r>
      </text>
    </comment>
    <comment ref="BW34" authorId="0" guid="{55E8F8DF-BAA8-4E55-8B7F-BF02914EEB09}">
      <text>
        <r>
          <rPr>
            <b/>
            <sz val="8"/>
            <color indexed="81"/>
            <rFont val="Tahoma"/>
            <family val="2"/>
          </rPr>
          <t>Jenny Reed:</t>
        </r>
        <r>
          <rPr>
            <sz val="8"/>
            <color indexed="81"/>
            <rFont val="Tahoma"/>
            <family val="2"/>
          </rPr>
          <t xml:space="preserve">
Removed $2.2 million that had been shifted from DMV to OTR
</t>
        </r>
      </text>
    </comment>
    <comment ref="BW85" authorId="1" guid="{284FD91A-5081-4DCE-AD71-9C2F2E725BEA}">
      <text>
        <r>
          <rPr>
            <b/>
            <sz val="9"/>
            <color indexed="81"/>
            <rFont val="Tahoma"/>
            <family val="2"/>
          </rPr>
          <t>Ed Lazere:</t>
        </r>
        <r>
          <rPr>
            <sz val="9"/>
            <color indexed="81"/>
            <rFont val="Tahoma"/>
            <family val="2"/>
          </rPr>
          <t xml:space="preserve">
see Budget Shifts tab
</t>
        </r>
      </text>
    </comment>
    <comment ref="A91" authorId="2" guid="{7E5EA33B-210B-4FF9-960F-D4CA3974EC6E}">
      <text>
        <r>
          <rPr>
            <b/>
            <sz val="8"/>
            <color indexed="81"/>
            <rFont val="Tahoma"/>
            <family val="2"/>
          </rPr>
          <t>healy:</t>
        </r>
        <r>
          <rPr>
            <sz val="8"/>
            <color indexed="81"/>
            <rFont val="Tahoma"/>
            <family val="2"/>
          </rPr>
          <t xml:space="preserve">
This looks to be the same as the above category minus homeland security</t>
        </r>
      </text>
    </comment>
    <comment ref="A95" authorId="2" guid="{DCF73FA1-5054-4B7C-96CA-75BC462822A7}">
      <text>
        <r>
          <rPr>
            <b/>
            <sz val="8"/>
            <color indexed="81"/>
            <rFont val="Tahoma"/>
            <family val="2"/>
          </rPr>
          <t>healy:</t>
        </r>
        <r>
          <rPr>
            <sz val="8"/>
            <color indexed="81"/>
            <rFont val="Tahoma"/>
            <family val="2"/>
          </rPr>
          <t xml:space="preserve">
this category is named "Sentencing Commision" between 2000-3… is this the same thing?</t>
        </r>
      </text>
    </comment>
    <comment ref="BW100" authorId="1" guid="{DDFEB416-1C85-4364-8DCC-7897D16B5DA1}">
      <text>
        <r>
          <rPr>
            <b/>
            <sz val="9"/>
            <color indexed="81"/>
            <rFont val="Tahoma"/>
            <family val="2"/>
          </rPr>
          <t>Ed Lazere:</t>
        </r>
        <r>
          <rPr>
            <sz val="9"/>
            <color indexed="81"/>
            <rFont val="Tahoma"/>
            <family val="2"/>
          </rPr>
          <t xml:space="preserve">
see Budget Shifts tab
</t>
        </r>
      </text>
    </comment>
    <comment ref="A125" authorId="2" guid="{EB5B7141-87DF-46F5-864D-36BB730BF1DF}">
      <text>
        <r>
          <rPr>
            <b/>
            <sz val="8"/>
            <color indexed="81"/>
            <rFont val="Tahoma"/>
            <family val="2"/>
          </rPr>
          <t xml:space="preserve">healy:
</t>
        </r>
        <r>
          <rPr>
            <sz val="8"/>
            <color indexed="81"/>
            <rFont val="Tahoma"/>
            <family val="2"/>
          </rPr>
          <t>My budget book says funding for this agency was 0 in 2002 &amp; 2003</t>
        </r>
      </text>
    </comment>
    <comment ref="BW129" authorId="1" guid="{BFDA44D3-BD07-4964-892E-53D0373A6EA2}">
      <text>
        <r>
          <rPr>
            <b/>
            <sz val="9"/>
            <color indexed="81"/>
            <rFont val="Tahoma"/>
            <family val="2"/>
          </rPr>
          <t>Ed Lazere:</t>
        </r>
        <r>
          <rPr>
            <sz val="9"/>
            <color indexed="81"/>
            <rFont val="Tahoma"/>
            <family val="2"/>
          </rPr>
          <t xml:space="preserve">
See Budget Shifts tab
</t>
        </r>
      </text>
    </comment>
    <comment ref="BW150" authorId="1" guid="{8A42044D-98A1-44E1-A178-C92A732F5102}">
      <text>
        <r>
          <rPr>
            <b/>
            <sz val="9"/>
            <color indexed="81"/>
            <rFont val="Tahoma"/>
            <family val="2"/>
          </rPr>
          <t>Ed Lazere:</t>
        </r>
        <r>
          <rPr>
            <sz val="9"/>
            <color indexed="81"/>
            <rFont val="Tahoma"/>
            <family val="2"/>
          </rPr>
          <t xml:space="preserve">
See Budget Shifts tab
</t>
        </r>
      </text>
    </comment>
    <comment ref="BW151" authorId="1" guid="{DF15E7EF-990B-4A2C-9D02-F9285B3AB174}">
      <text>
        <r>
          <rPr>
            <b/>
            <sz val="9"/>
            <color indexed="81"/>
            <rFont val="Tahoma"/>
            <family val="2"/>
          </rPr>
          <t>Ed Lazere:</t>
        </r>
        <r>
          <rPr>
            <sz val="9"/>
            <color indexed="81"/>
            <rFont val="Tahoma"/>
            <family val="2"/>
          </rPr>
          <t xml:space="preserve">
see Budget Shifts tab
</t>
        </r>
      </text>
    </comment>
    <comment ref="BL163" authorId="0" guid="{C7264117-9457-4B3D-8D19-AE611F9EA44B}">
      <text>
        <r>
          <rPr>
            <b/>
            <sz val="8"/>
            <color indexed="81"/>
            <rFont val="Tahoma"/>
            <family val="2"/>
          </rPr>
          <t>Jenny Reed:</t>
        </r>
        <r>
          <rPr>
            <sz val="8"/>
            <color indexed="81"/>
            <rFont val="Tahoma"/>
            <family val="2"/>
          </rPr>
          <t xml:space="preserve">
Note: 80.7 million was added in FY 2011 to account for expiring federal stimulus funds</t>
        </r>
      </text>
    </comment>
    <comment ref="BW180" authorId="0" guid="{22E659FB-2958-4C41-8CA6-26D5E92292BD}">
      <text>
        <r>
          <rPr>
            <b/>
            <sz val="8"/>
            <color indexed="81"/>
            <rFont val="Tahoma"/>
            <family val="2"/>
          </rPr>
          <t>Jenny Reed:</t>
        </r>
        <r>
          <rPr>
            <sz val="8"/>
            <color indexed="81"/>
            <rFont val="Tahoma"/>
            <family val="2"/>
          </rPr>
          <t xml:space="preserve">
Approx. $50.6m transferred to WMATA in FY 2013, previously included in DDOT's budget
</t>
        </r>
      </text>
    </comment>
    <comment ref="BW185" authorId="0" guid="{579DD3E3-1B0C-44C1-90D1-FB2C937630FC}">
      <text>
        <r>
          <rPr>
            <b/>
            <sz val="8"/>
            <color indexed="81"/>
            <rFont val="Tahoma"/>
            <family val="2"/>
          </rPr>
          <t>Jenny Reed:</t>
        </r>
        <r>
          <rPr>
            <sz val="8"/>
            <color indexed="81"/>
            <rFont val="Tahoma"/>
            <family val="2"/>
          </rPr>
          <t xml:space="preserve">
Includes about $50.6m transferred from DDOT that used to be done via intra-district
</t>
        </r>
      </text>
    </comment>
    <comment ref="A214" authorId="2" guid="{46866466-B909-4C2C-BC9F-35EF7E0481D5}">
      <text>
        <r>
          <rPr>
            <b/>
            <sz val="8"/>
            <color indexed="81"/>
            <rFont val="Tahoma"/>
            <family val="2"/>
          </rPr>
          <t>healy:</t>
        </r>
        <r>
          <rPr>
            <sz val="8"/>
            <color indexed="81"/>
            <rFont val="Tahoma"/>
            <family val="2"/>
          </rPr>
          <t xml:space="preserve">
Is this the same as "Repayment of General Fund Deficit Bonds
</t>
        </r>
      </text>
    </comment>
  </commentList>
</comments>
</file>

<file path=xl/sharedStrings.xml><?xml version="1.0" encoding="utf-8"?>
<sst xmlns="http://schemas.openxmlformats.org/spreadsheetml/2006/main" count="2735" uniqueCount="489">
  <si>
    <t>Governmental Direction &amp; Support</t>
  </si>
  <si>
    <t>Council of the District of Columbia</t>
  </si>
  <si>
    <t>Contract Appeals Board</t>
  </si>
  <si>
    <t>Board of Elections and Ethics</t>
  </si>
  <si>
    <t>Office of Campaign Finance</t>
  </si>
  <si>
    <t>Public Employee Relations Board</t>
  </si>
  <si>
    <t>Office of Employee Appeals</t>
  </si>
  <si>
    <t>Metropolitan Washington Council of Governments</t>
  </si>
  <si>
    <t>Department of Employment Services</t>
  </si>
  <si>
    <t>Metropolitan Police Department</t>
  </si>
  <si>
    <t>Fire and Emergency Medical Services Department</t>
  </si>
  <si>
    <t>Police Officers' and Fire Fighters' Retirement</t>
  </si>
  <si>
    <t>Department of Corrections</t>
  </si>
  <si>
    <t>National Guard</t>
  </si>
  <si>
    <t>Commission on Judicial Disabilities and Tenure</t>
  </si>
  <si>
    <t>Judicial Nomination Commission</t>
  </si>
  <si>
    <t>Office of Administrative Hearings</t>
  </si>
  <si>
    <t>Corrections Information Council</t>
  </si>
  <si>
    <t>Criminal Justice Coordinating Council</t>
  </si>
  <si>
    <t>Teachers' Retirement System</t>
  </si>
  <si>
    <t xml:space="preserve">DC Public Charter Schools    </t>
  </si>
  <si>
    <t>Public Library</t>
  </si>
  <si>
    <t>Commission of the Arts and Humanities</t>
  </si>
  <si>
    <t>Office of Aging</t>
  </si>
  <si>
    <t>Unemployment Compensation</t>
  </si>
  <si>
    <t>Disability Compensation</t>
  </si>
  <si>
    <t>Office on Human Rights</t>
  </si>
  <si>
    <t>Office of Latino Affairs</t>
  </si>
  <si>
    <t>Asian and Pacific Islander Affairs</t>
  </si>
  <si>
    <t>Office of Veterans Affairs</t>
  </si>
  <si>
    <t>Public Works</t>
  </si>
  <si>
    <t>Department of Motor Vehicles</t>
  </si>
  <si>
    <t>Taxicab Commission</t>
  </si>
  <si>
    <t>Washington Metropolitan Area Transit Commission</t>
  </si>
  <si>
    <t>Washington Metropolitan Area Transit Authority</t>
  </si>
  <si>
    <t>School Transit Subsidy</t>
  </si>
  <si>
    <t xml:space="preserve">Repayment of Loans and Interest </t>
  </si>
  <si>
    <t>Short-term Borrowing</t>
  </si>
  <si>
    <t>Certificate of Participation - One Judiciary Square</t>
  </si>
  <si>
    <t>Workforce Investments</t>
  </si>
  <si>
    <t>Tobacco Trust Fund</t>
  </si>
  <si>
    <t xml:space="preserve">Non-Departmental   </t>
  </si>
  <si>
    <t>Equipment Lease Operating</t>
  </si>
  <si>
    <t>Appropriation Title</t>
  </si>
  <si>
    <t>FY 2006</t>
  </si>
  <si>
    <t>Baseline</t>
  </si>
  <si>
    <t>FY2005</t>
  </si>
  <si>
    <t>FY 2004</t>
  </si>
  <si>
    <t>Total</t>
  </si>
  <si>
    <t xml:space="preserve">Government of the District of Columbia </t>
  </si>
  <si>
    <t xml:space="preserve">Economic Development &amp; Regulation  </t>
  </si>
  <si>
    <t xml:space="preserve">Public Safety &amp; Justice  </t>
  </si>
  <si>
    <t>Public Education</t>
  </si>
  <si>
    <t xml:space="preserve">Human Support Services  </t>
  </si>
  <si>
    <t>Financing and Other Uses</t>
  </si>
  <si>
    <t xml:space="preserve">Subtotal: Governmental Direction &amp; Support </t>
  </si>
  <si>
    <t>Subtotal: Economic Development &amp; Regulation</t>
  </si>
  <si>
    <t>Public Safety &amp; Justice</t>
  </si>
  <si>
    <t>Subtotal: Public Safety &amp; Justice</t>
  </si>
  <si>
    <t>Subtotal: Public Education</t>
  </si>
  <si>
    <t>Subtotal: Human Support Services</t>
  </si>
  <si>
    <t>Subtotal: Public Works</t>
  </si>
  <si>
    <t>Subtotal: Financing and Other Uses</t>
  </si>
  <si>
    <t>Office of Planning</t>
  </si>
  <si>
    <t>Office of Zoning</t>
  </si>
  <si>
    <t xml:space="preserve">Department of Housing and Community Development  </t>
  </si>
  <si>
    <t xml:space="preserve">Board of Real Property Assessments and Appeals </t>
  </si>
  <si>
    <t>Department of Consumer and Regulatory Affairs</t>
  </si>
  <si>
    <t>Human Support Services</t>
  </si>
  <si>
    <t>Office of the Chief Medical Examiner</t>
  </si>
  <si>
    <t xml:space="preserve">Department of Human Services    </t>
  </si>
  <si>
    <t>Department of Public Works</t>
  </si>
  <si>
    <t>Office of the Inspector General</t>
  </si>
  <si>
    <t>Office of the Chief Financial Officer</t>
  </si>
  <si>
    <t>Children and Youth Investment Collaborative</t>
  </si>
  <si>
    <t>Debt Service - Issuance Costs</t>
  </si>
  <si>
    <t>Actual</t>
  </si>
  <si>
    <t>* Figures have not been adjusted for inflation.</t>
  </si>
  <si>
    <t>—</t>
  </si>
  <si>
    <t>Pay-Go Contingency</t>
  </si>
  <si>
    <t>Medicaid Reserve</t>
  </si>
  <si>
    <t>Grant Disallowance</t>
  </si>
  <si>
    <t>Notes for Economic Development &amp; Regulation:</t>
  </si>
  <si>
    <t>Office of Police Complaints*</t>
  </si>
  <si>
    <t>Notes for Public Safety &amp; Justice:</t>
  </si>
  <si>
    <t>Notes for Human Support Services:</t>
  </si>
  <si>
    <t>Department of Parks and Recreation</t>
  </si>
  <si>
    <t>FY2006</t>
  </si>
  <si>
    <t>Retiree Health Contribution</t>
  </si>
  <si>
    <t>$</t>
  </si>
  <si>
    <t>%</t>
  </si>
  <si>
    <t>Change FY '03 - '04</t>
  </si>
  <si>
    <t>Change FY '04 - '05</t>
  </si>
  <si>
    <t>School Modernization Fund</t>
  </si>
  <si>
    <t>DC Housing Authority Subsidy</t>
  </si>
  <si>
    <t>FY 2007</t>
  </si>
  <si>
    <t>Change FY '05-'06</t>
  </si>
  <si>
    <t xml:space="preserve">Child and Family Services   </t>
  </si>
  <si>
    <t xml:space="preserve">Department of Mental Health   </t>
  </si>
  <si>
    <t>Settlements and Judgements</t>
  </si>
  <si>
    <t>Change FY '05 - '06</t>
  </si>
  <si>
    <t>Anacostia Waterfront Corporation Subsidy</t>
  </si>
  <si>
    <t xml:space="preserve">Office of Small and Local Business Development*   </t>
  </si>
  <si>
    <t>Office of Motion Picture &amp; Television Development*</t>
  </si>
  <si>
    <t xml:space="preserve">Notes for Public Works: </t>
  </si>
  <si>
    <t>Repayment of Revenue Bonds (HPTF Securitization)</t>
  </si>
  <si>
    <t>FY 2008</t>
  </si>
  <si>
    <t>Public Service Commission</t>
  </si>
  <si>
    <t>Alcoholic Beverage Regulation Administration</t>
  </si>
  <si>
    <t>Office of the People's Counsel</t>
  </si>
  <si>
    <t>Department of Insurance, Securities and Banking</t>
  </si>
  <si>
    <t>Office of Cable Television and Telecommunications</t>
  </si>
  <si>
    <t>Office of Victim Services</t>
  </si>
  <si>
    <t>Justice Grants Administration</t>
  </si>
  <si>
    <t>* Includes Local and Special Purpose (General) Funds only</t>
  </si>
  <si>
    <t>Inflator</t>
  </si>
  <si>
    <t>* Includes Local and Special Purpose RevenueFunds only</t>
  </si>
  <si>
    <t>Department of Transportation*</t>
  </si>
  <si>
    <t>District Department of the Environment**</t>
  </si>
  <si>
    <t>* The FY 2008 budget includes roughly $68 million in transportation funds that in prior year were reported in the DOT capital budget</t>
  </si>
  <si>
    <t>TOTAL, GENERAL OPERATING FUNDS</t>
  </si>
  <si>
    <t>Office of Unified Communications</t>
  </si>
  <si>
    <t>Notes for Public Education</t>
  </si>
  <si>
    <t>**This agency was established in FY 2007.</t>
  </si>
  <si>
    <t>DC Sports Commission Subsidy</t>
  </si>
  <si>
    <t>Baseball Dedicated Tax Transfer</t>
  </si>
  <si>
    <t>Section 103 Judgements-Gov Dir and Support</t>
  </si>
  <si>
    <t xml:space="preserve">— </t>
  </si>
  <si>
    <t>Change FY '06 - '07</t>
  </si>
  <si>
    <t>FY2009</t>
  </si>
  <si>
    <t>* All figures are in thousands ($000's), i.e. the $6,444,728 total proposed budget for FY 2009 is really $6,444,728,000.</t>
  </si>
  <si>
    <t>Serve DC</t>
  </si>
  <si>
    <t>DC Public Schools**</t>
  </si>
  <si>
    <t>Non-public Tuition**</t>
  </si>
  <si>
    <t>Special Education Transportation**</t>
  </si>
  <si>
    <t>** In FY 2009, these functions were separated from DC Public Schools</t>
  </si>
  <si>
    <t xml:space="preserve">     In FY 2009, maintenance functions in DCPS were transferred to this agency</t>
  </si>
  <si>
    <t>Fiscal Year 2009 Budget</t>
  </si>
  <si>
    <t>Local</t>
  </si>
  <si>
    <t>`</t>
  </si>
  <si>
    <t>Office of Contracting and Procurement</t>
  </si>
  <si>
    <t>Homeland Security and Emergency Management Agency</t>
  </si>
  <si>
    <t>Sentencing and Criminal Code Revision Commision</t>
  </si>
  <si>
    <t>University of the District of Columbia Subsidy Account</t>
  </si>
  <si>
    <t>DC Public Charter School Board</t>
  </si>
  <si>
    <t>John A. Wilson Building Fund</t>
  </si>
  <si>
    <t>Pay-As-You-Go Capital Fund</t>
  </si>
  <si>
    <t>Motor Vehicle Theft Prevention Commission (FW)</t>
  </si>
  <si>
    <t>Emergency Planning and Security Fund (EP)</t>
  </si>
  <si>
    <t>Has not completed FY10 budget formulation submission - not included in baseline budget</t>
  </si>
  <si>
    <t>Highway Trust Fund Transfer - Dedicated Taxes</t>
  </si>
  <si>
    <t>Convention Center Transfer - Dedicated Taxes</t>
  </si>
  <si>
    <t>TIF and PILOT Transfer - Dedicated Taxes</t>
  </si>
  <si>
    <t>* All dollar figures are in thousands ($000's)</t>
  </si>
  <si>
    <t>Change FY '07-'08</t>
  </si>
  <si>
    <t>FY 2009</t>
  </si>
  <si>
    <t>FY 2010</t>
  </si>
  <si>
    <t>Change FY '08-'09</t>
  </si>
  <si>
    <t>Notes for Government Direction &amp; Support</t>
  </si>
  <si>
    <t>*This agency does not exist after 2007</t>
  </si>
  <si>
    <t>Customer Service Operations*</t>
  </si>
  <si>
    <t>**This agency was first proposed n 2010</t>
  </si>
  <si>
    <t>Section 103 Judgements Gov Dir and Support***</t>
  </si>
  <si>
    <t>***This line item first appears in 2008</t>
  </si>
  <si>
    <t>Deputy Mayor for Planning and Economic Development*</t>
  </si>
  <si>
    <t>Board of Appeals and Review**</t>
  </si>
  <si>
    <t>Office of the Tenant Advocate***</t>
  </si>
  <si>
    <t>Department of Banking and Financial Institutions**</t>
  </si>
  <si>
    <t>Housing Production Trust Fund****</t>
  </si>
  <si>
    <t>**** Prior to FY 2007, HPTF was part of the budget of the Deputy Mayor for Planning and Economic Development.</t>
  </si>
  <si>
    <t>* Prior to FY 2003, these three agencies were budgeted together under the Deputy Mayor for Planning and Economic Development.</t>
  </si>
  <si>
    <t>** This agency was removed in 2005.</t>
  </si>
  <si>
    <t>*** This agency was established in the FY 2008 budget.</t>
  </si>
  <si>
    <t>Forensic Laboratory Technician Training Program**</t>
  </si>
  <si>
    <t>** Formerly the Forensic Health and Science Laboratory</t>
  </si>
  <si>
    <t>Emergency and Disaster Response***</t>
  </si>
  <si>
    <t>* Formerly the Office of Citizen Complaints</t>
  </si>
  <si>
    <t>*** This agency was eliminated in 2006</t>
  </si>
  <si>
    <t>Office of the State Superintendent of Education***</t>
  </si>
  <si>
    <t>*** Formerly known as the State Education Office</t>
  </si>
  <si>
    <t>Public education facilities modernization office****</t>
  </si>
  <si>
    <t>**** This agency was established in FY 2007</t>
  </si>
  <si>
    <t>Deputy Mayor for Education*</t>
  </si>
  <si>
    <t>* Thisagency was first budgeted in FY 2008 called Department of Education.</t>
  </si>
  <si>
    <t>Section 103 Judgements - Public Education System*****</t>
  </si>
  <si>
    <t>***** This line item added in 2008</t>
  </si>
  <si>
    <t>Section 103 Judgements - Public Safety and Justice ****</t>
  </si>
  <si>
    <t>**** This line item added in 2008</t>
  </si>
  <si>
    <t>Department of Health**</t>
  </si>
  <si>
    <t>** Before FY 2009, the Dept. of Health Care Finance was part of the Dept. of Health</t>
  </si>
  <si>
    <t>DC Energy Office***</t>
  </si>
  <si>
    <t>Department of Youth Rehabilitation Services****</t>
  </si>
  <si>
    <t>Department of Disability Services*****</t>
  </si>
  <si>
    <t>*** Before FY 2007, this agency was part of the Human Services Cluster.  As of FY 2007 it is part of the Department of the Environment, under the Public Works *cluster.</t>
  </si>
  <si>
    <t>Department of Health Care Finance**</t>
  </si>
  <si>
    <t>**** Before FY 2007, this agency was part of the Department of Human Services.</t>
  </si>
  <si>
    <t>***** Before FY 2008, this agency was part of the Department of Human Services.</t>
  </si>
  <si>
    <t>Notes for Financing and Other:</t>
  </si>
  <si>
    <t>Financing and Other</t>
  </si>
  <si>
    <t>Human Resources Development Fund</t>
  </si>
  <si>
    <t>Change FY '09-'10</t>
  </si>
  <si>
    <t xml:space="preserve">Office of the District of Columbia Auditor </t>
  </si>
  <si>
    <t>Advisory Neighborhood Commissions</t>
  </si>
  <si>
    <t>Office of the Mayor</t>
  </si>
  <si>
    <t>Office of the Community Affairs</t>
  </si>
  <si>
    <t>Office of the Secretary</t>
  </si>
  <si>
    <t>Office of the City Administrator</t>
  </si>
  <si>
    <t>D.C. Office of Risk Management</t>
  </si>
  <si>
    <t>D.C. Human Resources</t>
  </si>
  <si>
    <t>Office of Disability Rights*</t>
  </si>
  <si>
    <t>Office of Finance and Resource Management</t>
  </si>
  <si>
    <t>Office of Partnerships and Grants and Services</t>
  </si>
  <si>
    <t xml:space="preserve">Office of the Chief Technology Officer </t>
  </si>
  <si>
    <t>Office of the Attorney General of the District of Columbia</t>
  </si>
  <si>
    <t>Medical Liability Captive Insurance Agency**</t>
  </si>
  <si>
    <t>Business Improvements District Transfer</t>
  </si>
  <si>
    <t>Change FY '07 - '08</t>
  </si>
  <si>
    <t>Change FY '08-'09R</t>
  </si>
  <si>
    <t>Spreadsheet Name</t>
  </si>
  <si>
    <t>Description</t>
  </si>
  <si>
    <t>Shows the factor used to account for inflation for each fiscal year.</t>
  </si>
  <si>
    <t>Fiscal Year</t>
  </si>
  <si>
    <t>Approved Local Budget</t>
  </si>
  <si>
    <t>Approved Special Purpose Revenue</t>
  </si>
  <si>
    <t>**** Prior to FY 2007, HPTF was part of the budget of the Department of Housing nd Community Development.</t>
  </si>
  <si>
    <t>FY 2011</t>
  </si>
  <si>
    <t>CSFL</t>
  </si>
  <si>
    <t>one time</t>
  </si>
  <si>
    <t>Revised Local</t>
  </si>
  <si>
    <t>Revised Gen Fund</t>
  </si>
  <si>
    <t>total CSFL</t>
  </si>
  <si>
    <t>Proposed Gen Fund</t>
  </si>
  <si>
    <t>Fixed Costs</t>
  </si>
  <si>
    <t>Local Total</t>
  </si>
  <si>
    <t>Gen Fund Total</t>
  </si>
  <si>
    <t>Diff from 2010 -- LOCAL</t>
  </si>
  <si>
    <t>Diff from LOCAL - %</t>
  </si>
  <si>
    <t>Diff from GEN FUND</t>
  </si>
  <si>
    <t>Diff from GEN FUND %</t>
  </si>
  <si>
    <t>OCP/DHR</t>
  </si>
  <si>
    <t>Proposed Local</t>
  </si>
  <si>
    <t>FY 2011: In DOT $16,810 m in fixed costs is from SP funds, in DMV$ 114 in fixed costs is in special purpose funds, in Taxi Commission $44 comes from special purpose funds</t>
  </si>
  <si>
    <t>Number above includes 6500 in local funds for HPAP</t>
  </si>
  <si>
    <t>fixed cost agency</t>
  </si>
  <si>
    <t>adjustments</t>
  </si>
  <si>
    <t>net of adjustments</t>
  </si>
  <si>
    <t>net of adjustements</t>
  </si>
  <si>
    <t>DCPS stimulus</t>
  </si>
  <si>
    <t>PCS stimulus</t>
  </si>
  <si>
    <t>medicaid stimulus replaced with local in 2011</t>
  </si>
  <si>
    <t>FY 2009 
Actual</t>
  </si>
  <si>
    <t>COUNCIL OF THE DISTRICT OF COLUMBIA</t>
  </si>
  <si>
    <t>OFFICE OF THE D.C. AUDITOR</t>
  </si>
  <si>
    <t>ADVISORY NEIGHBORHOOD COMMISSIONS</t>
  </si>
  <si>
    <t>OFFICE OF THE MAYOR</t>
  </si>
  <si>
    <t>OFFICE OF COMMUNITY AFFAIRS</t>
  </si>
  <si>
    <t>SERVE DC</t>
  </si>
  <si>
    <t>OFFICE OF THE SECRETARY</t>
  </si>
  <si>
    <t>OFFICE OF THE CITY ADMINISTRATOR</t>
  </si>
  <si>
    <t>D.C. OFFICE OF RISK MANAGEMENT</t>
  </si>
  <si>
    <t>D.C. DEPARTMENT OF HUMAN RESOURCES</t>
  </si>
  <si>
    <t>OFFICE OF DISABILITY RIGHTS</t>
  </si>
  <si>
    <t>MEDICAL LIABILITY CAPTIVE INSURANCE AGENCY</t>
  </si>
  <si>
    <t>OFFICE OF FINANCE &amp; RESOURCE MANAGEMENT</t>
  </si>
  <si>
    <t>OFFICE OF PARTNERSHIP &amp; GRANT SERVICES</t>
  </si>
  <si>
    <t>OFFICE OF CONTRACTING &amp; PROCUREMENT</t>
  </si>
  <si>
    <t>OFFICE OF THE CHIEF TECHNOLOGY OFFICER</t>
  </si>
  <si>
    <t>DEPT. OF REAL ESTATE SERVICES</t>
  </si>
  <si>
    <t>CONTRACT APPEALS BOARD</t>
  </si>
  <si>
    <t>BOARD OF ELECTIONS &amp; ETHICS</t>
  </si>
  <si>
    <t>OFFICE OF CAMPAIGN FINANCE</t>
  </si>
  <si>
    <t>PUBLIC EMPLOYEE RELATIONS BOARD</t>
  </si>
  <si>
    <t>OFFICE OF EMPLOYEE APPEALS</t>
  </si>
  <si>
    <t>METRO. WASHINGTON COUNCIL OF GOVERNMENTS</t>
  </si>
  <si>
    <t>MUNICIPAL FACILITIES: NON-CAPITAL</t>
  </si>
  <si>
    <t>OFFICE OF THE ATTORNEY GENERAL</t>
  </si>
  <si>
    <t>ACCESS TO JUSTICE</t>
  </si>
  <si>
    <t>OFFICE OF THE INSPECTOR GENERAL</t>
  </si>
  <si>
    <t>OFFICE OF THE CHIEF FINANCIAL OFFICER</t>
  </si>
  <si>
    <t>METROPOLITAN POLICE DEPARTMENT</t>
  </si>
  <si>
    <t>FIRE &amp; EMERGENCY SERVICES DEPARTMENT</t>
  </si>
  <si>
    <t>POLICE &amp; FIREFIGHTERS' RETIREMENT SYSTEM</t>
  </si>
  <si>
    <t>DEPARTMENT OF CORRECTIONS</t>
  </si>
  <si>
    <t>D.C. NATIONAL GUARD</t>
  </si>
  <si>
    <t>HOMELAND SECURITY &amp;. EMER. MANAG. AGENCY</t>
  </si>
  <si>
    <t>COMMISSION ON JUDICIAL DISABILITY &amp; TENURE</t>
  </si>
  <si>
    <t>JUDICIAL NOMINATION COMMISSION</t>
  </si>
  <si>
    <t>OFFICE OF POLICE COMPLAINTS</t>
  </si>
  <si>
    <t>D.C. SENTENCING &amp; CRIM. CODE REVISION COMM.</t>
  </si>
  <si>
    <t>OFFICE OF THE CHIEF MEDICAL EXAMINER</t>
  </si>
  <si>
    <t>OFFICE OF ADMINISTRATIVE HEARINGS</t>
  </si>
  <si>
    <t>CORRECTIONS INFORMATION COUNCIL</t>
  </si>
  <si>
    <t>CRIMINAL JUSTICE COORDINATING COUNCIL</t>
  </si>
  <si>
    <t>FORENSIC LABORATORY TECHNICIAN TRAIN. PROG.</t>
  </si>
  <si>
    <t>OFFICE OF UNIFIED COMMUNICATIONS</t>
  </si>
  <si>
    <t>EMERGENCY &amp; DISASTER RESPONSE</t>
  </si>
  <si>
    <t>OFFICE OF VICTIM SERVICES</t>
  </si>
  <si>
    <t>JUSTICE GRANTS ADMINISTRATION</t>
  </si>
  <si>
    <t>MOTOR VEHICLE THEFT PREVENTION COMMISSION</t>
  </si>
  <si>
    <t>DEBT SERVICE - REPAYMENT OF LOANS &amp; INTEREST</t>
  </si>
  <si>
    <t>DEBT SERVICE - SHORT-TERM BORROWING</t>
  </si>
  <si>
    <t>DEBT SERVICE - CERTIFICATES OF PARTICIPATION</t>
  </si>
  <si>
    <t>DEBT SERVICE - ISSUANCE COSTS</t>
  </si>
  <si>
    <t>DEBT SERVICE - SCHOOL MODERNIZATION FUND</t>
  </si>
  <si>
    <t>DEBT SERVICE - REPAYMENT OF REVENUE BONDS</t>
  </si>
  <si>
    <t>SETTLEMENTS &amp; JUDGMENTS</t>
  </si>
  <si>
    <t>JOHN A. WILSON BUILDING FUND</t>
  </si>
  <si>
    <t>WORKFORCE INVESTMENTS</t>
  </si>
  <si>
    <t>NON-DEPARTMENTAL</t>
  </si>
  <si>
    <t>EMERGENCY PLANNING &amp; SECURITY FUND</t>
  </si>
  <si>
    <t>CASH RESERVE</t>
  </si>
  <si>
    <t>MASTER EQUIPMENT LEASE/PURCHASE PROGRAM</t>
  </si>
  <si>
    <t>PAY-AS-YOU-GO CAPITAL FUND</t>
  </si>
  <si>
    <t>DISTRICT RETIREE HEALTH CONTRIBUTION</t>
  </si>
  <si>
    <t>BASEBALL TRANSFER - DEDICATED TAXES</t>
  </si>
  <si>
    <t>HIGHWAY TRUST FUND TRANSFER - DED TAXES</t>
  </si>
  <si>
    <t>CONVENTION CENTER TRANSFER - DED TAXES</t>
  </si>
  <si>
    <t>TIF &amp; PILOT TRANSFER - DED TAXES</t>
  </si>
  <si>
    <t>DEPARTMENT OF HUMAN SERVICES</t>
  </si>
  <si>
    <t>CHILD &amp; FAMILY SERVICES AGENCY</t>
  </si>
  <si>
    <t>DEPARTMENT OF MENTAL HEALTH</t>
  </si>
  <si>
    <t>DEPARTMENT OF HEALTH</t>
  </si>
  <si>
    <t>DEPARTMENT OF PARKS &amp; RECREATION</t>
  </si>
  <si>
    <t>D.C. OFFICE ON AGING</t>
  </si>
  <si>
    <t>UNEMPLOYMENT COMPENSATION FUND</t>
  </si>
  <si>
    <t>DISABILITY COMPENSATION FUND</t>
  </si>
  <si>
    <t>OFFICE OF HUMAN RIGHTS</t>
  </si>
  <si>
    <t>OFFICE ON LATINO AFFAIRS</t>
  </si>
  <si>
    <t>CHILDREN &amp; YOUTH INVESTMENT COLLABORATIVE</t>
  </si>
  <si>
    <t>OFFICE OF ASIAN &amp; PACIFIC ISLANDER AFFAIRS</t>
  </si>
  <si>
    <t>OFFICE OF VETERANS' AFFAIRS</t>
  </si>
  <si>
    <t>DEPT. OF YOUTH REHABILITATION SERVICES</t>
  </si>
  <si>
    <t>DEPARTMENT OF DISABILITY SERVICES</t>
  </si>
  <si>
    <t>DEPARTMENT OF HEALTH CARE FINANCE</t>
  </si>
  <si>
    <t>D.C. PUBLIC SCHOOLS</t>
  </si>
  <si>
    <t>TEACHERS' RETIREMENT SYSTEM</t>
  </si>
  <si>
    <t>STATE SUPERINTENDENT OF EDUCATION</t>
  </si>
  <si>
    <t>D.C. PUBLIC CHARTER SCHOOLS</t>
  </si>
  <si>
    <t>UNIV. OF THE DISTRICT OF COLUMBIA SUBSIDY</t>
  </si>
  <si>
    <t>D.C. PUBLIC LIBRARY</t>
  </si>
  <si>
    <t>D.C. PUBLIC CHARTER SCHOOL BOARD</t>
  </si>
  <si>
    <t>OFFICE OF THE DEPT. MAYOR FOR EDUCATION</t>
  </si>
  <si>
    <t>PUBLIC EDUCATION FACILITIES MODERNIZATION</t>
  </si>
  <si>
    <t>NON-PUBLIC TUITION</t>
  </si>
  <si>
    <t>SPECIAL EDUCATION TRANSPORTATION</t>
  </si>
  <si>
    <t>council final Gen Fund</t>
  </si>
  <si>
    <t>council final vs mayor's original, unadjusted</t>
  </si>
  <si>
    <t>Change from 2010, w/DCFPI adjustments</t>
  </si>
  <si>
    <t>FY 2011, Council, w/DCFPI adjustments</t>
  </si>
  <si>
    <t>fy 2011, Council, w/DCFPI adjustments VS&gt; 2010</t>
  </si>
  <si>
    <t>FINAL</t>
  </si>
  <si>
    <t>adjust for final budge:2800</t>
  </si>
  <si>
    <t>FY11 spending cuts - Oct 5 2010 exec order</t>
  </si>
  <si>
    <t>percent cut</t>
  </si>
  <si>
    <t>Nov Gap Closing Plan</t>
  </si>
  <si>
    <t>Revenue</t>
  </si>
  <si>
    <t>Other</t>
  </si>
  <si>
    <t>FY 2011 Amended (FINAL)</t>
  </si>
  <si>
    <t>Municipal Facilities: Non-Capital</t>
  </si>
  <si>
    <t>Office of Open Government^</t>
  </si>
  <si>
    <t>^ This agency first appeared in FY 2011 amended</t>
  </si>
  <si>
    <t>Deputy Mayor for Public Safety and Justice</t>
  </si>
  <si>
    <t>Emergency and Contingency Reserve Funds*</t>
  </si>
  <si>
    <t>* New in FY 2011 amended</t>
  </si>
  <si>
    <t>Diff between FY 2011 and FY 2011 amended</t>
  </si>
  <si>
    <t>FY 2000</t>
  </si>
  <si>
    <t>FY 2003</t>
  </si>
  <si>
    <t>FY 2002</t>
  </si>
  <si>
    <t>FY 2001</t>
  </si>
  <si>
    <t>Office of Personnel</t>
  </si>
  <si>
    <t>DC Emergency Management Agency</t>
  </si>
  <si>
    <t>Commission on the Arts and Humanities</t>
  </si>
  <si>
    <t xml:space="preserve">Actual </t>
  </si>
  <si>
    <t xml:space="preserve">                    Change FY '01 - '02</t>
  </si>
  <si>
    <t xml:space="preserve">                          Change FY '02-03</t>
  </si>
  <si>
    <t xml:space="preserve">                          Change FY '00-01</t>
  </si>
  <si>
    <t>FY 2011 Amended General Fund (final) w/DCFPI adjustments</t>
  </si>
  <si>
    <t>Fiscal Year 2012 Budget</t>
  </si>
  <si>
    <t>Change FY '02 - '03</t>
  </si>
  <si>
    <t>Change FY '01-'02</t>
  </si>
  <si>
    <t>Change FY '00-'01</t>
  </si>
  <si>
    <t xml:space="preserve">Change FY '08 - '09 </t>
  </si>
  <si>
    <t xml:space="preserve">FY2010 </t>
  </si>
  <si>
    <t>FY2010 Actual</t>
  </si>
  <si>
    <t>FY 2011 Approved</t>
  </si>
  <si>
    <t>FY 2012</t>
  </si>
  <si>
    <t>Proposed</t>
  </si>
  <si>
    <t>Change FY '09 - '10</t>
  </si>
  <si>
    <t xml:space="preserve">Change FY '10 - '11A 
</t>
  </si>
  <si>
    <t>Change FY '11A- '12P</t>
  </si>
  <si>
    <t xml:space="preserve">Change FY '08- '09 </t>
  </si>
  <si>
    <t xml:space="preserve">FY 2011 </t>
  </si>
  <si>
    <t>Approved</t>
  </si>
  <si>
    <t>Change FY '10- '11A</t>
  </si>
  <si>
    <t>Change FY '10R-'11A</t>
  </si>
  <si>
    <t>Change FY '11A-'12</t>
  </si>
  <si>
    <t>* Figures have been adjusted for inflation.</t>
  </si>
  <si>
    <t>Deputy Mayor for Health and Human Services*</t>
  </si>
  <si>
    <r>
      <t xml:space="preserve">* </t>
    </r>
    <r>
      <rPr>
        <i/>
        <sz val="10"/>
        <rFont val="Arial"/>
        <family val="2"/>
      </rPr>
      <t>New Agency in FY 2012</t>
    </r>
  </si>
  <si>
    <r>
      <t xml:space="preserve">* </t>
    </r>
    <r>
      <rPr>
        <i/>
        <sz val="10"/>
        <rFont val="Arial"/>
        <family val="2"/>
      </rPr>
      <t>This agency first appears in FY 2012</t>
    </r>
  </si>
  <si>
    <t>** Prior to FY2004 this was the Budget Reserve</t>
  </si>
  <si>
    <t>Cash Reserve**</t>
  </si>
  <si>
    <t>Proposed &amp; With Fixed Costs Added Back In</t>
  </si>
  <si>
    <t>Total Fixed Costs Moved</t>
  </si>
  <si>
    <t>Change FY 10'-FY'11A (with Fixed Cost Adjustments)</t>
  </si>
  <si>
    <t xml:space="preserve"> %</t>
  </si>
  <si>
    <t>Change FY '11A (+fixed costs) -'12 (+fixed costs)</t>
  </si>
  <si>
    <t>OCP</t>
  </si>
  <si>
    <t>HR Costs</t>
  </si>
  <si>
    <t>OCTO Shifts</t>
  </si>
  <si>
    <t>Corrections Information Council^</t>
  </si>
  <si>
    <t>Deputy Mayor for Public Safety and Justice^^</t>
  </si>
  <si>
    <t xml:space="preserve">^Deputy Mayor for Public Safety and Justice iwas created in FY 2011, in FY 2012 absorbed the following agencies: Access to Justice and Poverty Loan Program (from Gov. Ops), Office of Victim Services, Office of the Justice Grants Administration, Corrections Information Council, Motor Vehicle Commission </t>
  </si>
  <si>
    <t>Office of General Services****</t>
  </si>
  <si>
    <t>****Created in FY12, formerly Office of Property Management</t>
  </si>
  <si>
    <t>Office of General Services</t>
  </si>
  <si>
    <t>Access to Justice</t>
  </si>
  <si>
    <t>Revised</t>
  </si>
  <si>
    <t>Department of Real Estate Services</t>
  </si>
  <si>
    <t>Section 103: Judgments - Human Services</t>
  </si>
  <si>
    <t>Mass Transit Subsidy</t>
  </si>
  <si>
    <t>$ Change</t>
  </si>
  <si>
    <t>% Change</t>
  </si>
  <si>
    <t>FY 2013</t>
  </si>
  <si>
    <t>Fiscal Year 2013 Budget</t>
  </si>
  <si>
    <t>This guide explains the spreadsheets contained in this workbook.  Each spreadsheet tracks only local and special purpose revenue funds in the District's operating budget.  All figures are in thousands, meaning a number that reads $34,098 really means $34,098,000.  For fiscal years 2000 through 2011, numbers are "actual," meaning that the fiscal year is complete and the final figures have been released.  FY 2012 is not complete, so FY 2012 numbers are preliminary.</t>
  </si>
  <si>
    <t>FY2013 by Approp Title</t>
  </si>
  <si>
    <t>Tracks general fund budgets for for fiscal years 2000 through 2013 by Appropriations title without adjusting each years appropriations for inflation.</t>
  </si>
  <si>
    <t>FY2013 by Approp Title-Adj</t>
  </si>
  <si>
    <t>Tracks general fund budgets for for fiscal years 2000 through 2013 by Appropriations title and makes adjustments for inflation so that all figures are in terms of 2013 dollars.</t>
  </si>
  <si>
    <t>FY 2013 by Agency</t>
  </si>
  <si>
    <t>Tracks general fund budgets for for fiscal years 2000 through 2013 for each government agency without adjusting each years appropriations for inflation.</t>
  </si>
  <si>
    <t>FY 2013 by Agency-Adj</t>
  </si>
  <si>
    <t xml:space="preserve">    $</t>
  </si>
  <si>
    <t>Change FY '12 -FY 13</t>
  </si>
  <si>
    <t>Change FY '12A (+fixed costs) -'13 (+fixed costs)</t>
  </si>
  <si>
    <t xml:space="preserve">Change FY '12 - '13A 
</t>
  </si>
  <si>
    <t xml:space="preserve">FY 2013 </t>
  </si>
  <si>
    <t>Change FY '12- '13A</t>
  </si>
  <si>
    <t>FY 2013 Proposed</t>
  </si>
  <si>
    <t>Proposed w/ Fixed Costs</t>
  </si>
  <si>
    <t>Actual + Fixed Costs</t>
  </si>
  <si>
    <t>^^absorbed into Mayor's office 2013</t>
  </si>
  <si>
    <t>Office of the Community Affairs^^</t>
  </si>
  <si>
    <t>Serve DC^^</t>
  </si>
  <si>
    <t>Office of Open Government/DC Board of Ethics and Government Accountability^</t>
  </si>
  <si>
    <r>
      <t>·</t>
    </r>
    <r>
      <rPr>
        <sz val="7"/>
        <rFont val="Times New Roman"/>
        <family val="1"/>
      </rPr>
      <t xml:space="preserve">     </t>
    </r>
    <r>
      <rPr>
        <sz val="11"/>
        <rFont val="Calibri"/>
        <family val="2"/>
      </rPr>
      <t>2576 from MPD</t>
    </r>
  </si>
  <si>
    <r>
      <t>·</t>
    </r>
    <r>
      <rPr>
        <sz val="7"/>
        <rFont val="Times New Roman"/>
        <family val="1"/>
      </rPr>
      <t xml:space="preserve">     </t>
    </r>
    <r>
      <rPr>
        <sz val="11"/>
        <rFont val="Calibri"/>
        <family val="2"/>
      </rPr>
      <t>1582 from forensics lab</t>
    </r>
  </si>
  <si>
    <r>
      <t>·</t>
    </r>
    <r>
      <rPr>
        <sz val="7"/>
        <rFont val="Times New Roman"/>
        <family val="1"/>
      </rPr>
      <t xml:space="preserve">     </t>
    </r>
    <r>
      <rPr>
        <sz val="11"/>
        <rFont val="Calibri"/>
        <family val="2"/>
      </rPr>
      <t>920 from dept of health</t>
    </r>
  </si>
  <si>
    <r>
      <t>·</t>
    </r>
    <r>
      <rPr>
        <sz val="7"/>
        <rFont val="Times New Roman"/>
        <family val="1"/>
      </rPr>
      <t xml:space="preserve">     </t>
    </r>
    <r>
      <rPr>
        <sz val="11"/>
        <rFont val="Calibri"/>
        <family val="2"/>
      </rPr>
      <t>3206 seems new</t>
    </r>
  </si>
  <si>
    <r>
      <t>DEPT OF FORENSIC JUSTICE</t>
    </r>
    <r>
      <rPr>
        <sz val="11"/>
        <rFont val="Calibri"/>
        <family val="2"/>
      </rPr>
      <t xml:space="preserve"> (Public Safety)</t>
    </r>
  </si>
  <si>
    <t xml:space="preserve"> NEW in 2013, created from MPD, DOH, Forensics lab, and $3 million is new money</t>
  </si>
  <si>
    <t>DEPT OF FORENSIC JUSTICE</t>
  </si>
  <si>
    <t>NEW in 2013, created from MPD, DOH, Forensics lab, and $3 million is new money</t>
  </si>
  <si>
    <r>
      <t>·</t>
    </r>
    <r>
      <rPr>
        <sz val="7"/>
        <rFont val="Times New Roman"/>
        <family val="1"/>
      </rPr>
      <t xml:space="preserve">     </t>
    </r>
    <r>
      <rPr>
        <sz val="11"/>
        <rFont val="Calibri"/>
        <family val="2"/>
      </rPr>
      <t>for 2012-2013 and 2008-2013 comparisons for MPD and DOH.  analysts should add back 2,576,000 to MPD and 920,000 to DOH in 2013.  These adjustments ARE NOT in the spreasheet We also could make the adjustments to appropriations titles  totals, with a new line “adjusted for shifts”</t>
    </r>
  </si>
  <si>
    <r>
      <t>·</t>
    </r>
    <r>
      <rPr>
        <sz val="7"/>
        <rFont val="Times New Roman"/>
        <family val="1"/>
      </rPr>
      <t xml:space="preserve">     </t>
    </r>
    <r>
      <rPr>
        <sz val="11"/>
        <rFont val="Calibri"/>
        <family val="2"/>
      </rPr>
      <t>For 2012-2013 and 2008-2013 comparisons: a line has been added under the Approps titles for Pub Safety and Human Sevices to reflect this:  920,000 added to HS and subtracted from PSJ</t>
    </r>
  </si>
  <si>
    <t>Adjusted for 2012-2013 comparisons (see Fy2013 notes tab)</t>
  </si>
  <si>
    <t>Adjusted for 2008-2013 comparisons (see Fy2013 notes tab)</t>
  </si>
  <si>
    <t>This is reflected in Dep Mayor for Pub Safety and Justice in 2012 and 2013, but had been its own line under Gov Direction in 2011 and before</t>
  </si>
  <si>
    <t>OPEFM</t>
  </si>
  <si>
    <t>taken the DGS lines that refer to Pub Education starting in 2012 and kept it in OPEFM</t>
  </si>
  <si>
    <t>How this is treated in spreadsheet</t>
  </si>
  <si>
    <t>This was its own line, under Educ, through 2011.  It was moved to DGS in 2012</t>
  </si>
  <si>
    <t>How this is treated in our spreadsheet</t>
  </si>
  <si>
    <t>For 2012 and 2013, the DGS amounts listed for Public Ed are deducted from DGS (in govt direction) and moved to the OPEFM line in Educatin</t>
  </si>
  <si>
    <t>PARKS AND REC</t>
  </si>
  <si>
    <t>The facilities (non-capital) portion of the DPR budget was n the DPR budget  in 2011 but was moved to being part of DGS in 2012.  We have</t>
  </si>
  <si>
    <t>taken the DGS lines that refer to DPR starting in 2012 and added it back  to  the DPR budget</t>
  </si>
  <si>
    <t>This was its own line in Educ in 2011 but was moved to being part of DGS in 2012.  because this is so associated with education, we have</t>
  </si>
  <si>
    <t>PARKS AND RECREATION</t>
  </si>
  <si>
    <t xml:space="preserve">The facilities (non-capital) portion of the DPR budget was n the DPR budget  in 2011 but was moved to being part of DGS in 2012.  </t>
  </si>
  <si>
    <t>We have taken the DGS lines that refer to DPR starting in 2012 and added it back  to  the DPR budget</t>
  </si>
  <si>
    <t>Department of Forensic Sciences</t>
  </si>
  <si>
    <t>DDOT</t>
  </si>
  <si>
    <t>$50.6 million was trasferred from DDOT to WMATA for certain services.  In prior years had been done via intra-district.  Kept $50.6 in DDOT, removed from WMATA.</t>
  </si>
  <si>
    <t>DMV</t>
  </si>
  <si>
    <t>$2.2 million was shifted to Office of Finance and Treasury for collections.  Added back in in FY 2013, removed from OCFO</t>
  </si>
  <si>
    <t>$1.36 million was shifted to OFRM for telecom services.  Kept in DDOT, removed from OFRM</t>
  </si>
  <si>
    <t>Baseball Dedicated Tax Transfer***</t>
  </si>
  <si>
    <t>***Prior to FY2013 this was in Finance; starting FY13 in Enterprise</t>
  </si>
  <si>
    <t>TIF and PILOT Transfer - Dedicated Taxes****</t>
  </si>
  <si>
    <t>****In FY13 budget, this was moved to enterprise chapter as special revenue fund.</t>
  </si>
  <si>
    <t>Change FYA12-FY13P</t>
  </si>
  <si>
    <t>FY2013 Notes</t>
  </si>
  <si>
    <t>Explains additions or changes from FY 2012 budget</t>
  </si>
  <si>
    <t>Budget Shifts</t>
  </si>
  <si>
    <t>Explains notes on why certain money shifted from one agency to another</t>
  </si>
  <si>
    <t>FINANCE</t>
  </si>
  <si>
    <t>TIF AND PILOT, baseball transfer and highway trust fund moved back from enterprise to make comparisons to prior years.</t>
  </si>
</sst>
</file>

<file path=xl/styles.xml><?xml version="1.0" encoding="utf-8"?>
<styleSheet xmlns="http://schemas.openxmlformats.org/spreadsheetml/2006/main">
  <numFmts count="13">
    <numFmt numFmtId="6" formatCode="&quot;$&quot;#,##0_);[Red]\(&quot;$&quot;#,##0\)"/>
    <numFmt numFmtId="8" formatCode="&quot;$&quot;#,##0.00_);[Red]\(&quot;$&quot;#,##0.00\)"/>
    <numFmt numFmtId="44" formatCode="_(&quot;$&quot;* #,##0.00_);_(&quot;$&quot;* \(#,##0.00\);_(&quot;$&quot;* &quot;-&quot;??_);_(@_)"/>
    <numFmt numFmtId="43" formatCode="_(* #,##0.00_);_(* \(#,##0.00\);_(* &quot;-&quot;??_);_(@_)"/>
    <numFmt numFmtId="164" formatCode="0.0%"/>
    <numFmt numFmtId="165" formatCode="&quot;$&quot;#,##0"/>
    <numFmt numFmtId="166" formatCode="&quot;$&quot;#,##0;[Red]&quot;$&quot;#,##0"/>
    <numFmt numFmtId="167" formatCode="#,##0.0"/>
    <numFmt numFmtId="168" formatCode="&quot;$&quot;#,##0.0000"/>
    <numFmt numFmtId="169" formatCode="0.000%"/>
    <numFmt numFmtId="170" formatCode="0.0"/>
    <numFmt numFmtId="171" formatCode="&quot;$&quot;#,##0.000"/>
    <numFmt numFmtId="172" formatCode="_(&quot;$&quot;* #,##0_);_(&quot;$&quot;* \(#,##0\);_(&quot;$&quot;* &quot;-&quot;??_);_(@_)"/>
  </numFmts>
  <fonts count="31">
    <font>
      <sz val="10"/>
      <name val="Arial"/>
    </font>
    <font>
      <sz val="10"/>
      <color theme="1"/>
      <name val="Arial"/>
      <family val="2"/>
    </font>
    <font>
      <sz val="10"/>
      <name val="Arial"/>
      <family val="2"/>
    </font>
    <font>
      <b/>
      <sz val="14"/>
      <name val="Arial"/>
      <family val="2"/>
    </font>
    <font>
      <sz val="14"/>
      <name val="Arial"/>
      <family val="2"/>
    </font>
    <font>
      <sz val="12"/>
      <name val="Arial"/>
      <family val="2"/>
    </font>
    <font>
      <b/>
      <sz val="18"/>
      <name val="Arial"/>
      <family val="2"/>
    </font>
    <font>
      <sz val="10"/>
      <name val="Arial"/>
      <family val="2"/>
    </font>
    <font>
      <sz val="8"/>
      <name val="Arial"/>
      <family val="2"/>
    </font>
    <font>
      <b/>
      <sz val="10"/>
      <name val="Arial"/>
      <family val="2"/>
    </font>
    <font>
      <i/>
      <sz val="10"/>
      <name val="Arial"/>
      <family val="2"/>
    </font>
    <font>
      <sz val="10"/>
      <color rgb="FFFF0000"/>
      <name val="Arial"/>
      <family val="2"/>
    </font>
    <font>
      <b/>
      <sz val="10"/>
      <color rgb="FFFF0000"/>
      <name val="Arial"/>
      <family val="2"/>
    </font>
    <font>
      <sz val="10"/>
      <color rgb="FF7030A0"/>
      <name val="Arial"/>
      <family val="2"/>
    </font>
    <font>
      <b/>
      <sz val="10"/>
      <color theme="1"/>
      <name val="Arial"/>
      <family val="2"/>
    </font>
    <font>
      <b/>
      <sz val="10"/>
      <name val="Arial"/>
      <family val="2"/>
    </font>
    <font>
      <b/>
      <sz val="10"/>
      <name val="Arial"/>
      <family val="2"/>
    </font>
    <font>
      <i/>
      <sz val="10"/>
      <name val="Arial"/>
      <family val="2"/>
    </font>
    <font>
      <sz val="10"/>
      <name val="Arial"/>
      <family val="2"/>
    </font>
    <font>
      <sz val="10"/>
      <name val="Arial Narrow"/>
      <family val="2"/>
    </font>
    <font>
      <sz val="9.5"/>
      <name val="Arial Narrow"/>
      <family val="2"/>
    </font>
    <font>
      <sz val="10"/>
      <name val="Times New Roman"/>
      <family val="1"/>
    </font>
    <font>
      <sz val="8"/>
      <color indexed="81"/>
      <name val="Tahoma"/>
      <family val="2"/>
    </font>
    <font>
      <b/>
      <sz val="8"/>
      <color indexed="81"/>
      <name val="Tahoma"/>
      <family val="2"/>
    </font>
    <font>
      <sz val="10"/>
      <color indexed="8"/>
      <name val="Arial"/>
      <family val="2"/>
    </font>
    <font>
      <sz val="11"/>
      <name val="Calibri"/>
      <family val="2"/>
    </font>
    <font>
      <b/>
      <sz val="11"/>
      <name val="Calibri"/>
      <family val="2"/>
    </font>
    <font>
      <sz val="8"/>
      <name val="Symbol"/>
      <family val="1"/>
      <charset val="2"/>
    </font>
    <font>
      <sz val="7"/>
      <name val="Times New Roman"/>
      <family val="1"/>
    </font>
    <font>
      <sz val="9"/>
      <color indexed="81"/>
      <name val="Tahoma"/>
      <family val="2"/>
    </font>
    <font>
      <b/>
      <sz val="9"/>
      <color indexed="81"/>
      <name val="Tahoma"/>
      <family val="2"/>
    </font>
  </fonts>
  <fills count="12">
    <fill>
      <patternFill patternType="none"/>
    </fill>
    <fill>
      <patternFill patternType="gray125"/>
    </fill>
    <fill>
      <patternFill patternType="solid">
        <fgColor indexed="49"/>
        <bgColor indexed="64"/>
      </patternFill>
    </fill>
    <fill>
      <patternFill patternType="solid">
        <fgColor indexed="41"/>
        <bgColor indexed="64"/>
      </patternFill>
    </fill>
    <fill>
      <patternFill patternType="solid">
        <fgColor rgb="FFFFFF00"/>
        <bgColor indexed="64"/>
      </patternFill>
    </fill>
    <fill>
      <patternFill patternType="solid">
        <fgColor theme="0" tint="-0.249977111117893"/>
        <bgColor indexed="64"/>
      </patternFill>
    </fill>
    <fill>
      <patternFill patternType="solid">
        <fgColor rgb="FF00BCB8"/>
        <bgColor indexed="64"/>
      </patternFill>
    </fill>
    <fill>
      <patternFill patternType="solid">
        <fgColor theme="8" tint="-0.24994659260841701"/>
        <bgColor indexed="64"/>
      </patternFill>
    </fill>
    <fill>
      <patternFill patternType="solid">
        <fgColor theme="3" tint="0.59999389629810485"/>
        <bgColor indexed="64"/>
      </patternFill>
    </fill>
    <fill>
      <patternFill patternType="solid">
        <fgColor theme="5" tint="0.59999389629810485"/>
        <bgColor indexed="64"/>
      </patternFill>
    </fill>
    <fill>
      <patternFill patternType="solid">
        <fgColor rgb="FF009999"/>
        <bgColor indexed="64"/>
      </patternFill>
    </fill>
    <fill>
      <patternFill patternType="solid">
        <fgColor theme="0"/>
        <bgColor indexed="64"/>
      </patternFill>
    </fill>
  </fills>
  <borders count="27">
    <border>
      <left/>
      <right/>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diagonal/>
    </border>
    <border>
      <left/>
      <right style="medium">
        <color indexed="64"/>
      </right>
      <top/>
      <bottom style="medium">
        <color indexed="64"/>
      </bottom>
      <diagonal/>
    </border>
    <border>
      <left style="medium">
        <color indexed="64"/>
      </left>
      <right style="thin">
        <color indexed="64"/>
      </right>
      <top style="thin">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style="medium">
        <color indexed="64"/>
      </right>
      <top/>
      <bottom/>
      <diagonal/>
    </border>
    <border>
      <left style="medium">
        <color indexed="64"/>
      </left>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medium">
        <color indexed="64"/>
      </top>
      <bottom style="medium">
        <color indexed="64"/>
      </bottom>
      <diagonal/>
    </border>
    <border>
      <left/>
      <right/>
      <top style="medium">
        <color indexed="64"/>
      </top>
      <bottom style="medium">
        <color indexed="64"/>
      </bottom>
      <diagonal/>
    </border>
    <border>
      <left style="thin">
        <color indexed="64"/>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bottom style="thin">
        <color indexed="64"/>
      </bottom>
      <diagonal/>
    </border>
    <border>
      <left style="thin">
        <color indexed="64"/>
      </left>
      <right style="thin">
        <color auto="1"/>
      </right>
      <top style="thin">
        <color auto="1"/>
      </top>
      <bottom/>
      <diagonal/>
    </border>
    <border>
      <left/>
      <right/>
      <top style="medium">
        <color indexed="64"/>
      </top>
      <bottom/>
      <diagonal/>
    </border>
    <border>
      <left style="medium">
        <color indexed="64"/>
      </left>
      <right style="medium">
        <color indexed="64"/>
      </right>
      <top/>
      <bottom style="thin">
        <color indexed="64"/>
      </bottom>
      <diagonal/>
    </border>
    <border>
      <left style="thin">
        <color indexed="64"/>
      </left>
      <right/>
      <top style="thin">
        <color indexed="64"/>
      </top>
      <bottom style="medium">
        <color indexed="64"/>
      </bottom>
      <diagonal/>
    </border>
  </borders>
  <cellStyleXfs count="6">
    <xf numFmtId="0" fontId="0" fillId="0" borderId="0"/>
    <xf numFmtId="43" fontId="2" fillId="0" borderId="0" applyFont="0" applyFill="0" applyBorder="0" applyAlignment="0" applyProtection="0"/>
    <xf numFmtId="44" fontId="2" fillId="0" borderId="0" applyFont="0" applyFill="0" applyBorder="0" applyAlignment="0" applyProtection="0"/>
    <xf numFmtId="9" fontId="2" fillId="0" borderId="0" applyFont="0" applyFill="0" applyBorder="0" applyAlignment="0" applyProtection="0"/>
    <xf numFmtId="0" fontId="18" fillId="0" borderId="0"/>
    <xf numFmtId="0" fontId="21" fillId="0" borderId="0"/>
  </cellStyleXfs>
  <cellXfs count="726">
    <xf numFmtId="0" fontId="0" fillId="0" borderId="0" xfId="0"/>
    <xf numFmtId="0" fontId="5" fillId="0" borderId="0" xfId="0" applyFont="1"/>
    <xf numFmtId="0" fontId="6" fillId="0" borderId="0" xfId="0" applyFont="1"/>
    <xf numFmtId="0" fontId="4" fillId="0" borderId="0" xfId="0" applyFont="1" applyFill="1" applyBorder="1"/>
    <xf numFmtId="0" fontId="0" fillId="0" borderId="3" xfId="0" applyBorder="1"/>
    <xf numFmtId="0" fontId="0" fillId="0" borderId="0" xfId="0" applyFill="1"/>
    <xf numFmtId="0" fontId="0" fillId="0" borderId="0" xfId="0" applyBorder="1"/>
    <xf numFmtId="0" fontId="0" fillId="0" borderId="0" xfId="0" applyFill="1" applyBorder="1"/>
    <xf numFmtId="0" fontId="4" fillId="0" borderId="4" xfId="0" applyFont="1" applyFill="1" applyBorder="1"/>
    <xf numFmtId="0" fontId="4" fillId="0" borderId="5" xfId="0" applyFont="1" applyFill="1" applyBorder="1"/>
    <xf numFmtId="6" fontId="0" fillId="0" borderId="0" xfId="0" applyNumberFormat="1"/>
    <xf numFmtId="6" fontId="0" fillId="0" borderId="0" xfId="0" applyNumberFormat="1" applyFill="1" applyBorder="1"/>
    <xf numFmtId="6" fontId="9" fillId="0" borderId="0" xfId="0" applyNumberFormat="1" applyFont="1"/>
    <xf numFmtId="0" fontId="9" fillId="0" borderId="0" xfId="0" applyFont="1"/>
    <xf numFmtId="10" fontId="0" fillId="0" borderId="0" xfId="0" applyNumberFormat="1"/>
    <xf numFmtId="10" fontId="9" fillId="0" borderId="0" xfId="0" applyNumberFormat="1" applyFont="1"/>
    <xf numFmtId="10" fontId="0" fillId="0" borderId="3" xfId="0" applyNumberFormat="1" applyBorder="1"/>
    <xf numFmtId="10" fontId="0" fillId="0" borderId="0" xfId="0" applyNumberFormat="1" applyBorder="1"/>
    <xf numFmtId="6" fontId="0" fillId="0" borderId="5" xfId="0" applyNumberFormat="1" applyFill="1" applyBorder="1"/>
    <xf numFmtId="6" fontId="0" fillId="0" borderId="4" xfId="0" applyNumberFormat="1" applyFill="1" applyBorder="1"/>
    <xf numFmtId="0" fontId="9" fillId="0" borderId="0" xfId="0" applyFont="1" applyFill="1"/>
    <xf numFmtId="166" fontId="3" fillId="3" borderId="6" xfId="0" applyNumberFormat="1" applyFont="1" applyFill="1" applyBorder="1" applyAlignment="1">
      <alignment horizontal="center"/>
    </xf>
    <xf numFmtId="6" fontId="0" fillId="0" borderId="9" xfId="0" applyNumberFormat="1" applyFill="1" applyBorder="1"/>
    <xf numFmtId="0" fontId="5" fillId="0" borderId="0" xfId="0" applyFont="1" applyFill="1" applyBorder="1"/>
    <xf numFmtId="6" fontId="7" fillId="0" borderId="0" xfId="0" applyNumberFormat="1" applyFont="1" applyFill="1" applyBorder="1" applyAlignment="1">
      <alignment horizontal="right"/>
    </xf>
    <xf numFmtId="6" fontId="9" fillId="0" borderId="0" xfId="0" applyNumberFormat="1" applyFont="1" applyFill="1" applyBorder="1" applyAlignment="1">
      <alignment horizontal="right"/>
    </xf>
    <xf numFmtId="165" fontId="0" fillId="0" borderId="0" xfId="0" applyNumberFormat="1"/>
    <xf numFmtId="3" fontId="0" fillId="0" borderId="0" xfId="0" applyNumberFormat="1"/>
    <xf numFmtId="3" fontId="9" fillId="0" borderId="0" xfId="0" applyNumberFormat="1" applyFont="1"/>
    <xf numFmtId="3" fontId="0" fillId="0" borderId="0" xfId="0" applyNumberFormat="1" applyFill="1" applyBorder="1"/>
    <xf numFmtId="165" fontId="9" fillId="0" borderId="0" xfId="0" applyNumberFormat="1" applyFont="1"/>
    <xf numFmtId="164" fontId="0" fillId="0" borderId="0" xfId="0" applyNumberFormat="1"/>
    <xf numFmtId="165" fontId="0" fillId="0" borderId="0" xfId="0" applyNumberFormat="1" applyFill="1" applyBorder="1"/>
    <xf numFmtId="165" fontId="9" fillId="0" borderId="0" xfId="0" applyNumberFormat="1" applyFont="1" applyBorder="1"/>
    <xf numFmtId="10" fontId="5" fillId="0" borderId="0" xfId="0" applyNumberFormat="1" applyFont="1"/>
    <xf numFmtId="165" fontId="0" fillId="0" borderId="9" xfId="0" applyNumberFormat="1" applyFill="1" applyBorder="1"/>
    <xf numFmtId="164" fontId="9" fillId="0" borderId="0" xfId="0" applyNumberFormat="1" applyFont="1"/>
    <xf numFmtId="164" fontId="7" fillId="0" borderId="0" xfId="0" applyNumberFormat="1" applyFont="1" applyFill="1" applyBorder="1" applyAlignment="1">
      <alignment horizontal="right"/>
    </xf>
    <xf numFmtId="164" fontId="9" fillId="0" borderId="0" xfId="0" applyNumberFormat="1" applyFont="1" applyFill="1" applyBorder="1" applyAlignment="1">
      <alignment horizontal="right"/>
    </xf>
    <xf numFmtId="165" fontId="7" fillId="0" borderId="0" xfId="0" applyNumberFormat="1" applyFont="1"/>
    <xf numFmtId="165" fontId="7" fillId="0" borderId="0" xfId="0" applyNumberFormat="1" applyFont="1" applyBorder="1"/>
    <xf numFmtId="164" fontId="0" fillId="0" borderId="9" xfId="0" applyNumberFormat="1" applyFill="1" applyBorder="1"/>
    <xf numFmtId="164" fontId="0" fillId="0" borderId="5" xfId="0" applyNumberFormat="1" applyFill="1" applyBorder="1"/>
    <xf numFmtId="3" fontId="0" fillId="0" borderId="9" xfId="0" applyNumberFormat="1" applyFill="1" applyBorder="1"/>
    <xf numFmtId="3" fontId="0" fillId="0" borderId="4" xfId="0" applyNumberFormat="1" applyFill="1" applyBorder="1"/>
    <xf numFmtId="164" fontId="9" fillId="0" borderId="0" xfId="0" applyNumberFormat="1" applyFont="1" applyBorder="1"/>
    <xf numFmtId="6" fontId="9" fillId="0" borderId="0" xfId="0" applyNumberFormat="1" applyFont="1" applyBorder="1"/>
    <xf numFmtId="6" fontId="9" fillId="0" borderId="0" xfId="0" applyNumberFormat="1" applyFont="1" applyBorder="1" applyAlignment="1">
      <alignment horizontal="right"/>
    </xf>
    <xf numFmtId="164" fontId="9" fillId="0" borderId="0" xfId="0" applyNumberFormat="1" applyFont="1" applyAlignment="1">
      <alignment horizontal="right"/>
    </xf>
    <xf numFmtId="0" fontId="3" fillId="0" borderId="0" xfId="0" applyFont="1" applyFill="1" applyBorder="1"/>
    <xf numFmtId="0" fontId="7" fillId="0" borderId="0" xfId="0" applyFont="1"/>
    <xf numFmtId="10" fontId="7" fillId="0" borderId="0" xfId="0" applyNumberFormat="1" applyFont="1"/>
    <xf numFmtId="6" fontId="7" fillId="0" borderId="0" xfId="0" applyNumberFormat="1" applyFont="1"/>
    <xf numFmtId="0" fontId="7" fillId="0" borderId="0" xfId="0" applyFont="1" applyFill="1" applyBorder="1"/>
    <xf numFmtId="0" fontId="7" fillId="0" borderId="3" xfId="0" applyFont="1" applyBorder="1"/>
    <xf numFmtId="10" fontId="7" fillId="0" borderId="3" xfId="0" applyNumberFormat="1" applyFont="1" applyBorder="1"/>
    <xf numFmtId="6" fontId="9" fillId="3" borderId="4" xfId="0" applyNumberFormat="1" applyFont="1" applyFill="1" applyBorder="1" applyAlignment="1">
      <alignment horizontal="center"/>
    </xf>
    <xf numFmtId="0" fontId="7" fillId="0" borderId="1" xfId="0" applyFont="1" applyBorder="1"/>
    <xf numFmtId="164" fontId="7" fillId="0" borderId="0" xfId="0" applyNumberFormat="1" applyFont="1"/>
    <xf numFmtId="0" fontId="7" fillId="0" borderId="1" xfId="0" applyFont="1" applyFill="1" applyBorder="1"/>
    <xf numFmtId="164" fontId="7" fillId="0" borderId="0" xfId="0" applyNumberFormat="1" applyFont="1" applyAlignment="1">
      <alignment horizontal="right"/>
    </xf>
    <xf numFmtId="164" fontId="7" fillId="0" borderId="0" xfId="0" applyNumberFormat="1" applyFont="1" applyAlignment="1">
      <alignment horizontal="center"/>
    </xf>
    <xf numFmtId="6" fontId="7" fillId="0" borderId="0" xfId="0" applyNumberFormat="1" applyFont="1" applyFill="1"/>
    <xf numFmtId="0" fontId="7" fillId="0" borderId="0" xfId="0" applyFont="1" applyBorder="1"/>
    <xf numFmtId="0" fontId="9" fillId="0" borderId="0" xfId="0" applyFont="1" applyBorder="1"/>
    <xf numFmtId="3" fontId="7" fillId="0" borderId="0" xfId="0" applyNumberFormat="1" applyFont="1"/>
    <xf numFmtId="6" fontId="7" fillId="0" borderId="0" xfId="0" applyNumberFormat="1" applyFont="1" applyAlignment="1">
      <alignment horizontal="right"/>
    </xf>
    <xf numFmtId="165" fontId="7" fillId="0" borderId="0" xfId="0" applyNumberFormat="1" applyFont="1" applyAlignment="1">
      <alignment horizontal="right"/>
    </xf>
    <xf numFmtId="166" fontId="7" fillId="0" borderId="0" xfId="0" applyNumberFormat="1" applyFont="1"/>
    <xf numFmtId="6" fontId="7" fillId="0" borderId="0" xfId="0" applyNumberFormat="1" applyFont="1" applyBorder="1"/>
    <xf numFmtId="164" fontId="7" fillId="0" borderId="0" xfId="0" applyNumberFormat="1" applyFont="1" applyBorder="1" applyAlignment="1">
      <alignment horizontal="right"/>
    </xf>
    <xf numFmtId="166" fontId="7" fillId="0" borderId="0" xfId="0" applyNumberFormat="1" applyFont="1" applyBorder="1"/>
    <xf numFmtId="164" fontId="7" fillId="0" borderId="0" xfId="0" applyNumberFormat="1" applyFont="1" applyBorder="1"/>
    <xf numFmtId="0" fontId="10" fillId="0" borderId="0" xfId="0" applyFont="1" applyBorder="1"/>
    <xf numFmtId="6" fontId="7" fillId="0" borderId="3" xfId="0" applyNumberFormat="1" applyFont="1" applyBorder="1" applyAlignment="1">
      <alignment horizontal="right"/>
    </xf>
    <xf numFmtId="6" fontId="7" fillId="0" borderId="3" xfId="0" applyNumberFormat="1" applyFont="1" applyBorder="1"/>
    <xf numFmtId="164" fontId="7" fillId="0" borderId="3" xfId="0" applyNumberFormat="1" applyFont="1" applyBorder="1" applyAlignment="1">
      <alignment horizontal="right"/>
    </xf>
    <xf numFmtId="164" fontId="7" fillId="0" borderId="3" xfId="0" applyNumberFormat="1" applyFont="1" applyBorder="1"/>
    <xf numFmtId="3" fontId="7" fillId="0" borderId="0" xfId="0" applyNumberFormat="1" applyFont="1" applyFill="1"/>
    <xf numFmtId="0" fontId="7" fillId="0" borderId="0" xfId="0" applyFont="1" applyFill="1"/>
    <xf numFmtId="3" fontId="7" fillId="0" borderId="0" xfId="0" applyNumberFormat="1" applyFont="1" applyBorder="1"/>
    <xf numFmtId="6" fontId="7" fillId="0" borderId="0" xfId="0" applyNumberFormat="1" applyFont="1" applyBorder="1" applyAlignment="1">
      <alignment horizontal="right"/>
    </xf>
    <xf numFmtId="0" fontId="7" fillId="0" borderId="2" xfId="0" applyFont="1" applyBorder="1"/>
    <xf numFmtId="0" fontId="10" fillId="0" borderId="0" xfId="0" applyFont="1"/>
    <xf numFmtId="3" fontId="7" fillId="0" borderId="0" xfId="0" applyNumberFormat="1" applyFont="1" applyAlignment="1">
      <alignment wrapText="1"/>
    </xf>
    <xf numFmtId="0" fontId="9" fillId="0" borderId="0" xfId="0" applyFont="1" applyFill="1" applyBorder="1"/>
    <xf numFmtId="3" fontId="11" fillId="0" borderId="0" xfId="0" applyNumberFormat="1" applyFont="1" applyAlignment="1">
      <alignment wrapText="1"/>
    </xf>
    <xf numFmtId="0" fontId="11" fillId="0" borderId="0" xfId="0" applyFont="1" applyFill="1" applyBorder="1"/>
    <xf numFmtId="0" fontId="11" fillId="0" borderId="0" xfId="0" applyFont="1" applyBorder="1"/>
    <xf numFmtId="3" fontId="11" fillId="0" borderId="0" xfId="0" applyNumberFormat="1" applyFont="1" applyBorder="1"/>
    <xf numFmtId="3" fontId="9" fillId="0" borderId="0" xfId="0" applyNumberFormat="1" applyFont="1" applyBorder="1"/>
    <xf numFmtId="3" fontId="12" fillId="0" borderId="0" xfId="0" applyNumberFormat="1" applyFont="1"/>
    <xf numFmtId="167" fontId="7" fillId="0" borderId="0" xfId="0" applyNumberFormat="1" applyFont="1"/>
    <xf numFmtId="167" fontId="9" fillId="0" borderId="0" xfId="0" applyNumberFormat="1" applyFont="1"/>
    <xf numFmtId="3" fontId="7" fillId="0" borderId="3" xfId="0" applyNumberFormat="1" applyFont="1" applyBorder="1"/>
    <xf numFmtId="9" fontId="7" fillId="0" borderId="0" xfId="1" applyNumberFormat="1" applyFont="1" applyFill="1"/>
    <xf numFmtId="9" fontId="7" fillId="0" borderId="0" xfId="1" applyNumberFormat="1" applyFont="1" applyFill="1" applyBorder="1"/>
    <xf numFmtId="9" fontId="9" fillId="0" borderId="0" xfId="0" applyNumberFormat="1" applyFont="1"/>
    <xf numFmtId="9" fontId="9" fillId="0" borderId="0" xfId="1" applyNumberFormat="1" applyFont="1" applyFill="1"/>
    <xf numFmtId="9" fontId="7" fillId="0" borderId="0" xfId="0" applyNumberFormat="1" applyFont="1"/>
    <xf numFmtId="9" fontId="0" fillId="0" borderId="0" xfId="0" applyNumberFormat="1"/>
    <xf numFmtId="9" fontId="7" fillId="0" borderId="0" xfId="0" applyNumberFormat="1" applyFont="1" applyBorder="1"/>
    <xf numFmtId="165" fontId="7" fillId="0" borderId="3" xfId="0" applyNumberFormat="1" applyFont="1" applyBorder="1"/>
    <xf numFmtId="0" fontId="7" fillId="0" borderId="0" xfId="0" applyFont="1" applyFill="1" applyBorder="1" applyAlignment="1">
      <alignment horizontal="left"/>
    </xf>
    <xf numFmtId="0" fontId="9" fillId="5" borderId="1" xfId="0" applyFont="1" applyFill="1" applyBorder="1"/>
    <xf numFmtId="0" fontId="9" fillId="5" borderId="0" xfId="0" applyFont="1" applyFill="1" applyBorder="1" applyAlignment="1">
      <alignment horizontal="center"/>
    </xf>
    <xf numFmtId="10" fontId="9" fillId="5" borderId="0" xfId="0" applyNumberFormat="1" applyFont="1" applyFill="1" applyBorder="1" applyAlignment="1">
      <alignment horizontal="center"/>
    </xf>
    <xf numFmtId="6" fontId="7" fillId="5" borderId="0" xfId="0" applyNumberFormat="1" applyFont="1" applyFill="1"/>
    <xf numFmtId="10" fontId="7" fillId="5" borderId="0" xfId="0" applyNumberFormat="1" applyFont="1" applyFill="1"/>
    <xf numFmtId="0" fontId="7" fillId="5" borderId="0" xfId="0" applyFont="1" applyFill="1"/>
    <xf numFmtId="3" fontId="7" fillId="5" borderId="0" xfId="0" applyNumberFormat="1" applyFont="1" applyFill="1"/>
    <xf numFmtId="9" fontId="7" fillId="5" borderId="0" xfId="1" applyNumberFormat="1" applyFont="1" applyFill="1"/>
    <xf numFmtId="0" fontId="9" fillId="5" borderId="0" xfId="0" applyFont="1" applyFill="1" applyAlignment="1">
      <alignment wrapText="1"/>
    </xf>
    <xf numFmtId="9" fontId="0" fillId="5" borderId="0" xfId="0" applyNumberFormat="1" applyFill="1"/>
    <xf numFmtId="9" fontId="7" fillId="5" borderId="0" xfId="0" applyNumberFormat="1" applyFont="1" applyFill="1"/>
    <xf numFmtId="0" fontId="0" fillId="5" borderId="0" xfId="0" applyFill="1"/>
    <xf numFmtId="0" fontId="9" fillId="5" borderId="0" xfId="0" applyFont="1" applyFill="1" applyBorder="1"/>
    <xf numFmtId="164" fontId="9" fillId="5" borderId="0" xfId="0" applyNumberFormat="1" applyFont="1" applyFill="1" applyBorder="1" applyAlignment="1">
      <alignment horizontal="center"/>
    </xf>
    <xf numFmtId="0" fontId="7" fillId="5" borderId="0" xfId="0" applyFont="1" applyFill="1" applyBorder="1"/>
    <xf numFmtId="164" fontId="7" fillId="5" borderId="0" xfId="0" applyNumberFormat="1" applyFont="1" applyFill="1" applyBorder="1"/>
    <xf numFmtId="3" fontId="7" fillId="5" borderId="0" xfId="0" applyNumberFormat="1" applyFont="1" applyFill="1" applyBorder="1"/>
    <xf numFmtId="165" fontId="7" fillId="5" borderId="0" xfId="0" applyNumberFormat="1" applyFont="1" applyFill="1" applyBorder="1"/>
    <xf numFmtId="9" fontId="7" fillId="5" borderId="0" xfId="1" applyNumberFormat="1" applyFont="1" applyFill="1" applyBorder="1"/>
    <xf numFmtId="3" fontId="7" fillId="5" borderId="0" xfId="0" applyNumberFormat="1" applyFont="1" applyFill="1" applyAlignment="1">
      <alignment wrapText="1"/>
    </xf>
    <xf numFmtId="9" fontId="7" fillId="5" borderId="0" xfId="0" applyNumberFormat="1" applyFont="1" applyFill="1" applyBorder="1"/>
    <xf numFmtId="164" fontId="7" fillId="5" borderId="0" xfId="0" applyNumberFormat="1" applyFont="1" applyFill="1"/>
    <xf numFmtId="9" fontId="7" fillId="0" borderId="3" xfId="1" applyNumberFormat="1" applyFont="1" applyFill="1" applyBorder="1"/>
    <xf numFmtId="3" fontId="7" fillId="0" borderId="3" xfId="0" applyNumberFormat="1" applyFont="1" applyBorder="1" applyAlignment="1">
      <alignment wrapText="1"/>
    </xf>
    <xf numFmtId="9" fontId="0" fillId="0" borderId="3" xfId="0" applyNumberFormat="1" applyBorder="1"/>
    <xf numFmtId="9" fontId="7" fillId="0" borderId="3" xfId="0" applyNumberFormat="1" applyFont="1" applyBorder="1"/>
    <xf numFmtId="0" fontId="7" fillId="0" borderId="3" xfId="0" applyFont="1" applyFill="1" applyBorder="1"/>
    <xf numFmtId="9" fontId="0" fillId="0" borderId="0" xfId="0" applyNumberFormat="1" applyBorder="1"/>
    <xf numFmtId="6" fontId="9" fillId="5" borderId="0" xfId="0" applyNumberFormat="1" applyFont="1" applyFill="1"/>
    <xf numFmtId="164" fontId="9" fillId="5" borderId="0" xfId="0" applyNumberFormat="1" applyFont="1" applyFill="1"/>
    <xf numFmtId="9" fontId="9" fillId="5" borderId="0" xfId="1" applyNumberFormat="1" applyFont="1" applyFill="1"/>
    <xf numFmtId="9" fontId="9" fillId="5" borderId="0" xfId="0" applyNumberFormat="1" applyFont="1" applyFill="1"/>
    <xf numFmtId="6" fontId="9" fillId="0" borderId="0" xfId="0" applyNumberFormat="1" applyFont="1" applyFill="1"/>
    <xf numFmtId="164" fontId="9" fillId="0" borderId="0" xfId="0" applyNumberFormat="1" applyFont="1" applyFill="1"/>
    <xf numFmtId="165" fontId="9" fillId="0" borderId="0" xfId="0" applyNumberFormat="1" applyFont="1" applyFill="1"/>
    <xf numFmtId="3" fontId="9" fillId="0" borderId="0" xfId="0" applyNumberFormat="1" applyFont="1" applyFill="1"/>
    <xf numFmtId="9" fontId="9" fillId="0" borderId="0" xfId="0" applyNumberFormat="1" applyFont="1" applyFill="1"/>
    <xf numFmtId="6" fontId="9" fillId="0" borderId="0" xfId="0" applyNumberFormat="1" applyFont="1" applyFill="1" applyBorder="1"/>
    <xf numFmtId="6" fontId="9" fillId="5" borderId="0" xfId="0" applyNumberFormat="1" applyFont="1" applyFill="1" applyBorder="1"/>
    <xf numFmtId="164" fontId="9" fillId="5" borderId="0" xfId="0" applyNumberFormat="1" applyFont="1" applyFill="1" applyAlignment="1">
      <alignment horizontal="right"/>
    </xf>
    <xf numFmtId="164" fontId="9" fillId="5" borderId="0" xfId="0" applyNumberFormat="1" applyFont="1" applyFill="1" applyBorder="1"/>
    <xf numFmtId="164" fontId="7" fillId="0" borderId="0" xfId="0" applyNumberFormat="1" applyFont="1" applyBorder="1" applyAlignment="1">
      <alignment horizontal="center"/>
    </xf>
    <xf numFmtId="0" fontId="9" fillId="0" borderId="4" xfId="0" applyFont="1" applyFill="1" applyBorder="1"/>
    <xf numFmtId="9" fontId="7" fillId="0" borderId="0" xfId="3" applyFont="1"/>
    <xf numFmtId="9" fontId="9" fillId="0" borderId="0" xfId="3" applyFont="1"/>
    <xf numFmtId="9" fontId="7" fillId="0" borderId="3" xfId="3" applyFont="1" applyBorder="1"/>
    <xf numFmtId="9" fontId="7" fillId="5" borderId="0" xfId="3" applyFont="1" applyFill="1"/>
    <xf numFmtId="9" fontId="9" fillId="5" borderId="0" xfId="3" applyFont="1" applyFill="1"/>
    <xf numFmtId="9" fontId="0" fillId="0" borderId="0" xfId="3" applyFont="1"/>
    <xf numFmtId="0" fontId="7" fillId="0" borderId="10" xfId="0" applyFont="1" applyFill="1" applyBorder="1"/>
    <xf numFmtId="6" fontId="7" fillId="5" borderId="0" xfId="0" applyNumberFormat="1" applyFont="1" applyFill="1" applyBorder="1"/>
    <xf numFmtId="6" fontId="7" fillId="0" borderId="0" xfId="0" applyNumberFormat="1" applyFont="1" applyFill="1" applyBorder="1"/>
    <xf numFmtId="6" fontId="7" fillId="0" borderId="3" xfId="0" applyNumberFormat="1" applyFont="1" applyFill="1" applyBorder="1"/>
    <xf numFmtId="6" fontId="7" fillId="0" borderId="0" xfId="1" applyNumberFormat="1" applyFont="1" applyFill="1"/>
    <xf numFmtId="6" fontId="7" fillId="5" borderId="0" xfId="1" applyNumberFormat="1" applyFont="1" applyFill="1"/>
    <xf numFmtId="6" fontId="9" fillId="5" borderId="0" xfId="0" applyNumberFormat="1" applyFont="1" applyFill="1" applyAlignment="1">
      <alignment wrapText="1"/>
    </xf>
    <xf numFmtId="6" fontId="11" fillId="0" borderId="0" xfId="0" applyNumberFormat="1" applyFont="1" applyBorder="1"/>
    <xf numFmtId="6" fontId="7" fillId="0" borderId="3" xfId="1" applyNumberFormat="1" applyFont="1" applyFill="1" applyBorder="1"/>
    <xf numFmtId="6" fontId="7" fillId="5" borderId="0" xfId="1" applyNumberFormat="1" applyFont="1" applyFill="1" applyBorder="1"/>
    <xf numFmtId="6" fontId="9" fillId="0" borderId="0" xfId="1" applyNumberFormat="1" applyFont="1" applyFill="1"/>
    <xf numFmtId="6" fontId="11" fillId="0" borderId="0" xfId="0" applyNumberFormat="1" applyFont="1"/>
    <xf numFmtId="6" fontId="9" fillId="0" borderId="0" xfId="0" applyNumberFormat="1" applyFont="1" applyAlignment="1">
      <alignment wrapText="1"/>
    </xf>
    <xf numFmtId="6" fontId="7" fillId="0" borderId="0" xfId="1" applyNumberFormat="1" applyFont="1" applyFill="1" applyAlignment="1">
      <alignment horizontal="right"/>
    </xf>
    <xf numFmtId="6" fontId="11" fillId="0" borderId="0" xfId="0" applyNumberFormat="1" applyFont="1" applyFill="1" applyBorder="1"/>
    <xf numFmtId="6" fontId="12" fillId="0" borderId="0" xfId="0" applyNumberFormat="1" applyFont="1"/>
    <xf numFmtId="6" fontId="9" fillId="5" borderId="0" xfId="1" applyNumberFormat="1" applyFont="1" applyFill="1"/>
    <xf numFmtId="6" fontId="7" fillId="5" borderId="0" xfId="0" applyNumberFormat="1" applyFont="1" applyFill="1" applyAlignment="1">
      <alignment wrapText="1"/>
    </xf>
    <xf numFmtId="6" fontId="9" fillId="0" borderId="0" xfId="0" applyNumberFormat="1" applyFont="1" applyFill="1" applyAlignment="1">
      <alignment wrapText="1"/>
    </xf>
    <xf numFmtId="6" fontId="7" fillId="0" borderId="0" xfId="0" applyNumberFormat="1" applyFont="1" applyAlignment="1">
      <alignment wrapText="1"/>
    </xf>
    <xf numFmtId="6" fontId="7" fillId="0" borderId="0" xfId="0" applyNumberFormat="1" applyFont="1" applyBorder="1" applyAlignment="1">
      <alignment wrapText="1"/>
    </xf>
    <xf numFmtId="6" fontId="7" fillId="0" borderId="3" xfId="0" applyNumberFormat="1" applyFont="1" applyBorder="1" applyAlignment="1">
      <alignment wrapText="1"/>
    </xf>
    <xf numFmtId="6" fontId="7" fillId="5" borderId="0" xfId="1" applyNumberFormat="1" applyFont="1" applyFill="1" applyAlignment="1">
      <alignment horizontal="right"/>
    </xf>
    <xf numFmtId="6" fontId="7" fillId="0" borderId="0" xfId="1" applyNumberFormat="1" applyFont="1" applyFill="1" applyBorder="1" applyAlignment="1">
      <alignment horizontal="right"/>
    </xf>
    <xf numFmtId="6" fontId="7" fillId="0" borderId="3" xfId="1" applyNumberFormat="1" applyFont="1" applyFill="1" applyBorder="1" applyAlignment="1">
      <alignment horizontal="right"/>
    </xf>
    <xf numFmtId="6" fontId="9" fillId="0" borderId="0" xfId="0" applyNumberFormat="1" applyFont="1" applyAlignment="1">
      <alignment horizontal="right"/>
    </xf>
    <xf numFmtId="6" fontId="7" fillId="5" borderId="0" xfId="1" applyNumberFormat="1" applyFont="1" applyFill="1" applyBorder="1" applyAlignment="1">
      <alignment horizontal="right"/>
    </xf>
    <xf numFmtId="6" fontId="9" fillId="0" borderId="0" xfId="1" applyNumberFormat="1" applyFont="1" applyFill="1" applyAlignment="1">
      <alignment horizontal="right"/>
    </xf>
    <xf numFmtId="6" fontId="9" fillId="0" borderId="0" xfId="0" applyNumberFormat="1" applyFont="1" applyAlignment="1">
      <alignment horizontal="right" wrapText="1"/>
    </xf>
    <xf numFmtId="6" fontId="9" fillId="0" borderId="0" xfId="0" applyNumberFormat="1" applyFont="1" applyFill="1" applyAlignment="1">
      <alignment horizontal="right"/>
    </xf>
    <xf numFmtId="6" fontId="9" fillId="5" borderId="0" xfId="1" applyNumberFormat="1" applyFont="1" applyFill="1" applyAlignment="1">
      <alignment horizontal="right"/>
    </xf>
    <xf numFmtId="6" fontId="9" fillId="3" borderId="5" xfId="0" applyNumberFormat="1" applyFont="1" applyFill="1" applyBorder="1" applyAlignment="1">
      <alignment horizontal="center"/>
    </xf>
    <xf numFmtId="6" fontId="7" fillId="0" borderId="0" xfId="2" applyNumberFormat="1" applyFont="1"/>
    <xf numFmtId="9" fontId="9" fillId="3" borderId="4" xfId="0" applyNumberFormat="1" applyFont="1" applyFill="1" applyBorder="1" applyAlignment="1">
      <alignment horizontal="center"/>
    </xf>
    <xf numFmtId="6" fontId="7" fillId="0" borderId="3" xfId="2" applyNumberFormat="1" applyFont="1" applyBorder="1"/>
    <xf numFmtId="6" fontId="7" fillId="5" borderId="0" xfId="2" applyNumberFormat="1" applyFont="1" applyFill="1"/>
    <xf numFmtId="6" fontId="9" fillId="2" borderId="2" xfId="0" applyNumberFormat="1" applyFont="1" applyFill="1" applyBorder="1" applyAlignment="1">
      <alignment horizontal="center"/>
    </xf>
    <xf numFmtId="9" fontId="9" fillId="2" borderId="2" xfId="0" applyNumberFormat="1" applyFont="1" applyFill="1" applyBorder="1" applyAlignment="1">
      <alignment horizontal="center"/>
    </xf>
    <xf numFmtId="0" fontId="9" fillId="5" borderId="3" xfId="0" applyFont="1" applyFill="1" applyBorder="1"/>
    <xf numFmtId="6" fontId="7" fillId="5" borderId="3" xfId="0" applyNumberFormat="1" applyFont="1" applyFill="1" applyBorder="1"/>
    <xf numFmtId="9" fontId="7" fillId="5" borderId="3" xfId="3" applyFont="1" applyFill="1" applyBorder="1"/>
    <xf numFmtId="6" fontId="7" fillId="5" borderId="3" xfId="2" applyNumberFormat="1" applyFont="1" applyFill="1" applyBorder="1"/>
    <xf numFmtId="9" fontId="7" fillId="5" borderId="3" xfId="0" applyNumberFormat="1" applyFont="1" applyFill="1" applyBorder="1"/>
    <xf numFmtId="0" fontId="0" fillId="5" borderId="3" xfId="0" applyFill="1" applyBorder="1"/>
    <xf numFmtId="6" fontId="9" fillId="0" borderId="0" xfId="2" applyNumberFormat="1" applyFont="1"/>
    <xf numFmtId="0" fontId="7" fillId="5" borderId="3" xfId="0" applyFont="1" applyFill="1" applyBorder="1"/>
    <xf numFmtId="6" fontId="9" fillId="2" borderId="2" xfId="0" applyNumberFormat="1" applyFont="1" applyFill="1" applyBorder="1" applyAlignment="1">
      <alignment horizontal="center" wrapText="1"/>
    </xf>
    <xf numFmtId="165" fontId="0" fillId="5" borderId="0" xfId="0" applyNumberFormat="1" applyFill="1"/>
    <xf numFmtId="6" fontId="2" fillId="5" borderId="0" xfId="0" applyNumberFormat="1" applyFont="1" applyFill="1"/>
    <xf numFmtId="6" fontId="2" fillId="0" borderId="0" xfId="0" applyNumberFormat="1" applyFont="1" applyFill="1"/>
    <xf numFmtId="6" fontId="14" fillId="5" borderId="0" xfId="0" applyNumberFormat="1" applyFont="1" applyFill="1"/>
    <xf numFmtId="6" fontId="1" fillId="0" borderId="0" xfId="0" applyNumberFormat="1" applyFont="1" applyFill="1"/>
    <xf numFmtId="6" fontId="2" fillId="0" borderId="0" xfId="0" applyNumberFormat="1" applyFont="1" applyFill="1" applyBorder="1"/>
    <xf numFmtId="6" fontId="2" fillId="0" borderId="3" xfId="0" applyNumberFormat="1" applyFont="1" applyFill="1" applyBorder="1"/>
    <xf numFmtId="6" fontId="13" fillId="0" borderId="0" xfId="0" applyNumberFormat="1" applyFont="1" applyFill="1"/>
    <xf numFmtId="6" fontId="12" fillId="0" borderId="0" xfId="0" applyNumberFormat="1" applyFont="1" applyFill="1" applyBorder="1"/>
    <xf numFmtId="6" fontId="9" fillId="0" borderId="3" xfId="0" applyNumberFormat="1" applyFont="1" applyBorder="1"/>
    <xf numFmtId="164" fontId="9" fillId="0" borderId="3" xfId="0" applyNumberFormat="1" applyFont="1" applyBorder="1" applyAlignment="1">
      <alignment horizontal="right"/>
    </xf>
    <xf numFmtId="6" fontId="9" fillId="0" borderId="3" xfId="0" applyNumberFormat="1" applyFont="1" applyBorder="1" applyAlignment="1">
      <alignment horizontal="right"/>
    </xf>
    <xf numFmtId="164" fontId="9" fillId="0" borderId="3" xfId="0" applyNumberFormat="1" applyFont="1" applyBorder="1"/>
    <xf numFmtId="165" fontId="9" fillId="0" borderId="3" xfId="0" applyNumberFormat="1" applyFont="1" applyBorder="1"/>
    <xf numFmtId="3" fontId="9" fillId="0" borderId="3" xfId="0" applyNumberFormat="1" applyFont="1" applyBorder="1"/>
    <xf numFmtId="6" fontId="9" fillId="0" borderId="3" xfId="1" applyNumberFormat="1" applyFont="1" applyFill="1" applyBorder="1" applyAlignment="1">
      <alignment horizontal="right"/>
    </xf>
    <xf numFmtId="6" fontId="9" fillId="0" borderId="3" xfId="1" applyNumberFormat="1" applyFont="1" applyFill="1" applyBorder="1"/>
    <xf numFmtId="9" fontId="9" fillId="0" borderId="3" xfId="1" applyNumberFormat="1" applyFont="1" applyFill="1" applyBorder="1"/>
    <xf numFmtId="10" fontId="2" fillId="0" borderId="0" xfId="0" applyNumberFormat="1" applyFont="1" applyFill="1"/>
    <xf numFmtId="3" fontId="2" fillId="0" borderId="0" xfId="0" applyNumberFormat="1" applyFont="1"/>
    <xf numFmtId="0" fontId="2" fillId="0" borderId="0" xfId="0" applyFont="1"/>
    <xf numFmtId="0" fontId="2" fillId="0" borderId="0" xfId="0" applyFont="1" applyAlignment="1">
      <alignment horizontal="left" vertical="center"/>
    </xf>
    <xf numFmtId="0" fontId="2" fillId="0" borderId="0" xfId="0" applyFont="1" applyAlignment="1">
      <alignment horizontal="left" vertical="center" wrapText="1"/>
    </xf>
    <xf numFmtId="0" fontId="0" fillId="0" borderId="0" xfId="0" applyAlignment="1">
      <alignment horizontal="left" vertical="center"/>
    </xf>
    <xf numFmtId="0" fontId="0" fillId="0" borderId="0" xfId="0" applyAlignment="1">
      <alignment horizontal="left" vertical="center" wrapText="1"/>
    </xf>
    <xf numFmtId="0" fontId="9" fillId="0" borderId="0" xfId="0" applyFont="1" applyAlignment="1">
      <alignment horizontal="left" vertical="center" wrapText="1"/>
    </xf>
    <xf numFmtId="164" fontId="9" fillId="0" borderId="0" xfId="3" applyNumberFormat="1" applyFont="1" applyFill="1"/>
    <xf numFmtId="164" fontId="9" fillId="0" borderId="0" xfId="3" applyNumberFormat="1" applyFont="1"/>
    <xf numFmtId="3" fontId="0" fillId="0" borderId="7" xfId="0" applyNumberFormat="1" applyFill="1" applyBorder="1"/>
    <xf numFmtId="0" fontId="4" fillId="5" borderId="5" xfId="0" applyFont="1" applyFill="1" applyBorder="1"/>
    <xf numFmtId="6" fontId="0" fillId="5" borderId="5" xfId="0" applyNumberFormat="1" applyFill="1" applyBorder="1"/>
    <xf numFmtId="164" fontId="0" fillId="5" borderId="5" xfId="0" applyNumberFormat="1" applyFill="1" applyBorder="1"/>
    <xf numFmtId="6" fontId="0" fillId="5" borderId="4" xfId="0" applyNumberFormat="1" applyFill="1" applyBorder="1"/>
    <xf numFmtId="6" fontId="0" fillId="5" borderId="9" xfId="0" applyNumberFormat="1" applyFill="1" applyBorder="1"/>
    <xf numFmtId="164" fontId="0" fillId="5" borderId="9" xfId="0" applyNumberFormat="1" applyFill="1" applyBorder="1"/>
    <xf numFmtId="165" fontId="0" fillId="5" borderId="9" xfId="0" applyNumberFormat="1" applyFill="1" applyBorder="1"/>
    <xf numFmtId="3" fontId="0" fillId="5" borderId="9" xfId="0" applyNumberFormat="1" applyFill="1" applyBorder="1"/>
    <xf numFmtId="0" fontId="3" fillId="5" borderId="4" xfId="0" applyFont="1" applyFill="1" applyBorder="1"/>
    <xf numFmtId="3" fontId="0" fillId="5" borderId="4" xfId="0" applyNumberFormat="1" applyFill="1" applyBorder="1"/>
    <xf numFmtId="0" fontId="9" fillId="5" borderId="0" xfId="0" applyFont="1" applyFill="1"/>
    <xf numFmtId="6" fontId="9" fillId="2" borderId="12" xfId="0" applyNumberFormat="1" applyFont="1" applyFill="1" applyBorder="1" applyAlignment="1">
      <alignment horizontal="center"/>
    </xf>
    <xf numFmtId="164" fontId="7" fillId="0" borderId="0" xfId="0" applyNumberFormat="1" applyFont="1" applyFill="1"/>
    <xf numFmtId="168" fontId="9" fillId="0" borderId="0" xfId="0" applyNumberFormat="1" applyFont="1"/>
    <xf numFmtId="8" fontId="7" fillId="0" borderId="0" xfId="0" applyNumberFormat="1" applyFont="1"/>
    <xf numFmtId="3" fontId="2" fillId="0" borderId="0" xfId="0" applyNumberFormat="1" applyFont="1" applyBorder="1"/>
    <xf numFmtId="0" fontId="2" fillId="0" borderId="0" xfId="0" applyFont="1" applyFill="1" applyBorder="1"/>
    <xf numFmtId="3" fontId="2" fillId="0" borderId="0" xfId="0" applyNumberFormat="1" applyFont="1" applyFill="1" applyBorder="1"/>
    <xf numFmtId="0" fontId="2" fillId="0" borderId="3" xfId="0" applyFont="1" applyBorder="1"/>
    <xf numFmtId="0" fontId="2" fillId="5" borderId="0" xfId="0" applyFont="1" applyFill="1"/>
    <xf numFmtId="164" fontId="7" fillId="0" borderId="3" xfId="0" applyNumberFormat="1" applyFont="1" applyFill="1" applyBorder="1"/>
    <xf numFmtId="0" fontId="2" fillId="0" borderId="0" xfId="0" applyFont="1" applyAlignment="1">
      <alignment horizontal="center" wrapText="1"/>
    </xf>
    <xf numFmtId="0" fontId="2" fillId="0" borderId="0" xfId="0" applyFont="1" applyAlignment="1">
      <alignment horizontal="center"/>
    </xf>
    <xf numFmtId="0" fontId="2" fillId="0" borderId="0" xfId="0" applyFont="1" applyFill="1" applyBorder="1" applyAlignment="1">
      <alignment horizontal="center" wrapText="1"/>
    </xf>
    <xf numFmtId="0" fontId="2" fillId="0" borderId="0" xfId="0" applyFont="1" applyBorder="1"/>
    <xf numFmtId="0" fontId="2" fillId="0" borderId="0" xfId="0" applyFont="1" applyAlignment="1">
      <alignment wrapText="1"/>
    </xf>
    <xf numFmtId="0" fontId="0" fillId="0" borderId="0" xfId="0" applyFont="1" applyBorder="1"/>
    <xf numFmtId="0" fontId="2" fillId="0" borderId="3" xfId="0" applyFont="1" applyFill="1" applyBorder="1"/>
    <xf numFmtId="0" fontId="2" fillId="0" borderId="0" xfId="0" applyFont="1" applyFill="1" applyBorder="1" applyAlignment="1">
      <alignment horizontal="center"/>
    </xf>
    <xf numFmtId="6" fontId="2" fillId="0" borderId="0" xfId="0" applyNumberFormat="1" applyFont="1"/>
    <xf numFmtId="0" fontId="0" fillId="0" borderId="0" xfId="0" applyFont="1"/>
    <xf numFmtId="0" fontId="0" fillId="0" borderId="0" xfId="0" applyFont="1" applyFill="1" applyBorder="1"/>
    <xf numFmtId="0" fontId="15" fillId="0" borderId="0" xfId="0" applyFont="1"/>
    <xf numFmtId="9" fontId="7" fillId="0" borderId="0" xfId="0" applyNumberFormat="1" applyFont="1" applyFill="1"/>
    <xf numFmtId="3" fontId="0" fillId="0" borderId="0" xfId="0" applyNumberFormat="1" applyFont="1"/>
    <xf numFmtId="9" fontId="2" fillId="0" borderId="0" xfId="0" applyNumberFormat="1" applyFont="1"/>
    <xf numFmtId="0" fontId="7" fillId="0" borderId="3" xfId="0" applyNumberFormat="1" applyFont="1" applyBorder="1"/>
    <xf numFmtId="10" fontId="9" fillId="0" borderId="0" xfId="0" applyNumberFormat="1" applyFont="1" applyFill="1"/>
    <xf numFmtId="6" fontId="10" fillId="0" borderId="0" xfId="0" applyNumberFormat="1" applyFont="1"/>
    <xf numFmtId="3" fontId="10" fillId="0" borderId="0" xfId="0" applyNumberFormat="1" applyFont="1"/>
    <xf numFmtId="9" fontId="10" fillId="0" borderId="0" xfId="0" applyNumberFormat="1" applyFont="1"/>
    <xf numFmtId="0" fontId="2" fillId="0" borderId="0" xfId="0" applyFont="1" applyFill="1" applyBorder="1" applyAlignment="1">
      <alignment horizontal="left"/>
    </xf>
    <xf numFmtId="3" fontId="0" fillId="0" borderId="0" xfId="0" applyNumberFormat="1" applyFont="1" applyBorder="1"/>
    <xf numFmtId="3" fontId="0" fillId="0" borderId="0" xfId="0" applyNumberFormat="1" applyFont="1" applyFill="1" applyBorder="1"/>
    <xf numFmtId="0" fontId="0" fillId="0" borderId="19" xfId="0" applyFont="1" applyBorder="1"/>
    <xf numFmtId="0" fontId="0" fillId="0" borderId="20" xfId="0" applyBorder="1"/>
    <xf numFmtId="0" fontId="0" fillId="0" borderId="19" xfId="0" applyBorder="1"/>
    <xf numFmtId="10" fontId="0" fillId="0" borderId="0" xfId="0" applyNumberFormat="1" applyFill="1"/>
    <xf numFmtId="164" fontId="2" fillId="0" borderId="0" xfId="0" applyNumberFormat="1" applyFont="1" applyAlignment="1">
      <alignment horizontal="right"/>
    </xf>
    <xf numFmtId="6" fontId="9" fillId="0" borderId="3" xfId="0" applyNumberFormat="1" applyFont="1" applyFill="1" applyBorder="1"/>
    <xf numFmtId="0" fontId="2" fillId="7" borderId="5" xfId="0" applyFont="1" applyFill="1" applyBorder="1" applyAlignment="1">
      <alignment horizontal="center"/>
    </xf>
    <xf numFmtId="0" fontId="2" fillId="7" borderId="5" xfId="0" applyFont="1" applyFill="1" applyBorder="1" applyAlignment="1">
      <alignment horizontal="center" wrapText="1"/>
    </xf>
    <xf numFmtId="0" fontId="19" fillId="0" borderId="21" xfId="4" applyFont="1" applyFill="1" applyBorder="1" applyAlignment="1">
      <alignment shrinkToFit="1"/>
    </xf>
    <xf numFmtId="1" fontId="7" fillId="0" borderId="0" xfId="0" applyNumberFormat="1" applyFont="1"/>
    <xf numFmtId="1" fontId="9" fillId="0" borderId="0" xfId="0" applyNumberFormat="1" applyFont="1" applyFill="1"/>
    <xf numFmtId="0" fontId="19" fillId="0" borderId="21" xfId="4" applyFont="1" applyBorder="1" applyAlignment="1">
      <alignment shrinkToFit="1"/>
    </xf>
    <xf numFmtId="1" fontId="7" fillId="0" borderId="3" xfId="0" applyNumberFormat="1" applyFont="1" applyBorder="1"/>
    <xf numFmtId="0" fontId="20" fillId="0" borderId="21" xfId="4" applyFont="1" applyBorder="1" applyAlignment="1">
      <alignment shrinkToFit="1"/>
    </xf>
    <xf numFmtId="0" fontId="19" fillId="0" borderId="21" xfId="5" applyFont="1" applyBorder="1" applyAlignment="1">
      <alignment shrinkToFit="1"/>
    </xf>
    <xf numFmtId="0" fontId="2" fillId="0" borderId="0" xfId="0" applyFont="1" applyFill="1" applyBorder="1" applyAlignment="1">
      <alignment wrapText="1"/>
    </xf>
    <xf numFmtId="3" fontId="2" fillId="5" borderId="0" xfId="0" applyNumberFormat="1" applyFont="1" applyFill="1"/>
    <xf numFmtId="10" fontId="2" fillId="0" borderId="0" xfId="0" applyNumberFormat="1" applyFont="1"/>
    <xf numFmtId="169" fontId="7" fillId="0" borderId="0" xfId="0" applyNumberFormat="1" applyFont="1" applyBorder="1"/>
    <xf numFmtId="170" fontId="7" fillId="0" borderId="0" xfId="0" applyNumberFormat="1" applyFont="1"/>
    <xf numFmtId="170" fontId="7" fillId="5" borderId="0" xfId="0" applyNumberFormat="1" applyFont="1" applyFill="1"/>
    <xf numFmtId="170" fontId="0" fillId="0" borderId="0" xfId="2" applyNumberFormat="1" applyFont="1"/>
    <xf numFmtId="170" fontId="9" fillId="0" borderId="0" xfId="0" applyNumberFormat="1" applyFont="1"/>
    <xf numFmtId="170" fontId="7" fillId="5" borderId="0" xfId="0" applyNumberFormat="1" applyFont="1" applyFill="1" applyBorder="1"/>
    <xf numFmtId="170" fontId="7" fillId="0" borderId="3" xfId="0" applyNumberFormat="1" applyFont="1" applyBorder="1"/>
    <xf numFmtId="170" fontId="7" fillId="0" borderId="3" xfId="0" applyNumberFormat="1" applyFont="1" applyFill="1" applyBorder="1"/>
    <xf numFmtId="170" fontId="7" fillId="0" borderId="0" xfId="0" applyNumberFormat="1" applyFont="1" applyFill="1"/>
    <xf numFmtId="1" fontId="2" fillId="0" borderId="0" xfId="0" applyNumberFormat="1" applyFont="1"/>
    <xf numFmtId="1" fontId="2" fillId="0" borderId="0" xfId="0" applyNumberFormat="1" applyFont="1" applyFill="1" applyBorder="1" applyAlignment="1">
      <alignment wrapText="1"/>
    </xf>
    <xf numFmtId="1" fontId="7" fillId="5" borderId="0" xfId="0" applyNumberFormat="1" applyFont="1" applyFill="1"/>
    <xf numFmtId="1" fontId="0" fillId="0" borderId="0" xfId="2" applyNumberFormat="1" applyFont="1"/>
    <xf numFmtId="1" fontId="9" fillId="0" borderId="0" xfId="0" applyNumberFormat="1" applyFont="1"/>
    <xf numFmtId="1" fontId="7" fillId="5" borderId="0" xfId="0" applyNumberFormat="1" applyFont="1" applyFill="1" applyBorder="1"/>
    <xf numFmtId="1" fontId="7" fillId="0" borderId="3" xfId="0" applyNumberFormat="1" applyFont="1" applyFill="1" applyBorder="1"/>
    <xf numFmtId="1" fontId="7" fillId="0" borderId="0" xfId="0" applyNumberFormat="1" applyFont="1" applyFill="1"/>
    <xf numFmtId="1" fontId="7" fillId="0" borderId="0" xfId="0" applyNumberFormat="1" applyFont="1" applyBorder="1"/>
    <xf numFmtId="10" fontId="9" fillId="5" borderId="0" xfId="0" applyNumberFormat="1" applyFont="1" applyFill="1" applyBorder="1"/>
    <xf numFmtId="0" fontId="7" fillId="0" borderId="22" xfId="0" applyFont="1" applyBorder="1"/>
    <xf numFmtId="0" fontId="19" fillId="0" borderId="0" xfId="4" applyFont="1" applyFill="1" applyBorder="1" applyAlignment="1">
      <alignment shrinkToFit="1"/>
    </xf>
    <xf numFmtId="170" fontId="0" fillId="0" borderId="0" xfId="2" applyNumberFormat="1" applyFont="1" applyBorder="1"/>
    <xf numFmtId="10" fontId="7" fillId="0" borderId="0" xfId="0" applyNumberFormat="1" applyFont="1" applyBorder="1"/>
    <xf numFmtId="0" fontId="19" fillId="0" borderId="23" xfId="4" applyFont="1" applyFill="1" applyBorder="1" applyAlignment="1">
      <alignment shrinkToFit="1"/>
    </xf>
    <xf numFmtId="0" fontId="19" fillId="0" borderId="0" xfId="4" applyFont="1" applyBorder="1" applyAlignment="1">
      <alignment shrinkToFit="1"/>
    </xf>
    <xf numFmtId="0" fontId="2" fillId="0" borderId="1" xfId="0" applyFont="1" applyBorder="1"/>
    <xf numFmtId="3" fontId="7" fillId="0" borderId="3" xfId="0" applyNumberFormat="1" applyFont="1" applyFill="1" applyBorder="1"/>
    <xf numFmtId="2" fontId="7" fillId="0" borderId="0" xfId="0" applyNumberFormat="1" applyFont="1"/>
    <xf numFmtId="2" fontId="2" fillId="0" borderId="0" xfId="0" applyNumberFormat="1" applyFont="1"/>
    <xf numFmtId="2" fontId="7" fillId="5" borderId="0" xfId="0" applyNumberFormat="1" applyFont="1" applyFill="1"/>
    <xf numFmtId="2" fontId="7" fillId="0" borderId="0" xfId="0" applyNumberFormat="1" applyFont="1" applyBorder="1"/>
    <xf numFmtId="2" fontId="9" fillId="0" borderId="0" xfId="0" applyNumberFormat="1" applyFont="1" applyFill="1"/>
    <xf numFmtId="2" fontId="9" fillId="0" borderId="0" xfId="0" applyNumberFormat="1" applyFont="1"/>
    <xf numFmtId="2" fontId="7" fillId="5" borderId="0" xfId="0" applyNumberFormat="1" applyFont="1" applyFill="1" applyBorder="1"/>
    <xf numFmtId="2" fontId="7" fillId="0" borderId="3" xfId="0" applyNumberFormat="1" applyFont="1" applyBorder="1"/>
    <xf numFmtId="6" fontId="2" fillId="0" borderId="0" xfId="0" applyNumberFormat="1" applyFont="1" applyBorder="1" applyAlignment="1">
      <alignment horizontal="right"/>
    </xf>
    <xf numFmtId="6" fontId="2" fillId="0" borderId="0" xfId="0" applyNumberFormat="1" applyFont="1" applyFill="1" applyBorder="1" applyAlignment="1">
      <alignment horizontal="right"/>
    </xf>
    <xf numFmtId="6" fontId="2" fillId="0" borderId="0" xfId="0" applyNumberFormat="1" applyFont="1" applyAlignment="1">
      <alignment horizontal="right"/>
    </xf>
    <xf numFmtId="6" fontId="0" fillId="0" borderId="0" xfId="0" applyNumberFormat="1" applyAlignment="1">
      <alignment horizontal="right"/>
    </xf>
    <xf numFmtId="10" fontId="0" fillId="0" borderId="0" xfId="0" applyNumberFormat="1" applyAlignment="1">
      <alignment horizontal="right"/>
    </xf>
    <xf numFmtId="6" fontId="0" fillId="0" borderId="0" xfId="0" applyNumberFormat="1" applyBorder="1"/>
    <xf numFmtId="6" fontId="2" fillId="0" borderId="3" xfId="0" applyNumberFormat="1" applyFont="1" applyBorder="1" applyAlignment="1">
      <alignment horizontal="right"/>
    </xf>
    <xf numFmtId="6" fontId="0" fillId="0" borderId="3" xfId="0" applyNumberFormat="1" applyBorder="1" applyAlignment="1">
      <alignment horizontal="right"/>
    </xf>
    <xf numFmtId="6" fontId="0" fillId="0" borderId="0" xfId="0" applyNumberFormat="1" applyBorder="1" applyAlignment="1">
      <alignment horizontal="right"/>
    </xf>
    <xf numFmtId="10" fontId="0" fillId="0" borderId="3" xfId="0" applyNumberFormat="1" applyBorder="1" applyAlignment="1">
      <alignment horizontal="right"/>
    </xf>
    <xf numFmtId="0" fontId="0" fillId="0" borderId="0" xfId="0" applyAlignment="1">
      <alignment horizontal="right"/>
    </xf>
    <xf numFmtId="164" fontId="9" fillId="0" borderId="24" xfId="0" applyNumberFormat="1" applyFont="1" applyBorder="1"/>
    <xf numFmtId="170" fontId="7" fillId="0" borderId="0" xfId="0" applyNumberFormat="1" applyFont="1" applyBorder="1"/>
    <xf numFmtId="0" fontId="9" fillId="0" borderId="24" xfId="0" applyFont="1" applyBorder="1"/>
    <xf numFmtId="6" fontId="9" fillId="0" borderId="24" xfId="0" applyNumberFormat="1" applyFont="1" applyBorder="1"/>
    <xf numFmtId="6" fontId="9" fillId="0" borderId="24" xfId="0" applyNumberFormat="1" applyFont="1" applyBorder="1" applyAlignment="1">
      <alignment horizontal="right"/>
    </xf>
    <xf numFmtId="3" fontId="9" fillId="0" borderId="24" xfId="0" applyNumberFormat="1" applyFont="1" applyBorder="1"/>
    <xf numFmtId="10" fontId="9" fillId="0" borderId="24" xfId="0" applyNumberFormat="1" applyFont="1" applyBorder="1"/>
    <xf numFmtId="6" fontId="0" fillId="0" borderId="0" xfId="0" applyNumberFormat="1" applyFill="1" applyBorder="1" applyAlignment="1">
      <alignment horizontal="right"/>
    </xf>
    <xf numFmtId="0" fontId="10" fillId="0" borderId="0" xfId="0" applyFont="1" applyFill="1" applyBorder="1"/>
    <xf numFmtId="6" fontId="10" fillId="0" borderId="0" xfId="0" applyNumberFormat="1" applyFont="1" applyBorder="1"/>
    <xf numFmtId="164" fontId="10" fillId="0" borderId="0" xfId="0" applyNumberFormat="1" applyFont="1" applyBorder="1"/>
    <xf numFmtId="6" fontId="10" fillId="0" borderId="0" xfId="1" applyNumberFormat="1" applyFont="1" applyFill="1" applyBorder="1" applyAlignment="1">
      <alignment horizontal="right"/>
    </xf>
    <xf numFmtId="165" fontId="10" fillId="0" borderId="0" xfId="0" applyNumberFormat="1" applyFont="1" applyFill="1" applyBorder="1" applyAlignment="1">
      <alignment horizontal="right" wrapText="1"/>
    </xf>
    <xf numFmtId="6" fontId="10" fillId="0" borderId="0" xfId="0" applyNumberFormat="1" applyFont="1" applyFill="1" applyBorder="1"/>
    <xf numFmtId="6" fontId="10" fillId="0" borderId="0" xfId="0" applyNumberFormat="1" applyFont="1" applyBorder="1" applyAlignment="1">
      <alignment wrapText="1"/>
    </xf>
    <xf numFmtId="9" fontId="10" fillId="0" borderId="0" xfId="0" applyNumberFormat="1" applyFont="1" applyBorder="1"/>
    <xf numFmtId="0" fontId="2" fillId="0" borderId="1" xfId="0" applyFont="1" applyFill="1" applyBorder="1"/>
    <xf numFmtId="6" fontId="0" fillId="0" borderId="3" xfId="0" applyNumberFormat="1" applyBorder="1"/>
    <xf numFmtId="10" fontId="2" fillId="0" borderId="0" xfId="0" applyNumberFormat="1" applyFont="1" applyBorder="1" applyAlignment="1">
      <alignment horizontal="right"/>
    </xf>
    <xf numFmtId="10" fontId="2" fillId="0" borderId="0" xfId="0" applyNumberFormat="1" applyFont="1" applyFill="1" applyBorder="1" applyAlignment="1">
      <alignment horizontal="right"/>
    </xf>
    <xf numFmtId="10" fontId="7" fillId="5" borderId="0" xfId="0" applyNumberFormat="1" applyFont="1" applyFill="1" applyBorder="1"/>
    <xf numFmtId="6" fontId="2" fillId="5" borderId="0" xfId="0" applyNumberFormat="1" applyFont="1" applyFill="1" applyBorder="1" applyAlignment="1">
      <alignment horizontal="right"/>
    </xf>
    <xf numFmtId="6" fontId="2" fillId="0" borderId="3" xfId="0" applyNumberFormat="1" applyFont="1" applyFill="1" applyBorder="1" applyAlignment="1">
      <alignment horizontal="right"/>
    </xf>
    <xf numFmtId="10" fontId="9" fillId="0" borderId="0" xfId="0" applyNumberFormat="1" applyFont="1" applyBorder="1" applyAlignment="1">
      <alignment horizontal="right"/>
    </xf>
    <xf numFmtId="10" fontId="2" fillId="5" borderId="0" xfId="0" applyNumberFormat="1" applyFont="1" applyFill="1" applyBorder="1" applyAlignment="1">
      <alignment horizontal="right"/>
    </xf>
    <xf numFmtId="6" fontId="0" fillId="5" borderId="0" xfId="0" applyNumberFormat="1" applyFill="1"/>
    <xf numFmtId="10" fontId="9" fillId="0" borderId="0" xfId="0" applyNumberFormat="1" applyFont="1" applyFill="1" applyBorder="1" applyAlignment="1">
      <alignment horizontal="right"/>
    </xf>
    <xf numFmtId="10" fontId="0" fillId="5" borderId="0" xfId="0" applyNumberFormat="1" applyFill="1"/>
    <xf numFmtId="6" fontId="2" fillId="0" borderId="0" xfId="0" applyNumberFormat="1" applyFont="1" applyBorder="1"/>
    <xf numFmtId="10" fontId="2" fillId="0" borderId="3" xfId="0" applyNumberFormat="1" applyFont="1" applyFill="1" applyBorder="1" applyAlignment="1">
      <alignment horizontal="right"/>
    </xf>
    <xf numFmtId="6" fontId="9" fillId="5" borderId="24" xfId="0" applyNumberFormat="1" applyFont="1" applyFill="1" applyBorder="1"/>
    <xf numFmtId="6" fontId="9" fillId="5" borderId="0" xfId="0" applyNumberFormat="1" applyFont="1" applyFill="1" applyBorder="1" applyAlignment="1">
      <alignment horizontal="right"/>
    </xf>
    <xf numFmtId="10" fontId="9" fillId="5" borderId="24" xfId="0" applyNumberFormat="1" applyFont="1" applyFill="1" applyBorder="1" applyAlignment="1">
      <alignment horizontal="right"/>
    </xf>
    <xf numFmtId="10" fontId="9" fillId="5" borderId="24" xfId="0" applyNumberFormat="1" applyFont="1" applyFill="1" applyBorder="1"/>
    <xf numFmtId="0" fontId="9" fillId="0" borderId="24" xfId="0" applyFont="1" applyFill="1" applyBorder="1"/>
    <xf numFmtId="6" fontId="9" fillId="0" borderId="24" xfId="0" applyNumberFormat="1" applyFont="1" applyFill="1" applyBorder="1"/>
    <xf numFmtId="6" fontId="9" fillId="0" borderId="24" xfId="0" applyNumberFormat="1" applyFont="1" applyFill="1" applyBorder="1" applyAlignment="1">
      <alignment horizontal="right"/>
    </xf>
    <xf numFmtId="10" fontId="9" fillId="0" borderId="24" xfId="0" applyNumberFormat="1" applyFont="1" applyFill="1" applyBorder="1" applyAlignment="1">
      <alignment horizontal="right"/>
    </xf>
    <xf numFmtId="164" fontId="9" fillId="0" borderId="24" xfId="0" applyNumberFormat="1" applyFont="1" applyFill="1" applyBorder="1" applyAlignment="1">
      <alignment horizontal="right"/>
    </xf>
    <xf numFmtId="164" fontId="9" fillId="0" borderId="24" xfId="0" applyNumberFormat="1" applyFont="1" applyFill="1" applyBorder="1"/>
    <xf numFmtId="9" fontId="9" fillId="0" borderId="24" xfId="1" applyNumberFormat="1" applyFont="1" applyFill="1" applyBorder="1"/>
    <xf numFmtId="6" fontId="14" fillId="0" borderId="24" xfId="0" applyNumberFormat="1" applyFont="1" applyFill="1" applyBorder="1"/>
    <xf numFmtId="6" fontId="9" fillId="0" borderId="24" xfId="0" applyNumberFormat="1" applyFont="1" applyFill="1" applyBorder="1" applyAlignment="1">
      <alignment wrapText="1"/>
    </xf>
    <xf numFmtId="9" fontId="9" fillId="0" borderId="24" xfId="0" applyNumberFormat="1" applyFont="1" applyFill="1" applyBorder="1"/>
    <xf numFmtId="10" fontId="7" fillId="0" borderId="0" xfId="0" applyNumberFormat="1" applyFont="1" applyFill="1" applyBorder="1"/>
    <xf numFmtId="0" fontId="9" fillId="5" borderId="24" xfId="0" applyFont="1" applyFill="1" applyBorder="1"/>
    <xf numFmtId="6" fontId="9" fillId="5" borderId="24" xfId="0" applyNumberFormat="1" applyFont="1" applyFill="1" applyBorder="1" applyAlignment="1">
      <alignment horizontal="right"/>
    </xf>
    <xf numFmtId="164" fontId="9" fillId="5" borderId="24" xfId="0" applyNumberFormat="1" applyFont="1" applyFill="1" applyBorder="1"/>
    <xf numFmtId="165" fontId="9" fillId="5" borderId="24" xfId="0" applyNumberFormat="1" applyFont="1" applyFill="1" applyBorder="1"/>
    <xf numFmtId="1" fontId="9" fillId="5" borderId="24" xfId="0" applyNumberFormat="1" applyFont="1" applyFill="1" applyBorder="1"/>
    <xf numFmtId="3" fontId="9" fillId="5" borderId="24" xfId="0" applyNumberFormat="1" applyFont="1" applyFill="1" applyBorder="1"/>
    <xf numFmtId="164" fontId="7" fillId="0" borderId="3" xfId="0" applyNumberFormat="1" applyFont="1" applyBorder="1" applyAlignment="1">
      <alignment horizontal="center"/>
    </xf>
    <xf numFmtId="0" fontId="19" fillId="0" borderId="26" xfId="4" applyFont="1" applyFill="1" applyBorder="1" applyAlignment="1">
      <alignment shrinkToFit="1"/>
    </xf>
    <xf numFmtId="170" fontId="0" fillId="0" borderId="3" xfId="2" applyNumberFormat="1" applyFont="1" applyBorder="1"/>
    <xf numFmtId="3" fontId="2" fillId="0" borderId="3" xfId="0" applyNumberFormat="1" applyFont="1" applyBorder="1"/>
    <xf numFmtId="10" fontId="9" fillId="0" borderId="0" xfId="0" applyNumberFormat="1" applyFont="1" applyBorder="1"/>
    <xf numFmtId="164" fontId="9" fillId="0" borderId="0" xfId="0" applyNumberFormat="1" applyFont="1" applyFill="1" applyBorder="1"/>
    <xf numFmtId="167" fontId="9" fillId="0" borderId="0" xfId="0" applyNumberFormat="1" applyFont="1" applyBorder="1"/>
    <xf numFmtId="1" fontId="9" fillId="0" borderId="0" xfId="0" applyNumberFormat="1" applyFont="1" applyBorder="1"/>
    <xf numFmtId="3" fontId="9" fillId="0" borderId="0" xfId="0" applyNumberFormat="1" applyFont="1" applyFill="1" applyBorder="1"/>
    <xf numFmtId="10" fontId="9" fillId="5" borderId="0" xfId="0" applyNumberFormat="1" applyFont="1" applyFill="1"/>
    <xf numFmtId="6" fontId="0" fillId="0" borderId="3" xfId="0" applyNumberFormat="1" applyFill="1" applyBorder="1" applyAlignment="1">
      <alignment horizontal="right"/>
    </xf>
    <xf numFmtId="2" fontId="2" fillId="0" borderId="0" xfId="0" applyNumberFormat="1" applyFont="1" applyAlignment="1">
      <alignment wrapText="1"/>
    </xf>
    <xf numFmtId="166" fontId="3" fillId="6" borderId="10" xfId="0" applyNumberFormat="1" applyFont="1" applyFill="1" applyBorder="1" applyAlignment="1">
      <alignment horizontal="center" wrapText="1"/>
    </xf>
    <xf numFmtId="166" fontId="3" fillId="6" borderId="4" xfId="0" applyNumberFormat="1" applyFont="1" applyFill="1" applyBorder="1" applyAlignment="1">
      <alignment horizontal="center" wrapText="1"/>
    </xf>
    <xf numFmtId="0" fontId="6" fillId="0" borderId="3" xfId="0" applyFont="1" applyBorder="1"/>
    <xf numFmtId="0" fontId="3" fillId="6" borderId="5" xfId="0" applyFont="1" applyFill="1" applyBorder="1" applyAlignment="1">
      <alignment horizontal="center"/>
    </xf>
    <xf numFmtId="0" fontId="0" fillId="6" borderId="6" xfId="0" applyFill="1" applyBorder="1"/>
    <xf numFmtId="0" fontId="3" fillId="6" borderId="4" xfId="0" applyFont="1" applyFill="1" applyBorder="1"/>
    <xf numFmtId="0" fontId="3" fillId="8" borderId="6" xfId="0" applyFont="1" applyFill="1" applyBorder="1" applyAlignment="1">
      <alignment horizontal="center"/>
    </xf>
    <xf numFmtId="0" fontId="3" fillId="8" borderId="4" xfId="0" applyFont="1" applyFill="1" applyBorder="1" applyAlignment="1">
      <alignment horizontal="center"/>
    </xf>
    <xf numFmtId="0" fontId="3" fillId="6" borderId="6" xfId="0" applyFont="1" applyFill="1" applyBorder="1" applyAlignment="1">
      <alignment horizontal="center"/>
    </xf>
    <xf numFmtId="0" fontId="3" fillId="6" borderId="4" xfId="0" applyFont="1" applyFill="1" applyBorder="1" applyAlignment="1">
      <alignment horizontal="center"/>
    </xf>
    <xf numFmtId="0" fontId="3" fillId="8" borderId="5" xfId="0" applyFont="1" applyFill="1" applyBorder="1" applyAlignment="1">
      <alignment horizontal="center"/>
    </xf>
    <xf numFmtId="0" fontId="3" fillId="6" borderId="6" xfId="0" applyFont="1" applyFill="1" applyBorder="1"/>
    <xf numFmtId="0" fontId="3" fillId="6" borderId="10" xfId="0" applyFont="1" applyFill="1" applyBorder="1"/>
    <xf numFmtId="0" fontId="3" fillId="6" borderId="2" xfId="0" applyFont="1" applyFill="1" applyBorder="1" applyAlignment="1">
      <alignment horizontal="center"/>
    </xf>
    <xf numFmtId="10" fontId="3" fillId="6" borderId="5" xfId="0" applyNumberFormat="1" applyFont="1" applyFill="1" applyBorder="1" applyAlignment="1">
      <alignment horizontal="center"/>
    </xf>
    <xf numFmtId="0" fontId="3" fillId="8" borderId="7" xfId="0" applyFont="1" applyFill="1" applyBorder="1" applyAlignment="1">
      <alignment horizontal="center"/>
    </xf>
    <xf numFmtId="0" fontId="3" fillId="8" borderId="6" xfId="0" applyFont="1" applyFill="1" applyBorder="1" applyAlignment="1">
      <alignment horizontal="left"/>
    </xf>
    <xf numFmtId="0" fontId="3" fillId="8" borderId="2" xfId="0" applyFont="1" applyFill="1" applyBorder="1" applyAlignment="1">
      <alignment horizontal="center"/>
    </xf>
    <xf numFmtId="10" fontId="3" fillId="8" borderId="5" xfId="0" applyNumberFormat="1" applyFont="1" applyFill="1" applyBorder="1" applyAlignment="1">
      <alignment horizontal="center"/>
    </xf>
    <xf numFmtId="166" fontId="3" fillId="6" borderId="6" xfId="0" applyNumberFormat="1" applyFont="1" applyFill="1" applyBorder="1" applyAlignment="1">
      <alignment horizontal="center"/>
    </xf>
    <xf numFmtId="166" fontId="3" fillId="6" borderId="4" xfId="0" applyNumberFormat="1" applyFont="1" applyFill="1" applyBorder="1" applyAlignment="1">
      <alignment horizontal="center"/>
    </xf>
    <xf numFmtId="166" fontId="3" fillId="8" borderId="6" xfId="0" applyNumberFormat="1" applyFont="1" applyFill="1" applyBorder="1" applyAlignment="1">
      <alignment horizontal="center"/>
    </xf>
    <xf numFmtId="166" fontId="3" fillId="8" borderId="4" xfId="0" applyNumberFormat="1" applyFont="1" applyFill="1" applyBorder="1" applyAlignment="1">
      <alignment horizontal="center"/>
    </xf>
    <xf numFmtId="0" fontId="3" fillId="8" borderId="12" xfId="0" applyFont="1" applyFill="1" applyBorder="1" applyAlignment="1">
      <alignment horizontal="center"/>
    </xf>
    <xf numFmtId="0" fontId="3" fillId="6" borderId="0" xfId="0" applyFont="1" applyFill="1" applyBorder="1" applyAlignment="1">
      <alignment horizontal="center"/>
    </xf>
    <xf numFmtId="0" fontId="3" fillId="6" borderId="1" xfId="0" applyFont="1" applyFill="1" applyBorder="1" applyAlignment="1">
      <alignment horizontal="center"/>
    </xf>
    <xf numFmtId="0" fontId="3" fillId="8" borderId="0" xfId="0" applyFont="1" applyFill="1" applyAlignment="1">
      <alignment horizontal="center"/>
    </xf>
    <xf numFmtId="10" fontId="3" fillId="8" borderId="9" xfId="0" applyNumberFormat="1" applyFont="1" applyFill="1" applyBorder="1" applyAlignment="1">
      <alignment horizontal="center"/>
    </xf>
    <xf numFmtId="0" fontId="0" fillId="0" borderId="3" xfId="0" applyFill="1" applyBorder="1"/>
    <xf numFmtId="0" fontId="3" fillId="8" borderId="9" xfId="0" applyFont="1" applyFill="1" applyBorder="1"/>
    <xf numFmtId="0" fontId="3" fillId="8" borderId="10" xfId="0" applyFont="1" applyFill="1" applyBorder="1" applyAlignment="1">
      <alignment horizontal="center"/>
    </xf>
    <xf numFmtId="0" fontId="3" fillId="8" borderId="12" xfId="0" applyFont="1" applyFill="1" applyBorder="1"/>
    <xf numFmtId="0" fontId="3" fillId="8" borderId="8" xfId="0" applyFont="1" applyFill="1" applyBorder="1" applyAlignment="1">
      <alignment horizontal="center"/>
    </xf>
    <xf numFmtId="0" fontId="3" fillId="6" borderId="8" xfId="0" applyFont="1" applyFill="1" applyBorder="1" applyAlignment="1">
      <alignment horizontal="center"/>
    </xf>
    <xf numFmtId="10" fontId="3" fillId="6" borderId="7" xfId="0" applyNumberFormat="1" applyFont="1" applyFill="1" applyBorder="1" applyAlignment="1">
      <alignment horizontal="center"/>
    </xf>
    <xf numFmtId="10" fontId="3" fillId="8" borderId="7" xfId="0" applyNumberFormat="1" applyFont="1" applyFill="1" applyBorder="1" applyAlignment="1">
      <alignment horizontal="center"/>
    </xf>
    <xf numFmtId="0" fontId="3" fillId="8" borderId="17" xfId="0" applyFont="1" applyFill="1" applyBorder="1" applyAlignment="1">
      <alignment horizontal="center"/>
    </xf>
    <xf numFmtId="0" fontId="3" fillId="6" borderId="9" xfId="0" applyFont="1" applyFill="1" applyBorder="1" applyAlignment="1">
      <alignment horizontal="center"/>
    </xf>
    <xf numFmtId="166" fontId="3" fillId="8" borderId="10" xfId="0" applyNumberFormat="1" applyFont="1" applyFill="1" applyBorder="1" applyAlignment="1">
      <alignment horizontal="center" vertical="center" wrapText="1"/>
    </xf>
    <xf numFmtId="0" fontId="3" fillId="8" borderId="14" xfId="0" applyFont="1" applyFill="1" applyBorder="1" applyAlignment="1">
      <alignment horizontal="center" wrapText="1"/>
    </xf>
    <xf numFmtId="166" fontId="3" fillId="6" borderId="10" xfId="0" applyNumberFormat="1" applyFont="1" applyFill="1" applyBorder="1" applyAlignment="1">
      <alignment horizontal="center" vertical="center" wrapText="1"/>
    </xf>
    <xf numFmtId="166" fontId="3" fillId="8" borderId="4" xfId="0" applyNumberFormat="1" applyFont="1" applyFill="1" applyBorder="1" applyAlignment="1">
      <alignment horizontal="center" vertical="center" wrapText="1"/>
    </xf>
    <xf numFmtId="0" fontId="3" fillId="6" borderId="9" xfId="0" applyFont="1" applyFill="1" applyBorder="1" applyAlignment="1">
      <alignment horizontal="left"/>
    </xf>
    <xf numFmtId="0" fontId="3" fillId="6" borderId="12" xfId="0" applyFont="1" applyFill="1" applyBorder="1" applyAlignment="1">
      <alignment horizontal="left"/>
    </xf>
    <xf numFmtId="0" fontId="3" fillId="8" borderId="13" xfId="0" applyFont="1" applyFill="1" applyBorder="1" applyAlignment="1">
      <alignment horizontal="left"/>
    </xf>
    <xf numFmtId="0" fontId="3" fillId="6" borderId="4" xfId="0" applyFont="1" applyFill="1" applyBorder="1" applyAlignment="1">
      <alignment horizontal="center" vertical="center"/>
    </xf>
    <xf numFmtId="0" fontId="7" fillId="6" borderId="10" xfId="0" applyFont="1" applyFill="1" applyBorder="1"/>
    <xf numFmtId="0" fontId="9" fillId="8" borderId="6" xfId="0" applyFont="1" applyFill="1" applyBorder="1" applyAlignment="1">
      <alignment horizontal="center"/>
    </xf>
    <xf numFmtId="0" fontId="9" fillId="8" borderId="4" xfId="0" applyFont="1" applyFill="1" applyBorder="1" applyAlignment="1">
      <alignment horizontal="center" wrapText="1"/>
    </xf>
    <xf numFmtId="0" fontId="9" fillId="6" borderId="6" xfId="0" applyFont="1" applyFill="1" applyBorder="1" applyAlignment="1">
      <alignment horizontal="center"/>
    </xf>
    <xf numFmtId="0" fontId="9" fillId="6" borderId="25" xfId="0" applyFont="1" applyFill="1" applyBorder="1" applyAlignment="1">
      <alignment horizontal="center"/>
    </xf>
    <xf numFmtId="10" fontId="9" fillId="6" borderId="25" xfId="0" applyNumberFormat="1" applyFont="1" applyFill="1" applyBorder="1" applyAlignment="1">
      <alignment horizontal="center"/>
    </xf>
    <xf numFmtId="0" fontId="9" fillId="6" borderId="4" xfId="0" applyFont="1" applyFill="1" applyBorder="1" applyAlignment="1">
      <alignment horizontal="center" wrapText="1"/>
    </xf>
    <xf numFmtId="0" fontId="9" fillId="6" borderId="8" xfId="0" applyFont="1" applyFill="1" applyBorder="1" applyAlignment="1">
      <alignment horizontal="center"/>
    </xf>
    <xf numFmtId="10" fontId="9" fillId="6" borderId="7" xfId="0" applyNumberFormat="1" applyFont="1" applyFill="1" applyBorder="1" applyAlignment="1">
      <alignment horizontal="center"/>
    </xf>
    <xf numFmtId="0" fontId="9" fillId="8" borderId="15" xfId="0" applyFont="1" applyFill="1" applyBorder="1" applyAlignment="1">
      <alignment horizontal="center"/>
    </xf>
    <xf numFmtId="10" fontId="9" fillId="8" borderId="16" xfId="0" applyNumberFormat="1" applyFont="1" applyFill="1" applyBorder="1" applyAlignment="1">
      <alignment horizontal="center"/>
    </xf>
    <xf numFmtId="0" fontId="9" fillId="8" borderId="8" xfId="0" applyFont="1" applyFill="1" applyBorder="1" applyAlignment="1">
      <alignment horizontal="center"/>
    </xf>
    <xf numFmtId="10" fontId="9" fillId="8" borderId="7" xfId="0" applyNumberFormat="1" applyFont="1" applyFill="1" applyBorder="1" applyAlignment="1">
      <alignment horizontal="center"/>
    </xf>
    <xf numFmtId="0" fontId="9" fillId="8" borderId="4" xfId="0" applyFont="1" applyFill="1" applyBorder="1" applyAlignment="1">
      <alignment horizontal="center"/>
    </xf>
    <xf numFmtId="0" fontId="9" fillId="6" borderId="4" xfId="0" applyFont="1" applyFill="1" applyBorder="1" applyAlignment="1">
      <alignment horizontal="center"/>
    </xf>
    <xf numFmtId="0" fontId="9" fillId="6" borderId="7" xfId="0" applyFont="1" applyFill="1" applyBorder="1" applyAlignment="1">
      <alignment horizontal="center"/>
    </xf>
    <xf numFmtId="6" fontId="9" fillId="8" borderId="6" xfId="0" applyNumberFormat="1" applyFont="1" applyFill="1" applyBorder="1" applyAlignment="1">
      <alignment horizontal="center"/>
    </xf>
    <xf numFmtId="6" fontId="9" fillId="8" borderId="4" xfId="0" applyNumberFormat="1" applyFont="1" applyFill="1" applyBorder="1" applyAlignment="1">
      <alignment horizontal="center"/>
    </xf>
    <xf numFmtId="6" fontId="9" fillId="8" borderId="8" xfId="0" applyNumberFormat="1" applyFont="1" applyFill="1" applyBorder="1" applyAlignment="1">
      <alignment horizontal="center"/>
    </xf>
    <xf numFmtId="166" fontId="9" fillId="6" borderId="6" xfId="0" applyNumberFormat="1" applyFont="1" applyFill="1" applyBorder="1" applyAlignment="1">
      <alignment horizontal="center"/>
    </xf>
    <xf numFmtId="166" fontId="9" fillId="6" borderId="4" xfId="0" applyNumberFormat="1" applyFont="1" applyFill="1" applyBorder="1" applyAlignment="1">
      <alignment horizontal="center"/>
    </xf>
    <xf numFmtId="6" fontId="9" fillId="8" borderId="11" xfId="0" applyNumberFormat="1" applyFont="1" applyFill="1" applyBorder="1" applyAlignment="1">
      <alignment horizontal="center"/>
    </xf>
    <xf numFmtId="6" fontId="9" fillId="8" borderId="1" xfId="0" applyNumberFormat="1" applyFont="1" applyFill="1" applyBorder="1" applyAlignment="1">
      <alignment horizontal="center"/>
    </xf>
    <xf numFmtId="9" fontId="9" fillId="8" borderId="1" xfId="0" applyNumberFormat="1" applyFont="1" applyFill="1" applyBorder="1" applyAlignment="1">
      <alignment horizontal="center"/>
    </xf>
    <xf numFmtId="0" fontId="9" fillId="6" borderId="10" xfId="0" applyFont="1" applyFill="1" applyBorder="1" applyAlignment="1">
      <alignment horizontal="center"/>
    </xf>
    <xf numFmtId="6" fontId="9" fillId="6" borderId="5" xfId="0" applyNumberFormat="1" applyFont="1" applyFill="1" applyBorder="1" applyAlignment="1">
      <alignment horizontal="center" wrapText="1"/>
    </xf>
    <xf numFmtId="6" fontId="9" fillId="6" borderId="4" xfId="0" applyNumberFormat="1" applyFont="1" applyFill="1" applyBorder="1" applyAlignment="1">
      <alignment horizontal="center"/>
    </xf>
    <xf numFmtId="9" fontId="9" fillId="6" borderId="7" xfId="0" applyNumberFormat="1" applyFont="1" applyFill="1" applyBorder="1" applyAlignment="1">
      <alignment horizontal="center"/>
    </xf>
    <xf numFmtId="0" fontId="9" fillId="8" borderId="12" xfId="0" applyFont="1" applyFill="1" applyBorder="1" applyAlignment="1">
      <alignment horizontal="left"/>
    </xf>
    <xf numFmtId="0" fontId="0" fillId="8" borderId="9" xfId="0" applyFill="1" applyBorder="1" applyAlignment="1"/>
    <xf numFmtId="9" fontId="9" fillId="8" borderId="7" xfId="0" applyNumberFormat="1" applyFont="1" applyFill="1" applyBorder="1" applyAlignment="1">
      <alignment horizontal="center"/>
    </xf>
    <xf numFmtId="0" fontId="9" fillId="8" borderId="5" xfId="0" applyFont="1" applyFill="1" applyBorder="1" applyAlignment="1">
      <alignment horizontal="center"/>
    </xf>
    <xf numFmtId="0" fontId="9" fillId="8" borderId="5" xfId="0" applyFont="1" applyFill="1" applyBorder="1" applyAlignment="1">
      <alignment horizontal="center" wrapText="1"/>
    </xf>
    <xf numFmtId="0" fontId="9" fillId="6" borderId="12" xfId="0" applyFont="1" applyFill="1" applyBorder="1" applyAlignment="1">
      <alignment horizontal="left"/>
    </xf>
    <xf numFmtId="0" fontId="0" fillId="6" borderId="9" xfId="0" applyFill="1" applyBorder="1" applyAlignment="1"/>
    <xf numFmtId="0" fontId="7" fillId="0" borderId="0" xfId="0" applyNumberFormat="1" applyFont="1"/>
    <xf numFmtId="6" fontId="9" fillId="8" borderId="10" xfId="0" applyNumberFormat="1" applyFont="1" applyFill="1" applyBorder="1" applyAlignment="1">
      <alignment horizontal="center"/>
    </xf>
    <xf numFmtId="0" fontId="9" fillId="6" borderId="12" xfId="0" applyFont="1" applyFill="1" applyBorder="1" applyAlignment="1">
      <alignment horizontal="center"/>
    </xf>
    <xf numFmtId="0" fontId="9" fillId="8" borderId="12" xfId="0" applyFont="1" applyFill="1" applyBorder="1" applyAlignment="1">
      <alignment horizontal="center"/>
    </xf>
    <xf numFmtId="0" fontId="9" fillId="6" borderId="0" xfId="0" applyFont="1" applyFill="1" applyBorder="1" applyAlignment="1">
      <alignment horizontal="center" wrapText="1"/>
    </xf>
    <xf numFmtId="0" fontId="9" fillId="6" borderId="13" xfId="0" applyFont="1" applyFill="1" applyBorder="1" applyAlignment="1">
      <alignment horizontal="left"/>
    </xf>
    <xf numFmtId="9" fontId="9" fillId="6" borderId="5" xfId="0" applyNumberFormat="1" applyFont="1" applyFill="1" applyBorder="1" applyAlignment="1">
      <alignment horizontal="center"/>
    </xf>
    <xf numFmtId="6" fontId="9" fillId="6" borderId="5" xfId="0" applyNumberFormat="1" applyFont="1" applyFill="1" applyBorder="1" applyAlignment="1">
      <alignment horizontal="center"/>
    </xf>
    <xf numFmtId="0" fontId="9" fillId="8" borderId="7" xfId="0" applyFont="1" applyFill="1" applyBorder="1" applyAlignment="1">
      <alignment horizontal="center" wrapText="1"/>
    </xf>
    <xf numFmtId="0" fontId="9" fillId="8" borderId="10" xfId="0" applyFont="1" applyFill="1" applyBorder="1" applyAlignment="1">
      <alignment horizontal="center"/>
    </xf>
    <xf numFmtId="0" fontId="7" fillId="5" borderId="24" xfId="0" applyFont="1" applyFill="1" applyBorder="1"/>
    <xf numFmtId="10" fontId="0" fillId="0" borderId="0" xfId="0" applyNumberFormat="1" applyBorder="1" applyAlignment="1">
      <alignment horizontal="right"/>
    </xf>
    <xf numFmtId="165" fontId="9" fillId="0" borderId="0" xfId="0" applyNumberFormat="1" applyFont="1" applyFill="1" applyBorder="1"/>
    <xf numFmtId="10" fontId="2" fillId="0" borderId="3" xfId="0" applyNumberFormat="1" applyFont="1" applyBorder="1" applyAlignment="1">
      <alignment horizontal="right"/>
    </xf>
    <xf numFmtId="165" fontId="7" fillId="0" borderId="0" xfId="0" applyNumberFormat="1" applyFont="1" applyFill="1"/>
    <xf numFmtId="165" fontId="7" fillId="0" borderId="3" xfId="0" applyNumberFormat="1" applyFont="1" applyFill="1" applyBorder="1"/>
    <xf numFmtId="0" fontId="19" fillId="0" borderId="3" xfId="4" applyFont="1" applyFill="1" applyBorder="1" applyAlignment="1">
      <alignment shrinkToFit="1"/>
    </xf>
    <xf numFmtId="3" fontId="0" fillId="0" borderId="18" xfId="0" applyNumberFormat="1" applyFill="1" applyBorder="1"/>
    <xf numFmtId="6" fontId="2" fillId="0" borderId="5" xfId="0" applyNumberFormat="1" applyFont="1" applyFill="1" applyBorder="1"/>
    <xf numFmtId="10" fontId="2" fillId="0" borderId="5" xfId="0" applyNumberFormat="1" applyFont="1" applyFill="1" applyBorder="1"/>
    <xf numFmtId="6" fontId="2" fillId="5" borderId="5" xfId="0" applyNumberFormat="1" applyFont="1" applyFill="1" applyBorder="1"/>
    <xf numFmtId="10" fontId="2" fillId="5" borderId="5" xfId="0" applyNumberFormat="1" applyFont="1" applyFill="1" applyBorder="1"/>
    <xf numFmtId="3" fontId="2" fillId="0" borderId="5" xfId="0" applyNumberFormat="1" applyFont="1" applyFill="1" applyBorder="1"/>
    <xf numFmtId="3" fontId="2" fillId="5" borderId="5" xfId="0" applyNumberFormat="1" applyFont="1" applyFill="1" applyBorder="1"/>
    <xf numFmtId="10" fontId="0" fillId="0" borderId="5" xfId="3" applyNumberFormat="1" applyFont="1" applyFill="1" applyBorder="1"/>
    <xf numFmtId="165" fontId="2" fillId="0" borderId="5" xfId="0" applyNumberFormat="1" applyFont="1" applyFill="1" applyBorder="1"/>
    <xf numFmtId="10" fontId="0" fillId="0" borderId="14" xfId="0" applyNumberFormat="1" applyFill="1" applyBorder="1"/>
    <xf numFmtId="10" fontId="0" fillId="0" borderId="5" xfId="0" applyNumberFormat="1" applyFill="1" applyBorder="1"/>
    <xf numFmtId="10" fontId="0" fillId="5" borderId="5" xfId="0" applyNumberFormat="1" applyFill="1" applyBorder="1"/>
    <xf numFmtId="6" fontId="0" fillId="0" borderId="14" xfId="0" applyNumberFormat="1" applyFill="1" applyBorder="1"/>
    <xf numFmtId="10" fontId="0" fillId="5" borderId="5" xfId="3" applyNumberFormat="1" applyFont="1" applyFill="1" applyBorder="1"/>
    <xf numFmtId="165" fontId="2" fillId="5" borderId="5" xfId="0" applyNumberFormat="1" applyFont="1" applyFill="1" applyBorder="1"/>
    <xf numFmtId="6" fontId="0" fillId="5" borderId="14" xfId="0" applyNumberFormat="1" applyFill="1" applyBorder="1"/>
    <xf numFmtId="10" fontId="0" fillId="5" borderId="14" xfId="0" applyNumberFormat="1" applyFill="1" applyBorder="1"/>
    <xf numFmtId="10" fontId="0" fillId="5" borderId="9" xfId="0" applyNumberFormat="1" applyFill="1" applyBorder="1"/>
    <xf numFmtId="3" fontId="0" fillId="5" borderId="18" xfId="0" applyNumberFormat="1" applyFill="1" applyBorder="1"/>
    <xf numFmtId="0" fontId="9" fillId="6" borderId="4" xfId="0" applyFont="1" applyFill="1" applyBorder="1" applyAlignment="1">
      <alignment vertical="center"/>
    </xf>
    <xf numFmtId="0" fontId="6" fillId="0" borderId="0" xfId="0" applyFont="1" applyAlignment="1">
      <alignment vertical="center"/>
    </xf>
    <xf numFmtId="0" fontId="3" fillId="6" borderId="4" xfId="0" applyFont="1" applyFill="1" applyBorder="1" applyAlignment="1">
      <alignment vertical="center"/>
    </xf>
    <xf numFmtId="164" fontId="2" fillId="0" borderId="0" xfId="0" applyNumberFormat="1" applyFont="1"/>
    <xf numFmtId="6" fontId="2" fillId="0" borderId="0" xfId="0" applyNumberFormat="1" applyFont="1" applyAlignment="1">
      <alignment horizontal="right" vertical="top"/>
    </xf>
    <xf numFmtId="6" fontId="7" fillId="0" borderId="0" xfId="0" applyNumberFormat="1" applyFont="1" applyAlignment="1">
      <alignment horizontal="right" vertical="top"/>
    </xf>
    <xf numFmtId="6" fontId="2" fillId="0" borderId="0" xfId="1" applyNumberFormat="1" applyFont="1" applyFill="1" applyAlignment="1">
      <alignment horizontal="right"/>
    </xf>
    <xf numFmtId="6" fontId="2" fillId="0" borderId="0" xfId="0" applyNumberFormat="1" applyFont="1" applyFill="1" applyAlignment="1">
      <alignment horizontal="right" vertical="top"/>
    </xf>
    <xf numFmtId="6" fontId="7" fillId="0" borderId="0" xfId="0" applyNumberFormat="1" applyFont="1" applyBorder="1" applyAlignment="1">
      <alignment horizontal="right" vertical="top"/>
    </xf>
    <xf numFmtId="6" fontId="2" fillId="0" borderId="0" xfId="0" applyNumberFormat="1" applyFont="1" applyBorder="1" applyAlignment="1">
      <alignment horizontal="right" vertical="top"/>
    </xf>
    <xf numFmtId="3" fontId="0" fillId="0" borderId="0" xfId="0" applyNumberFormat="1" applyFill="1"/>
    <xf numFmtId="3" fontId="7" fillId="0" borderId="0" xfId="0" applyNumberFormat="1" applyFont="1" applyFill="1" applyBorder="1"/>
    <xf numFmtId="164" fontId="0" fillId="6" borderId="9" xfId="0" applyNumberFormat="1" applyFill="1" applyBorder="1" applyAlignment="1"/>
    <xf numFmtId="164" fontId="9" fillId="6" borderId="7" xfId="0" applyNumberFormat="1" applyFont="1" applyFill="1" applyBorder="1" applyAlignment="1">
      <alignment horizontal="center"/>
    </xf>
    <xf numFmtId="164" fontId="0" fillId="8" borderId="9" xfId="0" applyNumberFormat="1" applyFill="1" applyBorder="1" applyAlignment="1"/>
    <xf numFmtId="164" fontId="9" fillId="8" borderId="7" xfId="0" applyNumberFormat="1" applyFont="1" applyFill="1" applyBorder="1" applyAlignment="1">
      <alignment horizontal="center"/>
    </xf>
    <xf numFmtId="164" fontId="7" fillId="0" borderId="0" xfId="1" applyNumberFormat="1" applyFont="1" applyFill="1" applyAlignment="1">
      <alignment horizontal="right"/>
    </xf>
    <xf numFmtId="164" fontId="2" fillId="0" borderId="0" xfId="0" applyNumberFormat="1" applyFont="1" applyFill="1" applyAlignment="1">
      <alignment horizontal="right" vertical="top"/>
    </xf>
    <xf numFmtId="6" fontId="9" fillId="8" borderId="12" xfId="0" applyNumberFormat="1" applyFont="1" applyFill="1" applyBorder="1" applyAlignment="1">
      <alignment horizontal="left"/>
    </xf>
    <xf numFmtId="6" fontId="9" fillId="6" borderId="12" xfId="0" applyNumberFormat="1" applyFont="1" applyFill="1" applyBorder="1" applyAlignment="1">
      <alignment horizontal="left"/>
    </xf>
    <xf numFmtId="6" fontId="9" fillId="8" borderId="5" xfId="0" applyNumberFormat="1" applyFont="1" applyFill="1" applyBorder="1" applyAlignment="1">
      <alignment horizontal="center"/>
    </xf>
    <xf numFmtId="6" fontId="9" fillId="8" borderId="5" xfId="0" applyNumberFormat="1" applyFont="1" applyFill="1" applyBorder="1" applyAlignment="1">
      <alignment horizontal="center" wrapText="1"/>
    </xf>
    <xf numFmtId="165" fontId="0" fillId="0" borderId="0" xfId="0" applyNumberFormat="1" applyAlignment="1">
      <alignment horizontal="right"/>
    </xf>
    <xf numFmtId="10" fontId="9" fillId="0" borderId="0" xfId="0" applyNumberFormat="1" applyFont="1" applyFill="1" applyBorder="1"/>
    <xf numFmtId="3" fontId="10" fillId="0" borderId="0" xfId="0" applyNumberFormat="1" applyFont="1" applyBorder="1"/>
    <xf numFmtId="165" fontId="2" fillId="0" borderId="0" xfId="0" applyNumberFormat="1" applyFont="1"/>
    <xf numFmtId="165" fontId="2" fillId="0" borderId="0" xfId="0" applyNumberFormat="1" applyFont="1" applyBorder="1"/>
    <xf numFmtId="165" fontId="2" fillId="0" borderId="0" xfId="0" applyNumberFormat="1" applyFont="1" applyFill="1" applyBorder="1"/>
    <xf numFmtId="3" fontId="2" fillId="0" borderId="0" xfId="0" applyNumberFormat="1" applyFont="1" applyFill="1"/>
    <xf numFmtId="3" fontId="2" fillId="0" borderId="3" xfId="0" applyNumberFormat="1" applyFont="1" applyFill="1" applyBorder="1"/>
    <xf numFmtId="3" fontId="7" fillId="0" borderId="24" xfId="0" applyNumberFormat="1" applyFont="1" applyBorder="1"/>
    <xf numFmtId="3" fontId="7" fillId="0" borderId="24" xfId="0" applyNumberFormat="1" applyFont="1" applyFill="1" applyBorder="1"/>
    <xf numFmtId="6" fontId="7" fillId="0" borderId="24" xfId="0" applyNumberFormat="1" applyFont="1" applyBorder="1"/>
    <xf numFmtId="9" fontId="7" fillId="0" borderId="24" xfId="0" applyNumberFormat="1" applyFont="1" applyBorder="1"/>
    <xf numFmtId="10" fontId="7" fillId="0" borderId="24" xfId="0" applyNumberFormat="1" applyFont="1" applyBorder="1"/>
    <xf numFmtId="0" fontId="9" fillId="9" borderId="2" xfId="0" applyFont="1" applyFill="1" applyBorder="1" applyAlignment="1">
      <alignment horizontal="center"/>
    </xf>
    <xf numFmtId="0" fontId="9" fillId="9" borderId="12" xfId="0" applyFont="1" applyFill="1" applyBorder="1" applyAlignment="1">
      <alignment horizontal="center" wrapText="1"/>
    </xf>
    <xf numFmtId="0" fontId="9" fillId="9" borderId="12" xfId="0" applyFont="1" applyFill="1" applyBorder="1" applyAlignment="1">
      <alignment horizontal="left" wrapText="1"/>
    </xf>
    <xf numFmtId="164" fontId="9" fillId="9" borderId="3" xfId="0" applyNumberFormat="1" applyFont="1" applyFill="1" applyBorder="1" applyAlignment="1">
      <alignment horizontal="center"/>
    </xf>
    <xf numFmtId="0" fontId="9" fillId="9" borderId="2" xfId="0" applyFont="1" applyFill="1" applyBorder="1"/>
    <xf numFmtId="0" fontId="9" fillId="9" borderId="12" xfId="0" applyFont="1" applyFill="1" applyBorder="1" applyAlignment="1">
      <alignment horizontal="center"/>
    </xf>
    <xf numFmtId="164" fontId="9" fillId="9" borderId="12" xfId="0" applyNumberFormat="1" applyFont="1" applyFill="1" applyBorder="1" applyAlignment="1">
      <alignment horizontal="center"/>
    </xf>
    <xf numFmtId="164" fontId="9" fillId="9" borderId="2" xfId="0" applyNumberFormat="1" applyFont="1" applyFill="1" applyBorder="1" applyAlignment="1">
      <alignment horizontal="center"/>
    </xf>
    <xf numFmtId="164" fontId="9" fillId="9" borderId="4" xfId="0" applyNumberFormat="1" applyFont="1" applyFill="1" applyBorder="1" applyAlignment="1">
      <alignment horizontal="center"/>
    </xf>
    <xf numFmtId="164" fontId="9" fillId="9" borderId="5" xfId="0" applyNumberFormat="1" applyFont="1" applyFill="1" applyBorder="1" applyAlignment="1">
      <alignment horizontal="center"/>
    </xf>
    <xf numFmtId="165" fontId="7" fillId="5" borderId="0" xfId="0" applyNumberFormat="1" applyFont="1" applyFill="1"/>
    <xf numFmtId="0" fontId="9" fillId="9" borderId="0" xfId="0" applyFont="1" applyFill="1" applyBorder="1" applyAlignment="1">
      <alignment horizontal="center"/>
    </xf>
    <xf numFmtId="0" fontId="9" fillId="9" borderId="4" xfId="0" applyFont="1" applyFill="1" applyBorder="1" applyAlignment="1">
      <alignment horizontal="center"/>
    </xf>
    <xf numFmtId="0" fontId="9" fillId="9" borderId="0" xfId="0" applyFont="1" applyFill="1"/>
    <xf numFmtId="0" fontId="9" fillId="9" borderId="5" xfId="0" applyFont="1" applyFill="1" applyBorder="1" applyAlignment="1">
      <alignment horizontal="center" wrapText="1"/>
    </xf>
    <xf numFmtId="0" fontId="9" fillId="9" borderId="18" xfId="0" applyFont="1" applyFill="1" applyBorder="1" applyAlignment="1">
      <alignment horizontal="center" wrapText="1"/>
    </xf>
    <xf numFmtId="3" fontId="0" fillId="0" borderId="0" xfId="0" applyNumberFormat="1" applyAlignment="1">
      <alignment vertical="top" wrapText="1"/>
    </xf>
    <xf numFmtId="3" fontId="7" fillId="0" borderId="0" xfId="0" applyNumberFormat="1" applyFont="1" applyAlignment="1">
      <alignment vertical="top" wrapText="1"/>
    </xf>
    <xf numFmtId="3" fontId="7" fillId="0" borderId="3" xfId="0" applyNumberFormat="1" applyFont="1" applyBorder="1" applyAlignment="1">
      <alignment vertical="top" wrapText="1"/>
    </xf>
    <xf numFmtId="165" fontId="9" fillId="0" borderId="0" xfId="0" applyNumberFormat="1" applyFont="1" applyFill="1" applyAlignment="1">
      <alignment vertical="top" wrapText="1"/>
    </xf>
    <xf numFmtId="165" fontId="9" fillId="0" borderId="0" xfId="0" applyNumberFormat="1" applyFont="1" applyAlignment="1">
      <alignment vertical="top" wrapText="1"/>
    </xf>
    <xf numFmtId="165" fontId="9" fillId="0" borderId="0" xfId="0" applyNumberFormat="1" applyFont="1" applyFill="1" applyBorder="1" applyAlignment="1">
      <alignment vertical="top" wrapText="1"/>
    </xf>
    <xf numFmtId="165" fontId="9" fillId="5" borderId="0" xfId="0" applyNumberFormat="1" applyFont="1" applyFill="1" applyBorder="1" applyAlignment="1">
      <alignment vertical="top" wrapText="1"/>
    </xf>
    <xf numFmtId="165" fontId="2" fillId="0" borderId="0" xfId="0" applyNumberFormat="1" applyFont="1" applyAlignment="1">
      <alignment vertical="top" wrapText="1"/>
    </xf>
    <xf numFmtId="165" fontId="7" fillId="0" borderId="0" xfId="0" applyNumberFormat="1" applyFont="1" applyAlignment="1">
      <alignment vertical="top" wrapText="1"/>
    </xf>
    <xf numFmtId="165" fontId="7" fillId="0" borderId="0" xfId="0" applyNumberFormat="1" applyFont="1" applyBorder="1" applyAlignment="1">
      <alignment vertical="top" wrapText="1"/>
    </xf>
    <xf numFmtId="165" fontId="7" fillId="0" borderId="3" xfId="0" applyNumberFormat="1" applyFont="1" applyBorder="1" applyAlignment="1">
      <alignment vertical="top" wrapText="1"/>
    </xf>
    <xf numFmtId="165" fontId="2" fillId="0" borderId="0" xfId="0" applyNumberFormat="1" applyFont="1" applyFill="1" applyAlignment="1">
      <alignment vertical="top" wrapText="1"/>
    </xf>
    <xf numFmtId="165" fontId="2" fillId="5" borderId="0" xfId="0" applyNumberFormat="1" applyFont="1" applyFill="1" applyAlignment="1">
      <alignment vertical="top" wrapText="1"/>
    </xf>
    <xf numFmtId="165" fontId="7" fillId="0" borderId="0" xfId="0" applyNumberFormat="1" applyFont="1" applyFill="1" applyAlignment="1">
      <alignment vertical="top" wrapText="1"/>
    </xf>
    <xf numFmtId="165" fontId="2" fillId="0" borderId="0" xfId="0" applyNumberFormat="1" applyFont="1" applyFill="1" applyBorder="1" applyAlignment="1">
      <alignment vertical="top" wrapText="1"/>
    </xf>
    <xf numFmtId="165" fontId="9" fillId="0" borderId="0" xfId="0" applyNumberFormat="1" applyFont="1" applyBorder="1" applyAlignment="1">
      <alignment vertical="top" wrapText="1"/>
    </xf>
    <xf numFmtId="165" fontId="2" fillId="0" borderId="3" xfId="0" applyNumberFormat="1" applyFont="1" applyBorder="1" applyAlignment="1">
      <alignment vertical="top" wrapText="1"/>
    </xf>
    <xf numFmtId="165" fontId="7" fillId="5" borderId="0" xfId="0" applyNumberFormat="1" applyFont="1" applyFill="1" applyAlignment="1">
      <alignment vertical="top" wrapText="1"/>
    </xf>
    <xf numFmtId="165" fontId="7" fillId="0" borderId="3" xfId="0" applyNumberFormat="1" applyFont="1" applyFill="1" applyBorder="1" applyAlignment="1">
      <alignment vertical="top" wrapText="1"/>
    </xf>
    <xf numFmtId="10" fontId="7" fillId="0" borderId="0" xfId="0" applyNumberFormat="1" applyFont="1" applyFill="1"/>
    <xf numFmtId="10" fontId="7" fillId="0" borderId="3" xfId="0" applyNumberFormat="1" applyFont="1" applyFill="1" applyBorder="1"/>
    <xf numFmtId="10" fontId="9" fillId="0" borderId="3" xfId="0" applyNumberFormat="1" applyFont="1" applyBorder="1"/>
    <xf numFmtId="6" fontId="0" fillId="0" borderId="0" xfId="0" applyNumberFormat="1" applyFill="1"/>
    <xf numFmtId="6" fontId="7" fillId="0" borderId="0" xfId="0" applyNumberFormat="1" applyFont="1" applyFill="1" applyAlignment="1">
      <alignment wrapText="1"/>
    </xf>
    <xf numFmtId="9" fontId="0" fillId="0" borderId="0" xfId="0" applyNumberFormat="1" applyFill="1"/>
    <xf numFmtId="0" fontId="2" fillId="0" borderId="0" xfId="0" applyFont="1" applyFill="1"/>
    <xf numFmtId="165" fontId="24" fillId="0" borderId="0" xfId="0" applyNumberFormat="1" applyFont="1" applyFill="1"/>
    <xf numFmtId="6" fontId="2" fillId="0" borderId="0" xfId="0" applyNumberFormat="1" applyFont="1" applyFill="1" applyAlignment="1">
      <alignment horizontal="right"/>
    </xf>
    <xf numFmtId="164" fontId="7" fillId="0" borderId="0" xfId="0" applyNumberFormat="1" applyFont="1" applyFill="1" applyAlignment="1">
      <alignment horizontal="right"/>
    </xf>
    <xf numFmtId="164" fontId="7" fillId="0" borderId="0" xfId="0" applyNumberFormat="1" applyFont="1" applyFill="1" applyAlignment="1">
      <alignment horizontal="right" vertical="top"/>
    </xf>
    <xf numFmtId="6" fontId="7" fillId="0" borderId="0" xfId="0" applyNumberFormat="1" applyFont="1" applyFill="1" applyAlignment="1">
      <alignment horizontal="right" vertical="top"/>
    </xf>
    <xf numFmtId="3" fontId="0" fillId="0" borderId="0" xfId="0" applyNumberFormat="1" applyFont="1" applyFill="1"/>
    <xf numFmtId="3" fontId="7" fillId="0" borderId="0" xfId="0" applyNumberFormat="1" applyFont="1" applyFill="1" applyAlignment="1">
      <alignment horizontal="right" vertical="top"/>
    </xf>
    <xf numFmtId="6" fontId="0" fillId="0" borderId="0" xfId="0" applyNumberFormat="1" applyFill="1" applyAlignment="1">
      <alignment horizontal="right"/>
    </xf>
    <xf numFmtId="164" fontId="7" fillId="0" borderId="0" xfId="0" applyNumberFormat="1" applyFont="1" applyFill="1" applyBorder="1"/>
    <xf numFmtId="165" fontId="2" fillId="0" borderId="0" xfId="0" applyNumberFormat="1" applyFont="1" applyFill="1"/>
    <xf numFmtId="166" fontId="7" fillId="0" borderId="0" xfId="0" applyNumberFormat="1" applyFont="1" applyFill="1"/>
    <xf numFmtId="0" fontId="0" fillId="0" borderId="0" xfId="0" applyFont="1" applyFill="1"/>
    <xf numFmtId="6" fontId="7" fillId="0" borderId="0" xfId="0" applyNumberFormat="1" applyFont="1" applyFill="1" applyBorder="1" applyAlignment="1">
      <alignment wrapText="1"/>
    </xf>
    <xf numFmtId="9" fontId="0" fillId="0" borderId="0" xfId="0" applyNumberFormat="1" applyFill="1" applyBorder="1"/>
    <xf numFmtId="9" fontId="7" fillId="0" borderId="0" xfId="0" applyNumberFormat="1" applyFont="1" applyFill="1" applyBorder="1"/>
    <xf numFmtId="10" fontId="0" fillId="0" borderId="0" xfId="0" applyNumberFormat="1" applyFill="1" applyAlignment="1">
      <alignment horizontal="right"/>
    </xf>
    <xf numFmtId="166" fontId="7" fillId="0" borderId="0" xfId="0" applyNumberFormat="1" applyFont="1" applyFill="1" applyBorder="1"/>
    <xf numFmtId="10" fontId="0" fillId="0" borderId="0" xfId="0" applyNumberFormat="1" applyFill="1" applyBorder="1" applyAlignment="1">
      <alignment horizontal="right"/>
    </xf>
    <xf numFmtId="165" fontId="0" fillId="0" borderId="0" xfId="0" applyNumberFormat="1" applyFill="1" applyAlignment="1">
      <alignment horizontal="right"/>
    </xf>
    <xf numFmtId="0" fontId="2" fillId="0" borderId="0" xfId="0" applyFont="1" applyFill="1" applyAlignment="1">
      <alignment wrapText="1"/>
    </xf>
    <xf numFmtId="6" fontId="9" fillId="8" borderId="2" xfId="0" applyNumberFormat="1" applyFont="1" applyFill="1" applyBorder="1" applyAlignment="1">
      <alignment horizontal="center" vertical="top"/>
    </xf>
    <xf numFmtId="6" fontId="9" fillId="8" borderId="2" xfId="0" applyNumberFormat="1" applyFont="1" applyFill="1" applyBorder="1"/>
    <xf numFmtId="6" fontId="9" fillId="8" borderId="12" xfId="0" applyNumberFormat="1" applyFont="1" applyFill="1" applyBorder="1" applyAlignment="1">
      <alignment horizontal="left" wrapText="1"/>
    </xf>
    <xf numFmtId="6" fontId="2" fillId="8" borderId="5" xfId="0" applyNumberFormat="1" applyFont="1" applyFill="1" applyBorder="1" applyAlignment="1">
      <alignment horizontal="center" vertical="top"/>
    </xf>
    <xf numFmtId="0" fontId="9" fillId="6" borderId="4" xfId="0" applyNumberFormat="1" applyFont="1" applyFill="1" applyBorder="1" applyAlignment="1">
      <alignment horizontal="center" vertical="top"/>
    </xf>
    <xf numFmtId="6" fontId="9" fillId="6" borderId="2" xfId="0" applyNumberFormat="1" applyFont="1" applyFill="1" applyBorder="1" applyAlignment="1">
      <alignment horizontal="center" vertical="top"/>
    </xf>
    <xf numFmtId="0" fontId="9" fillId="6" borderId="0" xfId="0" applyNumberFormat="1" applyFont="1" applyFill="1"/>
    <xf numFmtId="0" fontId="9" fillId="6" borderId="5" xfId="0" applyNumberFormat="1" applyFont="1" applyFill="1" applyBorder="1" applyAlignment="1">
      <alignment horizontal="center" wrapText="1"/>
    </xf>
    <xf numFmtId="6" fontId="9" fillId="6" borderId="18" xfId="0" applyNumberFormat="1" applyFont="1" applyFill="1" applyBorder="1" applyAlignment="1">
      <alignment horizontal="center" wrapText="1"/>
    </xf>
    <xf numFmtId="171" fontId="0" fillId="0" borderId="0" xfId="0" applyNumberFormat="1"/>
    <xf numFmtId="38" fontId="0" fillId="0" borderId="0" xfId="0" applyNumberFormat="1"/>
    <xf numFmtId="38" fontId="0" fillId="0" borderId="0" xfId="0" applyNumberFormat="1" applyFill="1"/>
    <xf numFmtId="0" fontId="2" fillId="4" borderId="0" xfId="0" applyFont="1" applyFill="1" applyBorder="1" applyAlignment="1">
      <alignment horizontal="left"/>
    </xf>
    <xf numFmtId="0" fontId="2" fillId="4" borderId="0" xfId="0" applyFont="1" applyFill="1" applyBorder="1"/>
    <xf numFmtId="0" fontId="2" fillId="4" borderId="1" xfId="0" applyFont="1" applyFill="1" applyBorder="1"/>
    <xf numFmtId="0" fontId="9" fillId="6" borderId="19" xfId="0" applyFont="1" applyFill="1" applyBorder="1" applyAlignment="1">
      <alignment horizontal="center"/>
    </xf>
    <xf numFmtId="0" fontId="9" fillId="6" borderId="19" xfId="0" applyFont="1" applyFill="1" applyBorder="1" applyAlignment="1">
      <alignment horizontal="left"/>
    </xf>
    <xf numFmtId="0" fontId="3" fillId="6" borderId="12" xfId="0" applyFont="1" applyFill="1" applyBorder="1" applyAlignment="1">
      <alignment horizontal="center" wrapText="1"/>
    </xf>
    <xf numFmtId="0" fontId="3" fillId="6" borderId="9" xfId="0" applyFont="1" applyFill="1" applyBorder="1" applyAlignment="1">
      <alignment horizontal="center"/>
    </xf>
    <xf numFmtId="166" fontId="3" fillId="6" borderId="10" xfId="0" applyNumberFormat="1" applyFont="1" applyFill="1" applyBorder="1" applyAlignment="1">
      <alignment horizontal="center" vertical="center" wrapText="1"/>
    </xf>
    <xf numFmtId="0" fontId="0" fillId="6" borderId="4" xfId="0" applyFill="1" applyBorder="1" applyAlignment="1">
      <alignment horizontal="center" vertical="center"/>
    </xf>
    <xf numFmtId="164" fontId="9" fillId="4" borderId="2" xfId="0" applyNumberFormat="1" applyFont="1" applyFill="1" applyBorder="1" applyAlignment="1">
      <alignment horizontal="center"/>
    </xf>
    <xf numFmtId="164" fontId="9" fillId="4" borderId="4" xfId="0" applyNumberFormat="1" applyFont="1" applyFill="1" applyBorder="1" applyAlignment="1">
      <alignment horizontal="center"/>
    </xf>
    <xf numFmtId="0" fontId="9" fillId="4" borderId="2" xfId="0" applyFont="1" applyFill="1" applyBorder="1" applyAlignment="1">
      <alignment horizontal="center"/>
    </xf>
    <xf numFmtId="0" fontId="9" fillId="4" borderId="2" xfId="0" applyFont="1" applyFill="1" applyBorder="1"/>
    <xf numFmtId="0" fontId="7" fillId="4" borderId="3" xfId="0" applyFont="1" applyFill="1" applyBorder="1"/>
    <xf numFmtId="164" fontId="9" fillId="4" borderId="12" xfId="0" applyNumberFormat="1" applyFont="1" applyFill="1" applyBorder="1" applyAlignment="1">
      <alignment horizontal="center"/>
    </xf>
    <xf numFmtId="164" fontId="9" fillId="4" borderId="5" xfId="0" applyNumberFormat="1" applyFont="1" applyFill="1" applyBorder="1" applyAlignment="1">
      <alignment horizontal="center"/>
    </xf>
    <xf numFmtId="0" fontId="9" fillId="4" borderId="12" xfId="0" applyFont="1" applyFill="1" applyBorder="1" applyAlignment="1">
      <alignment horizontal="left" wrapText="1"/>
    </xf>
    <xf numFmtId="0" fontId="9" fillId="4" borderId="12" xfId="0" applyFont="1" applyFill="1" applyBorder="1" applyAlignment="1">
      <alignment horizontal="center"/>
    </xf>
    <xf numFmtId="0" fontId="9" fillId="4" borderId="18" xfId="0" applyFont="1" applyFill="1" applyBorder="1" applyAlignment="1">
      <alignment horizontal="center"/>
    </xf>
    <xf numFmtId="165" fontId="7" fillId="0" borderId="24" xfId="0" applyNumberFormat="1" applyFont="1" applyBorder="1"/>
    <xf numFmtId="1" fontId="7" fillId="5" borderId="24" xfId="0" applyNumberFormat="1" applyFont="1" applyFill="1" applyBorder="1"/>
    <xf numFmtId="165" fontId="7" fillId="5" borderId="24" xfId="0" applyNumberFormat="1" applyFont="1" applyFill="1" applyBorder="1"/>
    <xf numFmtId="10" fontId="7" fillId="5" borderId="24" xfId="0" applyNumberFormat="1" applyFont="1" applyFill="1" applyBorder="1"/>
    <xf numFmtId="10" fontId="7" fillId="0" borderId="22" xfId="0" applyNumberFormat="1" applyFont="1" applyBorder="1"/>
    <xf numFmtId="6" fontId="7" fillId="0" borderId="22" xfId="0" applyNumberFormat="1" applyFont="1" applyBorder="1"/>
    <xf numFmtId="164" fontId="7" fillId="0" borderId="22" xfId="0" applyNumberFormat="1" applyFont="1" applyBorder="1"/>
    <xf numFmtId="165" fontId="0" fillId="0" borderId="0" xfId="0" applyNumberFormat="1" applyFill="1"/>
    <xf numFmtId="6" fontId="7" fillId="10" borderId="0" xfId="0" applyNumberFormat="1" applyFont="1" applyFill="1"/>
    <xf numFmtId="165" fontId="9" fillId="4" borderId="3" xfId="0" applyNumberFormat="1" applyFont="1" applyFill="1" applyBorder="1" applyAlignment="1">
      <alignment horizontal="center"/>
    </xf>
    <xf numFmtId="165" fontId="9" fillId="4" borderId="4" xfId="0" applyNumberFormat="1" applyFont="1" applyFill="1" applyBorder="1" applyAlignment="1">
      <alignment horizontal="center"/>
    </xf>
    <xf numFmtId="165" fontId="7" fillId="0" borderId="0" xfId="0" applyNumberFormat="1" applyFont="1" applyFill="1" applyBorder="1"/>
    <xf numFmtId="165" fontId="10" fillId="0" borderId="0" xfId="0" applyNumberFormat="1" applyFont="1" applyBorder="1"/>
    <xf numFmtId="165" fontId="9" fillId="0" borderId="24" xfId="0" applyNumberFormat="1" applyFont="1" applyFill="1" applyBorder="1"/>
    <xf numFmtId="165" fontId="9" fillId="5" borderId="0" xfId="0" applyNumberFormat="1" applyFont="1" applyFill="1" applyBorder="1"/>
    <xf numFmtId="0" fontId="16" fillId="0" borderId="0" xfId="0" applyFont="1" applyFill="1" applyBorder="1"/>
    <xf numFmtId="0" fontId="0" fillId="0" borderId="0" xfId="0" applyFont="1" applyFill="1" applyBorder="1" applyAlignment="1">
      <alignment horizontal="left" vertical="top"/>
    </xf>
    <xf numFmtId="0" fontId="17" fillId="0" borderId="0" xfId="0" applyFont="1" applyFill="1" applyBorder="1"/>
    <xf numFmtId="0" fontId="26" fillId="0" borderId="0" xfId="0" applyFont="1"/>
    <xf numFmtId="0" fontId="27" fillId="0" borderId="0" xfId="0" applyFont="1" applyAlignment="1">
      <alignment horizontal="left" indent="2"/>
    </xf>
    <xf numFmtId="0" fontId="26" fillId="0" borderId="0" xfId="0" applyFont="1" applyAlignment="1">
      <alignment horizontal="left"/>
    </xf>
    <xf numFmtId="0" fontId="25" fillId="0" borderId="0" xfId="0" applyFont="1"/>
    <xf numFmtId="165" fontId="24" fillId="0" borderId="19" xfId="0" applyNumberFormat="1" applyFont="1" applyFill="1" applyBorder="1" applyAlignment="1">
      <alignment horizontal="right" vertical="center" wrapText="1"/>
    </xf>
    <xf numFmtId="1" fontId="9" fillId="0" borderId="24" xfId="0" applyNumberFormat="1" applyFont="1" applyBorder="1"/>
    <xf numFmtId="165" fontId="9" fillId="0" borderId="24" xfId="0" applyNumberFormat="1" applyFont="1" applyBorder="1"/>
    <xf numFmtId="0" fontId="9" fillId="0" borderId="0" xfId="0" applyFont="1" applyFill="1" applyBorder="1" applyAlignment="1">
      <alignment horizontal="left" vertical="top"/>
    </xf>
    <xf numFmtId="0" fontId="2" fillId="0" borderId="0" xfId="0" applyFont="1" applyFill="1" applyBorder="1" applyAlignment="1">
      <alignment horizontal="left" vertical="top"/>
    </xf>
    <xf numFmtId="10" fontId="7" fillId="4" borderId="0" xfId="0" applyNumberFormat="1" applyFont="1" applyFill="1"/>
    <xf numFmtId="10" fontId="7" fillId="4" borderId="3" xfId="0" applyNumberFormat="1" applyFont="1" applyFill="1" applyBorder="1"/>
    <xf numFmtId="8" fontId="9" fillId="0" borderId="0" xfId="0" applyNumberFormat="1" applyFont="1" applyFill="1"/>
    <xf numFmtId="172" fontId="0" fillId="0" borderId="0" xfId="0" applyNumberFormat="1" applyFill="1"/>
    <xf numFmtId="172" fontId="0" fillId="5" borderId="0" xfId="0" applyNumberFormat="1" applyFill="1"/>
    <xf numFmtId="0" fontId="9" fillId="4" borderId="3" xfId="0" applyFont="1" applyFill="1" applyBorder="1"/>
    <xf numFmtId="0" fontId="2" fillId="4" borderId="3" xfId="0" applyFont="1" applyFill="1" applyBorder="1"/>
    <xf numFmtId="165" fontId="2" fillId="4" borderId="0" xfId="0" applyNumberFormat="1" applyFont="1" applyFill="1"/>
    <xf numFmtId="38" fontId="0" fillId="11" borderId="0" xfId="0" applyNumberFormat="1" applyFill="1"/>
    <xf numFmtId="164" fontId="0" fillId="11" borderId="0" xfId="0" applyNumberFormat="1" applyFill="1"/>
    <xf numFmtId="6" fontId="7" fillId="11" borderId="0" xfId="0" applyNumberFormat="1" applyFont="1" applyFill="1"/>
    <xf numFmtId="164" fontId="7" fillId="11" borderId="0" xfId="0" applyNumberFormat="1" applyFont="1" applyFill="1"/>
    <xf numFmtId="3" fontId="7" fillId="11" borderId="0" xfId="0" applyNumberFormat="1" applyFont="1" applyFill="1"/>
    <xf numFmtId="165" fontId="7" fillId="11" borderId="0" xfId="0" applyNumberFormat="1" applyFont="1" applyFill="1"/>
    <xf numFmtId="6" fontId="2" fillId="11" borderId="0" xfId="0" applyNumberFormat="1" applyFont="1" applyFill="1"/>
    <xf numFmtId="6" fontId="2" fillId="11" borderId="0" xfId="0" applyNumberFormat="1" applyFont="1" applyFill="1" applyBorder="1"/>
    <xf numFmtId="6" fontId="7" fillId="11" borderId="0" xfId="0" applyNumberFormat="1" applyFont="1" applyFill="1" applyBorder="1"/>
    <xf numFmtId="6" fontId="0" fillId="11" borderId="0" xfId="0" applyNumberFormat="1" applyFill="1"/>
    <xf numFmtId="6" fontId="7" fillId="11" borderId="3" xfId="0" applyNumberFormat="1" applyFont="1" applyFill="1" applyBorder="1"/>
    <xf numFmtId="164" fontId="7" fillId="11" borderId="3" xfId="0" applyNumberFormat="1" applyFont="1" applyFill="1" applyBorder="1"/>
    <xf numFmtId="3" fontId="7" fillId="11" borderId="3" xfId="0" applyNumberFormat="1" applyFont="1" applyFill="1" applyBorder="1"/>
    <xf numFmtId="165" fontId="7" fillId="11" borderId="3" xfId="0" applyNumberFormat="1" applyFont="1" applyFill="1" applyBorder="1"/>
    <xf numFmtId="0" fontId="2" fillId="0" borderId="0" xfId="0" applyFont="1" applyAlignment="1">
      <alignment vertical="center" wrapText="1"/>
    </xf>
    <xf numFmtId="0" fontId="3" fillId="6" borderId="12" xfId="0" applyFont="1" applyFill="1" applyBorder="1" applyAlignment="1">
      <alignment horizontal="center" wrapText="1"/>
    </xf>
    <xf numFmtId="0" fontId="3" fillId="6" borderId="9" xfId="0" applyFont="1" applyFill="1" applyBorder="1" applyAlignment="1">
      <alignment horizontal="center"/>
    </xf>
    <xf numFmtId="0" fontId="3" fillId="8" borderId="13" xfId="0" applyFont="1" applyFill="1" applyBorder="1" applyAlignment="1">
      <alignment horizontal="center" wrapText="1"/>
    </xf>
    <xf numFmtId="0" fontId="3" fillId="8" borderId="14" xfId="0" applyFont="1" applyFill="1" applyBorder="1" applyAlignment="1">
      <alignment horizontal="center" wrapText="1"/>
    </xf>
    <xf numFmtId="166" fontId="3" fillId="8" borderId="10" xfId="0" applyNumberFormat="1" applyFont="1" applyFill="1" applyBorder="1" applyAlignment="1">
      <alignment horizontal="center" vertical="center" wrapText="1"/>
    </xf>
    <xf numFmtId="166" fontId="3" fillId="8" borderId="4" xfId="0" applyNumberFormat="1" applyFont="1" applyFill="1" applyBorder="1" applyAlignment="1">
      <alignment horizontal="center" vertical="center" wrapText="1"/>
    </xf>
    <xf numFmtId="166" fontId="3" fillId="6" borderId="10" xfId="0" applyNumberFormat="1" applyFont="1" applyFill="1" applyBorder="1" applyAlignment="1">
      <alignment horizontal="center" vertical="center" wrapText="1"/>
    </xf>
    <xf numFmtId="0" fontId="0" fillId="6" borderId="4" xfId="0" applyFill="1" applyBorder="1" applyAlignment="1">
      <alignment horizontal="center" vertical="center"/>
    </xf>
    <xf numFmtId="0" fontId="3" fillId="8" borderId="12" xfId="0" applyFont="1" applyFill="1" applyBorder="1" applyAlignment="1">
      <alignment horizontal="center"/>
    </xf>
    <xf numFmtId="0" fontId="3" fillId="8" borderId="9" xfId="0" applyFont="1" applyFill="1" applyBorder="1" applyAlignment="1">
      <alignment horizontal="center"/>
    </xf>
    <xf numFmtId="0" fontId="3" fillId="6" borderId="12" xfId="0" applyFont="1" applyFill="1" applyBorder="1" applyAlignment="1">
      <alignment horizontal="center"/>
    </xf>
    <xf numFmtId="0" fontId="3" fillId="8" borderId="13" xfId="0" applyFont="1" applyFill="1" applyBorder="1" applyAlignment="1">
      <alignment horizontal="center"/>
    </xf>
    <xf numFmtId="0" fontId="3" fillId="8" borderId="14" xfId="0" applyFont="1" applyFill="1" applyBorder="1" applyAlignment="1">
      <alignment horizontal="center"/>
    </xf>
    <xf numFmtId="0" fontId="3" fillId="8" borderId="15" xfId="0" applyFont="1" applyFill="1" applyBorder="1" applyAlignment="1">
      <alignment horizontal="center"/>
    </xf>
    <xf numFmtId="0" fontId="3" fillId="8" borderId="16" xfId="0" applyFont="1" applyFill="1" applyBorder="1" applyAlignment="1">
      <alignment horizontal="center"/>
    </xf>
    <xf numFmtId="0" fontId="3" fillId="6" borderId="15" xfId="0" applyFont="1" applyFill="1" applyBorder="1" applyAlignment="1">
      <alignment horizontal="center"/>
    </xf>
    <xf numFmtId="0" fontId="3" fillId="6" borderId="16" xfId="0" applyFont="1" applyFill="1" applyBorder="1" applyAlignment="1">
      <alignment horizontal="center"/>
    </xf>
    <xf numFmtId="0" fontId="9" fillId="6" borderId="12" xfId="0" applyFont="1" applyFill="1" applyBorder="1" applyAlignment="1">
      <alignment horizontal="center"/>
    </xf>
    <xf numFmtId="0" fontId="0" fillId="6" borderId="9" xfId="0" applyFill="1" applyBorder="1" applyAlignment="1"/>
    <xf numFmtId="0" fontId="9" fillId="8" borderId="15" xfId="0" applyFont="1" applyFill="1" applyBorder="1" applyAlignment="1">
      <alignment horizontal="center"/>
    </xf>
    <xf numFmtId="0" fontId="9" fillId="8" borderId="16" xfId="0" applyFont="1" applyFill="1" applyBorder="1" applyAlignment="1">
      <alignment horizontal="center"/>
    </xf>
    <xf numFmtId="0" fontId="9" fillId="6" borderId="15" xfId="0" applyFont="1" applyFill="1" applyBorder="1" applyAlignment="1">
      <alignment horizontal="center"/>
    </xf>
    <xf numFmtId="0" fontId="9" fillId="6" borderId="16" xfId="0" applyFont="1" applyFill="1" applyBorder="1" applyAlignment="1">
      <alignment horizontal="center"/>
    </xf>
    <xf numFmtId="6" fontId="9" fillId="8" borderId="12" xfId="0" applyNumberFormat="1" applyFont="1" applyFill="1" applyBorder="1" applyAlignment="1">
      <alignment horizontal="center"/>
    </xf>
    <xf numFmtId="6" fontId="9" fillId="8" borderId="18" xfId="0" applyNumberFormat="1" applyFont="1" applyFill="1" applyBorder="1" applyAlignment="1">
      <alignment horizontal="center"/>
    </xf>
    <xf numFmtId="6" fontId="9" fillId="6" borderId="10" xfId="0" applyNumberFormat="1" applyFont="1" applyFill="1" applyBorder="1" applyAlignment="1">
      <alignment horizontal="center" vertical="center" wrapText="1"/>
    </xf>
    <xf numFmtId="0" fontId="7" fillId="6" borderId="4" xfId="0" applyFont="1" applyFill="1" applyBorder="1" applyAlignment="1">
      <alignment horizontal="center" vertical="center"/>
    </xf>
    <xf numFmtId="6" fontId="9" fillId="2" borderId="12" xfId="0" applyNumberFormat="1" applyFont="1" applyFill="1" applyBorder="1" applyAlignment="1">
      <alignment horizontal="center"/>
    </xf>
    <xf numFmtId="6" fontId="9" fillId="2" borderId="9" xfId="0" applyNumberFormat="1" applyFont="1" applyFill="1" applyBorder="1" applyAlignment="1">
      <alignment horizontal="center"/>
    </xf>
    <xf numFmtId="0" fontId="9" fillId="3" borderId="12" xfId="0" applyFont="1" applyFill="1" applyBorder="1" applyAlignment="1">
      <alignment horizontal="center"/>
    </xf>
    <xf numFmtId="0" fontId="9" fillId="3" borderId="9" xfId="0" applyFont="1" applyFill="1" applyBorder="1" applyAlignment="1">
      <alignment horizontal="center"/>
    </xf>
  </cellXfs>
  <cellStyles count="6">
    <cellStyle name="Comma" xfId="1" builtinId="3"/>
    <cellStyle name="Currency" xfId="2" builtinId="4"/>
    <cellStyle name="Normal" xfId="0" builtinId="0"/>
    <cellStyle name="Normal_DC-Local-Budget-Revised" xfId="4"/>
    <cellStyle name="Normal_FY04 Local Budget - Revised" xfId="5"/>
    <cellStyle name="Percent" xfId="3" builtinId="5"/>
  </cellStyles>
  <dxfs count="0"/>
  <tableStyles count="0" defaultTableStyle="TableStyleMedium9" defaultPivotStyle="PivotStyleLight16"/>
  <colors>
    <mruColors>
      <color rgb="FF009999"/>
      <color rgb="FF00BCB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revisionHeaders" Target="revisions/revisionHeader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usernames" Target="revisions/userNames.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revisions/_rels/revisionHeaders.xml.rels><?xml version="1.0" encoding="UTF-8" standalone="yes"?>
<Relationships xmlns="http://schemas.openxmlformats.org/package/2006/relationships"><Relationship Id="rId671" Type="http://schemas.openxmlformats.org/officeDocument/2006/relationships/revisionLog" Target="revisionLog15.xml"/><Relationship Id="rId692" Type="http://schemas.openxmlformats.org/officeDocument/2006/relationships/revisionLog" Target="revisionLog11.xml"/><Relationship Id="rId701" Type="http://schemas.openxmlformats.org/officeDocument/2006/relationships/revisionLog" Target="revisionLog12.xml"/><Relationship Id="rId706" Type="http://schemas.openxmlformats.org/officeDocument/2006/relationships/revisionLog" Target="revisionLog13.xml"/><Relationship Id="rId722" Type="http://schemas.openxmlformats.org/officeDocument/2006/relationships/revisionLog" Target="revisionLog17.xml"/><Relationship Id="rId727" Type="http://schemas.openxmlformats.org/officeDocument/2006/relationships/revisionLog" Target="revisionLog14.xml"/><Relationship Id="rId748" Type="http://schemas.openxmlformats.org/officeDocument/2006/relationships/revisionLog" Target="revisionLog16.xml"/><Relationship Id="rId743" Type="http://schemas.openxmlformats.org/officeDocument/2006/relationships/revisionLog" Target="revisionLog161.xml"/><Relationship Id="rId645" Type="http://schemas.openxmlformats.org/officeDocument/2006/relationships/revisionLog" Target="revisionLog1411.xml"/><Relationship Id="rId666" Type="http://schemas.openxmlformats.org/officeDocument/2006/relationships/revisionLog" Target="revisionLog171.xml"/><Relationship Id="rId687" Type="http://schemas.openxmlformats.org/officeDocument/2006/relationships/revisionLog" Target="revisionLog122.xml"/><Relationship Id="rId640" Type="http://schemas.openxmlformats.org/officeDocument/2006/relationships/revisionLog" Target="revisionLog14111.xml"/><Relationship Id="rId661" Type="http://schemas.openxmlformats.org/officeDocument/2006/relationships/revisionLog" Target="revisionLog1711.xml"/><Relationship Id="rId682" Type="http://schemas.openxmlformats.org/officeDocument/2006/relationships/revisionLog" Target="revisionLog1221.xml"/><Relationship Id="rId712" Type="http://schemas.openxmlformats.org/officeDocument/2006/relationships/revisionLog" Target="revisionLog18.xml"/><Relationship Id="rId717" Type="http://schemas.openxmlformats.org/officeDocument/2006/relationships/revisionLog" Target="revisionLog19.xml"/><Relationship Id="rId738" Type="http://schemas.openxmlformats.org/officeDocument/2006/relationships/revisionLog" Target="revisionLog1611.xml"/><Relationship Id="rId720" Type="http://schemas.openxmlformats.org/officeDocument/2006/relationships/revisionLog" Target="revisionLog110.xml"/><Relationship Id="rId733" Type="http://schemas.openxmlformats.org/officeDocument/2006/relationships/revisionLog" Target="revisionLog16111.xml"/><Relationship Id="rId741" Type="http://schemas.openxmlformats.org/officeDocument/2006/relationships/revisionLog" Target="revisionLog111.xml"/><Relationship Id="rId677" Type="http://schemas.openxmlformats.org/officeDocument/2006/relationships/revisionLog" Target="revisionLog12211.xml"/><Relationship Id="rId635" Type="http://schemas.openxmlformats.org/officeDocument/2006/relationships/revisionLog" Target="revisionLog131111.xml"/><Relationship Id="rId643" Type="http://schemas.openxmlformats.org/officeDocument/2006/relationships/revisionLog" Target="revisionLog1511111.xml"/><Relationship Id="rId648" Type="http://schemas.openxmlformats.org/officeDocument/2006/relationships/revisionLog" Target="revisionLog161111.xml"/><Relationship Id="rId656" Type="http://schemas.openxmlformats.org/officeDocument/2006/relationships/revisionLog" Target="revisionLog171111.xml"/><Relationship Id="rId669" Type="http://schemas.openxmlformats.org/officeDocument/2006/relationships/revisionLog" Target="revisionLog1101.xml"/><Relationship Id="rId736" Type="http://schemas.openxmlformats.org/officeDocument/2006/relationships/revisionLog" Target="revisionLog1111.xml"/><Relationship Id="rId651" Type="http://schemas.openxmlformats.org/officeDocument/2006/relationships/revisionLog" Target="revisionLog1711111.xml"/><Relationship Id="rId664" Type="http://schemas.openxmlformats.org/officeDocument/2006/relationships/revisionLog" Target="revisionLog191.xml"/><Relationship Id="rId672" Type="http://schemas.openxmlformats.org/officeDocument/2006/relationships/revisionLog" Target="revisionLog11211.xml"/><Relationship Id="rId680" Type="http://schemas.openxmlformats.org/officeDocument/2006/relationships/revisionLog" Target="revisionLog13121.xml"/><Relationship Id="rId685" Type="http://schemas.openxmlformats.org/officeDocument/2006/relationships/revisionLog" Target="revisionLog1412.xml"/><Relationship Id="rId693" Type="http://schemas.openxmlformats.org/officeDocument/2006/relationships/revisionLog" Target="revisionLog1621.xml"/><Relationship Id="rId698" Type="http://schemas.openxmlformats.org/officeDocument/2006/relationships/revisionLog" Target="revisionLog1721.xml"/><Relationship Id="rId702" Type="http://schemas.openxmlformats.org/officeDocument/2006/relationships/revisionLog" Target="revisionLog181.xml"/><Relationship Id="rId707" Type="http://schemas.openxmlformats.org/officeDocument/2006/relationships/revisionLog" Target="revisionLog192.xml"/><Relationship Id="rId715" Type="http://schemas.openxmlformats.org/officeDocument/2006/relationships/revisionLog" Target="revisionLog1102.xml"/><Relationship Id="rId728" Type="http://schemas.openxmlformats.org/officeDocument/2006/relationships/revisionLog" Target="revisionLog163.xml"/><Relationship Id="rId749" Type="http://schemas.openxmlformats.org/officeDocument/2006/relationships/revisionLog" Target="revisionLog1.xml"/><Relationship Id="rId710" Type="http://schemas.openxmlformats.org/officeDocument/2006/relationships/revisionLog" Target="revisionLog11021.xml"/><Relationship Id="rId723" Type="http://schemas.openxmlformats.org/officeDocument/2006/relationships/revisionLog" Target="revisionLog1421.xml"/><Relationship Id="rId731" Type="http://schemas.openxmlformats.org/officeDocument/2006/relationships/revisionLog" Target="revisionLog113.xml"/><Relationship Id="rId744" Type="http://schemas.openxmlformats.org/officeDocument/2006/relationships/revisionLog" Target="revisionLog112.xml"/><Relationship Id="rId633" Type="http://schemas.openxmlformats.org/officeDocument/2006/relationships/revisionLog" Target="revisionLog1131.xml"/><Relationship Id="rId638" Type="http://schemas.openxmlformats.org/officeDocument/2006/relationships/revisionLog" Target="revisionLog122111.xml"/><Relationship Id="rId646" Type="http://schemas.openxmlformats.org/officeDocument/2006/relationships/revisionLog" Target="revisionLog132.xml"/><Relationship Id="rId659" Type="http://schemas.openxmlformats.org/officeDocument/2006/relationships/revisionLog" Target="revisionLog141211.xml"/><Relationship Id="rId641" Type="http://schemas.openxmlformats.org/officeDocument/2006/relationships/revisionLog" Target="revisionLog131211.xml"/><Relationship Id="rId654" Type="http://schemas.openxmlformats.org/officeDocument/2006/relationships/revisionLog" Target="revisionLog1412111.xml"/><Relationship Id="rId662" Type="http://schemas.openxmlformats.org/officeDocument/2006/relationships/revisionLog" Target="revisionLog151.xml"/><Relationship Id="rId667" Type="http://schemas.openxmlformats.org/officeDocument/2006/relationships/revisionLog" Target="revisionLog162111.xml"/><Relationship Id="rId670" Type="http://schemas.openxmlformats.org/officeDocument/2006/relationships/revisionLog" Target="revisionLog17211.xml"/><Relationship Id="rId675" Type="http://schemas.openxmlformats.org/officeDocument/2006/relationships/revisionLog" Target="revisionLog2.xml"/><Relationship Id="rId683" Type="http://schemas.openxmlformats.org/officeDocument/2006/relationships/revisionLog" Target="revisionLog114.xml"/><Relationship Id="rId688" Type="http://schemas.openxmlformats.org/officeDocument/2006/relationships/revisionLog" Target="revisionLog115.xml"/><Relationship Id="rId696" Type="http://schemas.openxmlformats.org/officeDocument/2006/relationships/revisionLog" Target="revisionLog116.xml"/><Relationship Id="rId705" Type="http://schemas.openxmlformats.org/officeDocument/2006/relationships/revisionLog" Target="revisionLog1921.xml"/><Relationship Id="rId718" Type="http://schemas.openxmlformats.org/officeDocument/2006/relationships/revisionLog" Target="revisionLog117.xml"/><Relationship Id="rId739" Type="http://schemas.openxmlformats.org/officeDocument/2006/relationships/revisionLog" Target="revisionLog1122.xml"/><Relationship Id="rId691" Type="http://schemas.openxmlformats.org/officeDocument/2006/relationships/revisionLog" Target="revisionLog1161.xml"/><Relationship Id="rId700" Type="http://schemas.openxmlformats.org/officeDocument/2006/relationships/revisionLog" Target="revisionLog182.xml"/><Relationship Id="rId713" Type="http://schemas.openxmlformats.org/officeDocument/2006/relationships/revisionLog" Target="revisionLog1171.xml"/><Relationship Id="rId721" Type="http://schemas.openxmlformats.org/officeDocument/2006/relationships/revisionLog" Target="revisionLog118.xml"/><Relationship Id="rId726" Type="http://schemas.openxmlformats.org/officeDocument/2006/relationships/revisionLog" Target="revisionLog1631.xml"/><Relationship Id="rId734" Type="http://schemas.openxmlformats.org/officeDocument/2006/relationships/revisionLog" Target="revisionLog119.xml"/><Relationship Id="rId742" Type="http://schemas.openxmlformats.org/officeDocument/2006/relationships/revisionLog" Target="revisionLog120.xml"/><Relationship Id="rId747" Type="http://schemas.openxmlformats.org/officeDocument/2006/relationships/revisionLog" Target="revisionLog121.xml"/><Relationship Id="rId649" Type="http://schemas.openxmlformats.org/officeDocument/2006/relationships/revisionLog" Target="revisionLog15111.xml"/><Relationship Id="rId636" Type="http://schemas.openxmlformats.org/officeDocument/2006/relationships/revisionLog" Target="revisionLog13111.xml"/><Relationship Id="rId631" Type="http://schemas.openxmlformats.org/officeDocument/2006/relationships/revisionLog" Target="revisionLog11111.xml"/><Relationship Id="rId644" Type="http://schemas.openxmlformats.org/officeDocument/2006/relationships/revisionLog" Target="revisionLog151111.xml"/><Relationship Id="rId652" Type="http://schemas.openxmlformats.org/officeDocument/2006/relationships/revisionLog" Target="revisionLog16112.xml"/><Relationship Id="rId657" Type="http://schemas.openxmlformats.org/officeDocument/2006/relationships/revisionLog" Target="revisionLog17111.xml"/><Relationship Id="rId660" Type="http://schemas.openxmlformats.org/officeDocument/2006/relationships/revisionLog" Target="revisionLog1821.xml"/><Relationship Id="rId665" Type="http://schemas.openxmlformats.org/officeDocument/2006/relationships/revisionLog" Target="revisionLog19211.xml"/><Relationship Id="rId673" Type="http://schemas.openxmlformats.org/officeDocument/2006/relationships/revisionLog" Target="revisionLog110211.xml"/><Relationship Id="rId678" Type="http://schemas.openxmlformats.org/officeDocument/2006/relationships/revisionLog" Target="revisionLog12212.xml"/><Relationship Id="rId686" Type="http://schemas.openxmlformats.org/officeDocument/2006/relationships/revisionLog" Target="revisionLog1312.xml"/><Relationship Id="rId694" Type="http://schemas.openxmlformats.org/officeDocument/2006/relationships/revisionLog" Target="revisionLog1413.xml"/><Relationship Id="rId699" Type="http://schemas.openxmlformats.org/officeDocument/2006/relationships/revisionLog" Target="revisionLog11711.xml"/><Relationship Id="rId708" Type="http://schemas.openxmlformats.org/officeDocument/2006/relationships/revisionLog" Target="revisionLog1181.xml"/><Relationship Id="rId729" Type="http://schemas.openxmlformats.org/officeDocument/2006/relationships/revisionLog" Target="revisionLog1191.xml"/><Relationship Id="rId681" Type="http://schemas.openxmlformats.org/officeDocument/2006/relationships/revisionLog" Target="revisionLog13122.xml"/><Relationship Id="rId703" Type="http://schemas.openxmlformats.org/officeDocument/2006/relationships/revisionLog" Target="revisionLog1622.xml"/><Relationship Id="rId711" Type="http://schemas.openxmlformats.org/officeDocument/2006/relationships/revisionLog" Target="revisionLog11911.xml"/><Relationship Id="rId716" Type="http://schemas.openxmlformats.org/officeDocument/2006/relationships/revisionLog" Target="revisionLog1201.xml"/><Relationship Id="rId724" Type="http://schemas.openxmlformats.org/officeDocument/2006/relationships/revisionLog" Target="revisionLog16311.xml"/><Relationship Id="rId732" Type="http://schemas.openxmlformats.org/officeDocument/2006/relationships/revisionLog" Target="revisionLog123.xml"/><Relationship Id="rId737" Type="http://schemas.openxmlformats.org/officeDocument/2006/relationships/revisionLog" Target="revisionLog11221.xml"/><Relationship Id="rId745" Type="http://schemas.openxmlformats.org/officeDocument/2006/relationships/revisionLog" Target="revisionLog1211.xml"/><Relationship Id="rId639" Type="http://schemas.openxmlformats.org/officeDocument/2006/relationships/revisionLog" Target="revisionLog141111.xml"/><Relationship Id="rId740" Type="http://schemas.openxmlformats.org/officeDocument/2006/relationships/revisionLog" Target="revisionLog12111.xml"/><Relationship Id="rId634" Type="http://schemas.openxmlformats.org/officeDocument/2006/relationships/revisionLog" Target="revisionLog1311111.xml"/><Relationship Id="rId642" Type="http://schemas.openxmlformats.org/officeDocument/2006/relationships/revisionLog" Target="revisionLog15111111.xml"/><Relationship Id="rId647" Type="http://schemas.openxmlformats.org/officeDocument/2006/relationships/revisionLog" Target="revisionLog1611111.xml"/><Relationship Id="rId650" Type="http://schemas.openxmlformats.org/officeDocument/2006/relationships/revisionLog" Target="revisionLog17111111.xml"/><Relationship Id="rId655" Type="http://schemas.openxmlformats.org/officeDocument/2006/relationships/revisionLog" Target="revisionLog1811.xml"/><Relationship Id="rId663" Type="http://schemas.openxmlformats.org/officeDocument/2006/relationships/revisionLog" Target="revisionLog1911.xml"/><Relationship Id="rId668" Type="http://schemas.openxmlformats.org/officeDocument/2006/relationships/revisionLog" Target="revisionLog11011.xml"/><Relationship Id="rId676" Type="http://schemas.openxmlformats.org/officeDocument/2006/relationships/revisionLog" Target="revisionLog3.xml"/><Relationship Id="rId684" Type="http://schemas.openxmlformats.org/officeDocument/2006/relationships/revisionLog" Target="revisionLog14121.xml"/><Relationship Id="rId689" Type="http://schemas.openxmlformats.org/officeDocument/2006/relationships/revisionLog" Target="revisionLog16211.xml"/><Relationship Id="rId697" Type="http://schemas.openxmlformats.org/officeDocument/2006/relationships/revisionLog" Target="revisionLog17212.xml"/><Relationship Id="rId714" Type="http://schemas.openxmlformats.org/officeDocument/2006/relationships/revisionLog" Target="revisionLog14211.xml"/><Relationship Id="rId719" Type="http://schemas.openxmlformats.org/officeDocument/2006/relationships/revisionLog" Target="revisionLog163111.xml"/><Relationship Id="rId735" Type="http://schemas.openxmlformats.org/officeDocument/2006/relationships/revisionLog" Target="revisionLog1112.xml"/><Relationship Id="rId730" Type="http://schemas.openxmlformats.org/officeDocument/2006/relationships/revisionLog" Target="revisionLog1231.xml"/><Relationship Id="rId632" Type="http://schemas.openxmlformats.org/officeDocument/2006/relationships/revisionLog" Target="revisionLog11121.xml"/><Relationship Id="rId637" Type="http://schemas.openxmlformats.org/officeDocument/2006/relationships/revisionLog" Target="revisionLog1311.xml"/><Relationship Id="rId653" Type="http://schemas.openxmlformats.org/officeDocument/2006/relationships/revisionLog" Target="revisionLog1511.xml"/><Relationship Id="rId658" Type="http://schemas.openxmlformats.org/officeDocument/2006/relationships/revisionLog" Target="revisionLog1612.xml"/><Relationship Id="rId679" Type="http://schemas.openxmlformats.org/officeDocument/2006/relationships/revisionLog" Target="revisionLog112211.xml"/><Relationship Id="rId674" Type="http://schemas.openxmlformats.org/officeDocument/2006/relationships/revisionLog" Target="revisionLog1121.xml"/><Relationship Id="rId690" Type="http://schemas.openxmlformats.org/officeDocument/2006/relationships/revisionLog" Target="revisionLog131.xml"/><Relationship Id="rId695" Type="http://schemas.openxmlformats.org/officeDocument/2006/relationships/revisionLog" Target="revisionLog141.xml"/><Relationship Id="rId704" Type="http://schemas.openxmlformats.org/officeDocument/2006/relationships/revisionLog" Target="revisionLog162.xml"/><Relationship Id="rId709" Type="http://schemas.openxmlformats.org/officeDocument/2006/relationships/revisionLog" Target="revisionLog172.xml"/><Relationship Id="rId725" Type="http://schemas.openxmlformats.org/officeDocument/2006/relationships/revisionLog" Target="revisionLog142.xml"/><Relationship Id="rId746" Type="http://schemas.openxmlformats.org/officeDocument/2006/relationships/revisionLog" Target="revisionLog124.xml"/></Relationships>
</file>

<file path=xl/revisions/revisionHeaders.xml><?xml version="1.0" encoding="utf-8"?>
<headers xmlns="http://schemas.openxmlformats.org/spreadsheetml/2006/main" xmlns:r="http://schemas.openxmlformats.org/officeDocument/2006/relationships" guid="{FC875F05-14FD-4C72-8BC8-2F91FC7DA580}" diskRevisions="1" revisionId="43765" version="2">
  <header guid="{813C6CBA-203D-45A5-8B31-43EDC58B45EA}" dateTime="2012-03-26T11:50:45" maxSheetId="13" userName="Jenny Reed" r:id="rId631" minRId="34913">
    <sheetIdMap count="12">
      <sheetId val="1"/>
      <sheetId val="2"/>
      <sheetId val="3"/>
      <sheetId val="4"/>
      <sheetId val="5"/>
      <sheetId val="6"/>
      <sheetId val="7"/>
      <sheetId val="8"/>
      <sheetId val="9"/>
      <sheetId val="10"/>
      <sheetId val="11"/>
      <sheetId val="12"/>
    </sheetIdMap>
  </header>
  <header guid="{A705F5F0-9924-49BA-B41E-4771B252F8EC}" dateTime="2012-03-26T11:54:11" maxSheetId="13" userName="Jenny Reed" r:id="rId632" minRId="34914" maxRId="37925">
    <sheetIdMap count="12">
      <sheetId val="1"/>
      <sheetId val="2"/>
      <sheetId val="3"/>
      <sheetId val="4"/>
      <sheetId val="5"/>
      <sheetId val="6"/>
      <sheetId val="7"/>
      <sheetId val="8"/>
      <sheetId val="9"/>
      <sheetId val="10"/>
      <sheetId val="11"/>
      <sheetId val="12"/>
    </sheetIdMap>
  </header>
  <header guid="{B8868E28-C61A-4630-B383-2AF4C66D90DA}" dateTime="2012-03-26T12:16:34" maxSheetId="13" userName="Jenny Reed" r:id="rId633" minRId="37926" maxRId="39275">
    <sheetIdMap count="12">
      <sheetId val="1"/>
      <sheetId val="2"/>
      <sheetId val="3"/>
      <sheetId val="4"/>
      <sheetId val="5"/>
      <sheetId val="9"/>
      <sheetId val="11"/>
      <sheetId val="12"/>
      <sheetId val="10"/>
      <sheetId val="8"/>
      <sheetId val="6"/>
      <sheetId val="7"/>
    </sheetIdMap>
  </header>
  <header guid="{792A453E-654E-4AE7-9992-5F975DF9F8C8}" dateTime="2012-03-26T12:17:33" maxSheetId="13" userName="Jenny Reed" r:id="rId634">
    <sheetIdMap count="12">
      <sheetId val="1"/>
      <sheetId val="2"/>
      <sheetId val="3"/>
      <sheetId val="4"/>
      <sheetId val="5"/>
      <sheetId val="9"/>
      <sheetId val="11"/>
      <sheetId val="12"/>
      <sheetId val="10"/>
      <sheetId val="8"/>
      <sheetId val="6"/>
      <sheetId val="7"/>
    </sheetIdMap>
  </header>
  <header guid="{7E46E980-975B-443F-BDDE-D85565AD25FA}" dateTime="2012-03-26T13:13:18" maxSheetId="13" userName="Jenny Reed" r:id="rId635">
    <sheetIdMap count="12">
      <sheetId val="1"/>
      <sheetId val="2"/>
      <sheetId val="3"/>
      <sheetId val="4"/>
      <sheetId val="5"/>
      <sheetId val="9"/>
      <sheetId val="11"/>
      <sheetId val="12"/>
      <sheetId val="10"/>
      <sheetId val="8"/>
      <sheetId val="6"/>
      <sheetId val="7"/>
    </sheetIdMap>
  </header>
  <header guid="{77FA0227-D2E0-468F-89A8-836A7C236545}" dateTime="2012-03-26T14:31:07" maxSheetId="13" userName="biegler" r:id="rId636" minRId="39290" maxRId="40008">
    <sheetIdMap count="12">
      <sheetId val="1"/>
      <sheetId val="2"/>
      <sheetId val="3"/>
      <sheetId val="4"/>
      <sheetId val="5"/>
      <sheetId val="9"/>
      <sheetId val="11"/>
      <sheetId val="12"/>
      <sheetId val="10"/>
      <sheetId val="8"/>
      <sheetId val="6"/>
      <sheetId val="7"/>
    </sheetIdMap>
  </header>
  <header guid="{3C84747F-CEB9-4192-97CF-7BAC369A4ABB}" dateTime="2012-03-26T15:16:01" maxSheetId="13" userName="biegler" r:id="rId637" minRId="40018" maxRId="40477">
    <sheetIdMap count="12">
      <sheetId val="1"/>
      <sheetId val="2"/>
      <sheetId val="3"/>
      <sheetId val="4"/>
      <sheetId val="5"/>
      <sheetId val="9"/>
      <sheetId val="11"/>
      <sheetId val="12"/>
      <sheetId val="10"/>
      <sheetId val="8"/>
      <sheetId val="6"/>
      <sheetId val="7"/>
    </sheetIdMap>
  </header>
  <header guid="{9AEF6456-0FCA-4591-9675-4BF64EF9B1E8}" dateTime="2012-03-26T15:25:26" maxSheetId="13" userName="biegler" r:id="rId638" minRId="40485" maxRId="40587">
    <sheetIdMap count="12">
      <sheetId val="1"/>
      <sheetId val="2"/>
      <sheetId val="3"/>
      <sheetId val="4"/>
      <sheetId val="5"/>
      <sheetId val="9"/>
      <sheetId val="11"/>
      <sheetId val="12"/>
      <sheetId val="10"/>
      <sheetId val="8"/>
      <sheetId val="6"/>
      <sheetId val="7"/>
    </sheetIdMap>
  </header>
  <header guid="{A817ADD6-6B4F-46DD-9FB9-B2BFAFCC45BC}" dateTime="2012-03-26T15:37:02" maxSheetId="13" userName="biegler" r:id="rId639" minRId="40595" maxRId="40652">
    <sheetIdMap count="12">
      <sheetId val="1"/>
      <sheetId val="2"/>
      <sheetId val="3"/>
      <sheetId val="4"/>
      <sheetId val="5"/>
      <sheetId val="9"/>
      <sheetId val="11"/>
      <sheetId val="12"/>
      <sheetId val="10"/>
      <sheetId val="8"/>
      <sheetId val="6"/>
      <sheetId val="7"/>
    </sheetIdMap>
  </header>
  <header guid="{09443E6F-2E23-4EB5-B310-A5704F03C776}" dateTime="2012-03-26T15:38:13" maxSheetId="13" userName="biegler" r:id="rId640" minRId="40660">
    <sheetIdMap count="12">
      <sheetId val="1"/>
      <sheetId val="2"/>
      <sheetId val="3"/>
      <sheetId val="4"/>
      <sheetId val="5"/>
      <sheetId val="9"/>
      <sheetId val="11"/>
      <sheetId val="12"/>
      <sheetId val="10"/>
      <sheetId val="8"/>
      <sheetId val="6"/>
      <sheetId val="7"/>
    </sheetIdMap>
  </header>
  <header guid="{360052ED-0308-4DAE-90A1-CF70313F4894}" dateTime="2012-03-26T16:01:47" maxSheetId="13" userName="Jenny Reed" r:id="rId641" minRId="40668" maxRId="40672">
    <sheetIdMap count="12">
      <sheetId val="1"/>
      <sheetId val="2"/>
      <sheetId val="3"/>
      <sheetId val="4"/>
      <sheetId val="5"/>
      <sheetId val="9"/>
      <sheetId val="11"/>
      <sheetId val="12"/>
      <sheetId val="10"/>
      <sheetId val="8"/>
      <sheetId val="6"/>
      <sheetId val="7"/>
    </sheetIdMap>
  </header>
  <header guid="{0541585E-4F24-4084-AD43-65EF0E18A4EE}" dateTime="2012-03-26T16:05:36" maxSheetId="13" userName="Jenny Reed" r:id="rId642" minRId="40680" maxRId="40810">
    <sheetIdMap count="12">
      <sheetId val="1"/>
      <sheetId val="2"/>
      <sheetId val="3"/>
      <sheetId val="4"/>
      <sheetId val="5"/>
      <sheetId val="9"/>
      <sheetId val="11"/>
      <sheetId val="12"/>
      <sheetId val="10"/>
      <sheetId val="8"/>
      <sheetId val="6"/>
      <sheetId val="7"/>
    </sheetIdMap>
  </header>
  <header guid="{E9C12282-084A-453F-8208-FB2375E93F26}" dateTime="2012-03-26T16:06:19" maxSheetId="13" userName="Jenny Reed" r:id="rId643" minRId="40818" maxRId="40827">
    <sheetIdMap count="12">
      <sheetId val="1"/>
      <sheetId val="2"/>
      <sheetId val="3"/>
      <sheetId val="4"/>
      <sheetId val="5"/>
      <sheetId val="9"/>
      <sheetId val="11"/>
      <sheetId val="12"/>
      <sheetId val="10"/>
      <sheetId val="8"/>
      <sheetId val="6"/>
      <sheetId val="7"/>
    </sheetIdMap>
  </header>
  <header guid="{D4513956-8A5F-485E-9A27-F2A09F976B63}" dateTime="2012-03-26T16:07:37" maxSheetId="13" userName="Jenny Reed" r:id="rId644" minRId="40835" maxRId="40860">
    <sheetIdMap count="12">
      <sheetId val="1"/>
      <sheetId val="2"/>
      <sheetId val="3"/>
      <sheetId val="4"/>
      <sheetId val="5"/>
      <sheetId val="9"/>
      <sheetId val="11"/>
      <sheetId val="12"/>
      <sheetId val="10"/>
      <sheetId val="8"/>
      <sheetId val="6"/>
      <sheetId val="7"/>
    </sheetIdMap>
  </header>
  <header guid="{FDD91FDB-D7A2-49A6-9776-AAC85DD0B600}" dateTime="2012-03-26T16:09:03" maxSheetId="13" userName="Jenny Reed" r:id="rId645" minRId="40868" maxRId="40913">
    <sheetIdMap count="12">
      <sheetId val="1"/>
      <sheetId val="2"/>
      <sheetId val="3"/>
      <sheetId val="4"/>
      <sheetId val="5"/>
      <sheetId val="9"/>
      <sheetId val="11"/>
      <sheetId val="12"/>
      <sheetId val="10"/>
      <sheetId val="8"/>
      <sheetId val="6"/>
      <sheetId val="7"/>
    </sheetIdMap>
  </header>
  <header guid="{0615BE6F-0E1D-4AA8-A54F-8A33DB098F4B}" dateTime="2012-03-26T16:20:15" maxSheetId="13" userName="biegler" r:id="rId646" minRId="40921" maxRId="40923">
    <sheetIdMap count="12">
      <sheetId val="1"/>
      <sheetId val="2"/>
      <sheetId val="3"/>
      <sheetId val="4"/>
      <sheetId val="5"/>
      <sheetId val="9"/>
      <sheetId val="11"/>
      <sheetId val="12"/>
      <sheetId val="10"/>
      <sheetId val="8"/>
      <sheetId val="6"/>
      <sheetId val="7"/>
    </sheetIdMap>
  </header>
  <header guid="{D6683E30-E9A3-43DE-8446-449DAFD6588C}" dateTime="2012-03-26T16:23:33" maxSheetId="13" userName="biegler" r:id="rId647" minRId="40931" maxRId="40938">
    <sheetIdMap count="12">
      <sheetId val="1"/>
      <sheetId val="2"/>
      <sheetId val="3"/>
      <sheetId val="4"/>
      <sheetId val="5"/>
      <sheetId val="9"/>
      <sheetId val="11"/>
      <sheetId val="12"/>
      <sheetId val="10"/>
      <sheetId val="8"/>
      <sheetId val="6"/>
      <sheetId val="7"/>
    </sheetIdMap>
  </header>
  <header guid="{AD766E6B-B1ED-47E4-863D-049EDFEAF05F}" dateTime="2012-03-26T16:34:36" maxSheetId="13" userName="biegler" r:id="rId648" minRId="40946" maxRId="40970">
    <sheetIdMap count="12">
      <sheetId val="1"/>
      <sheetId val="2"/>
      <sheetId val="3"/>
      <sheetId val="4"/>
      <sheetId val="5"/>
      <sheetId val="9"/>
      <sheetId val="11"/>
      <sheetId val="12"/>
      <sheetId val="10"/>
      <sheetId val="8"/>
      <sheetId val="6"/>
      <sheetId val="7"/>
    </sheetIdMap>
  </header>
  <header guid="{0B91D110-30A1-42C7-AE08-9118FDAB77FB}" dateTime="2012-03-26T16:39:08" maxSheetId="13" userName="biegler" r:id="rId649" minRId="40978" maxRId="40988">
    <sheetIdMap count="12">
      <sheetId val="1"/>
      <sheetId val="2"/>
      <sheetId val="3"/>
      <sheetId val="4"/>
      <sheetId val="5"/>
      <sheetId val="9"/>
      <sheetId val="11"/>
      <sheetId val="12"/>
      <sheetId val="10"/>
      <sheetId val="8"/>
      <sheetId val="6"/>
      <sheetId val="7"/>
    </sheetIdMap>
  </header>
  <header guid="{AC4CA0C1-E783-473E-B67E-ACFD9140D69C}" dateTime="2012-03-27T11:05:00" maxSheetId="13" userName="biegler" r:id="rId650">
    <sheetIdMap count="12">
      <sheetId val="1"/>
      <sheetId val="2"/>
      <sheetId val="3"/>
      <sheetId val="4"/>
      <sheetId val="5"/>
      <sheetId val="9"/>
      <sheetId val="11"/>
      <sheetId val="12"/>
      <sheetId val="10"/>
      <sheetId val="8"/>
      <sheetId val="6"/>
      <sheetId val="7"/>
    </sheetIdMap>
  </header>
  <header guid="{A6F38E86-40BC-4205-B197-64E181436185}" dateTime="2012-03-27T11:19:17" maxSheetId="13" userName="Jenny Reed" r:id="rId651">
    <sheetIdMap count="12">
      <sheetId val="1"/>
      <sheetId val="2"/>
      <sheetId val="3"/>
      <sheetId val="4"/>
      <sheetId val="5"/>
      <sheetId val="9"/>
      <sheetId val="11"/>
      <sheetId val="12"/>
      <sheetId val="10"/>
      <sheetId val="8"/>
      <sheetId val="6"/>
      <sheetId val="7"/>
    </sheetIdMap>
  </header>
  <header guid="{70760D1B-F38C-496A-93FD-8DCE8A204F28}" dateTime="2012-03-27T11:30:17" maxSheetId="13" userName="Kwame Boadi" r:id="rId652" minRId="41010" maxRId="41029">
    <sheetIdMap count="12">
      <sheetId val="1"/>
      <sheetId val="2"/>
      <sheetId val="3"/>
      <sheetId val="4"/>
      <sheetId val="5"/>
      <sheetId val="9"/>
      <sheetId val="11"/>
      <sheetId val="12"/>
      <sheetId val="10"/>
      <sheetId val="8"/>
      <sheetId val="6"/>
      <sheetId val="7"/>
    </sheetIdMap>
  </header>
  <header guid="{F630D876-8878-4F41-AD9F-9AB4DCA83125}" dateTime="2012-03-27T11:59:33" maxSheetId="13" userName="Jenny Reed" r:id="rId653" minRId="41039" maxRId="41042">
    <sheetIdMap count="12">
      <sheetId val="1"/>
      <sheetId val="2"/>
      <sheetId val="3"/>
      <sheetId val="4"/>
      <sheetId val="5"/>
      <sheetId val="9"/>
      <sheetId val="11"/>
      <sheetId val="12"/>
      <sheetId val="10"/>
      <sheetId val="8"/>
      <sheetId val="6"/>
      <sheetId val="7"/>
    </sheetIdMap>
  </header>
  <header guid="{701BBCE8-6CBD-4474-A67F-C6FA801ADF63}" dateTime="2012-03-27T12:02:07" maxSheetId="13" userName="Jenny Reed" r:id="rId654" minRId="41050">
    <sheetIdMap count="12">
      <sheetId val="1"/>
      <sheetId val="2"/>
      <sheetId val="3"/>
      <sheetId val="4"/>
      <sheetId val="5"/>
      <sheetId val="9"/>
      <sheetId val="11"/>
      <sheetId val="12"/>
      <sheetId val="10"/>
      <sheetId val="8"/>
      <sheetId val="6"/>
      <sheetId val="7"/>
    </sheetIdMap>
  </header>
  <header guid="{0B3066D3-571C-4AB1-9FBE-BE0D2286D440}" dateTime="2012-03-27T12:06:49" maxSheetId="13" userName="Jenny Reed" r:id="rId655" minRId="41058" maxRId="41060">
    <sheetIdMap count="12">
      <sheetId val="1"/>
      <sheetId val="2"/>
      <sheetId val="3"/>
      <sheetId val="4"/>
      <sheetId val="5"/>
      <sheetId val="9"/>
      <sheetId val="11"/>
      <sheetId val="12"/>
      <sheetId val="10"/>
      <sheetId val="8"/>
      <sheetId val="6"/>
      <sheetId val="7"/>
    </sheetIdMap>
  </header>
  <header guid="{1B9D51F9-B37E-4A6B-82EA-23D44FA4086A}" dateTime="2012-03-27T12:12:43" maxSheetId="13" userName="Jenny Reed" r:id="rId656" minRId="41068" maxRId="41069">
    <sheetIdMap count="12">
      <sheetId val="1"/>
      <sheetId val="2"/>
      <sheetId val="3"/>
      <sheetId val="4"/>
      <sheetId val="5"/>
      <sheetId val="9"/>
      <sheetId val="11"/>
      <sheetId val="12"/>
      <sheetId val="10"/>
      <sheetId val="8"/>
      <sheetId val="6"/>
      <sheetId val="7"/>
    </sheetIdMap>
  </header>
  <header guid="{A3400A8B-AE2C-47C0-8534-EDA5B1BD8E9C}" dateTime="2012-03-27T12:12:56" maxSheetId="13" userName="Jenny Reed" r:id="rId657">
    <sheetIdMap count="12">
      <sheetId val="1"/>
      <sheetId val="2"/>
      <sheetId val="3"/>
      <sheetId val="4"/>
      <sheetId val="5"/>
      <sheetId val="9"/>
      <sheetId val="11"/>
      <sheetId val="12"/>
      <sheetId val="10"/>
      <sheetId val="8"/>
      <sheetId val="6"/>
      <sheetId val="7"/>
    </sheetIdMap>
  </header>
  <header guid="{42D73B6E-76FC-4DE7-B923-1A9A873A95A1}" dateTime="2012-03-27T14:09:16" maxSheetId="13" userName="biegler" r:id="rId658">
    <sheetIdMap count="12">
      <sheetId val="1"/>
      <sheetId val="2"/>
      <sheetId val="3"/>
      <sheetId val="4"/>
      <sheetId val="5"/>
      <sheetId val="9"/>
      <sheetId val="11"/>
      <sheetId val="12"/>
      <sheetId val="10"/>
      <sheetId val="8"/>
      <sheetId val="6"/>
      <sheetId val="7"/>
    </sheetIdMap>
  </header>
  <header guid="{5716FC60-4DCF-44C5-BE70-4F77B11F1715}" dateTime="2012-03-27T14:18:59" maxSheetId="13" userName="fulton" r:id="rId659" minRId="41091" maxRId="41106">
    <sheetIdMap count="12">
      <sheetId val="1"/>
      <sheetId val="2"/>
      <sheetId val="3"/>
      <sheetId val="4"/>
      <sheetId val="5"/>
      <sheetId val="9"/>
      <sheetId val="11"/>
      <sheetId val="12"/>
      <sheetId val="10"/>
      <sheetId val="8"/>
      <sheetId val="6"/>
      <sheetId val="7"/>
    </sheetIdMap>
  </header>
  <header guid="{A59655A2-E038-4AD4-8DF2-57D38E7D70CF}" dateTime="2012-03-27T15:02:28" maxSheetId="13" userName="Jenny Reed" r:id="rId660">
    <sheetIdMap count="12">
      <sheetId val="1"/>
      <sheetId val="2"/>
      <sheetId val="3"/>
      <sheetId val="4"/>
      <sheetId val="5"/>
      <sheetId val="9"/>
      <sheetId val="11"/>
      <sheetId val="12"/>
      <sheetId val="10"/>
      <sheetId val="8"/>
      <sheetId val="6"/>
      <sheetId val="7"/>
    </sheetIdMap>
  </header>
  <header guid="{5DD82328-0C63-4EEB-B984-254151F65EFB}" dateTime="2012-03-28T09:52:34" maxSheetId="13" userName="biegler" r:id="rId661">
    <sheetIdMap count="12">
      <sheetId val="1"/>
      <sheetId val="2"/>
      <sheetId val="3"/>
      <sheetId val="4"/>
      <sheetId val="5"/>
      <sheetId val="9"/>
      <sheetId val="11"/>
      <sheetId val="12"/>
      <sheetId val="10"/>
      <sheetId val="8"/>
      <sheetId val="6"/>
      <sheetId val="7"/>
    </sheetIdMap>
  </header>
  <header guid="{217D1FBB-BEC7-41F9-819C-53CCAB08FD9E}" dateTime="2012-03-28T10:23:43" maxSheetId="13" userName="bhat" r:id="rId662" minRId="41128" maxRId="41131">
    <sheetIdMap count="12">
      <sheetId val="1"/>
      <sheetId val="2"/>
      <sheetId val="3"/>
      <sheetId val="4"/>
      <sheetId val="5"/>
      <sheetId val="9"/>
      <sheetId val="11"/>
      <sheetId val="12"/>
      <sheetId val="10"/>
      <sheetId val="8"/>
      <sheetId val="6"/>
      <sheetId val="7"/>
    </sheetIdMap>
  </header>
  <header guid="{47842D39-06A0-4853-B919-38DE853DA491}" dateTime="2012-03-28T10:26:11" maxSheetId="13" userName="bhat" r:id="rId663" minRId="41139" maxRId="41140">
    <sheetIdMap count="12">
      <sheetId val="1"/>
      <sheetId val="2"/>
      <sheetId val="3"/>
      <sheetId val="4"/>
      <sheetId val="5"/>
      <sheetId val="9"/>
      <sheetId val="11"/>
      <sheetId val="12"/>
      <sheetId val="10"/>
      <sheetId val="8"/>
      <sheetId val="6"/>
      <sheetId val="7"/>
    </sheetIdMap>
  </header>
  <header guid="{A8AB956E-B074-499F-A9E9-9E4CD6A6F8B2}" dateTime="2012-03-28T10:28:07" maxSheetId="13" userName="bhat" r:id="rId664" minRId="41141" maxRId="41143">
    <sheetIdMap count="12">
      <sheetId val="1"/>
      <sheetId val="2"/>
      <sheetId val="3"/>
      <sheetId val="4"/>
      <sheetId val="5"/>
      <sheetId val="9"/>
      <sheetId val="11"/>
      <sheetId val="12"/>
      <sheetId val="10"/>
      <sheetId val="8"/>
      <sheetId val="6"/>
      <sheetId val="7"/>
    </sheetIdMap>
  </header>
  <header guid="{CC2B6259-3E7A-4BCE-8188-B318CBDCD97E}" dateTime="2012-03-28T10:30:23" maxSheetId="13" userName="bhat" r:id="rId665" minRId="41144" maxRId="41145">
    <sheetIdMap count="12">
      <sheetId val="1"/>
      <sheetId val="2"/>
      <sheetId val="3"/>
      <sheetId val="4"/>
      <sheetId val="5"/>
      <sheetId val="9"/>
      <sheetId val="11"/>
      <sheetId val="12"/>
      <sheetId val="10"/>
      <sheetId val="8"/>
      <sheetId val="6"/>
      <sheetId val="7"/>
    </sheetIdMap>
  </header>
  <header guid="{419B32A8-CD96-45B9-8E9E-CF976CA1892B}" dateTime="2012-03-28T10:35:24" maxSheetId="13" userName="coventry" r:id="rId666" minRId="41146" maxRId="41163">
    <sheetIdMap count="12">
      <sheetId val="1"/>
      <sheetId val="2"/>
      <sheetId val="3"/>
      <sheetId val="4"/>
      <sheetId val="5"/>
      <sheetId val="9"/>
      <sheetId val="11"/>
      <sheetId val="12"/>
      <sheetId val="10"/>
      <sheetId val="8"/>
      <sheetId val="6"/>
      <sheetId val="7"/>
    </sheetIdMap>
  </header>
  <header guid="{6D5E747E-F2A5-4173-9EED-FA19F40EC8C1}" dateTime="2012-03-28T10:37:24" maxSheetId="13" userName="bhat" r:id="rId667" minRId="41171">
    <sheetIdMap count="12">
      <sheetId val="1"/>
      <sheetId val="2"/>
      <sheetId val="3"/>
      <sheetId val="4"/>
      <sheetId val="5"/>
      <sheetId val="9"/>
      <sheetId val="11"/>
      <sheetId val="12"/>
      <sheetId val="10"/>
      <sheetId val="8"/>
      <sheetId val="6"/>
      <sheetId val="7"/>
    </sheetIdMap>
  </header>
  <header guid="{EEE05B79-01FB-459F-9705-03E40463BD98}" dateTime="2012-03-28T12:00:25" maxSheetId="13" userName="fulton" r:id="rId668" minRId="41172" maxRId="41183">
    <sheetIdMap count="12">
      <sheetId val="1"/>
      <sheetId val="2"/>
      <sheetId val="3"/>
      <sheetId val="4"/>
      <sheetId val="5"/>
      <sheetId val="9"/>
      <sheetId val="11"/>
      <sheetId val="12"/>
      <sheetId val="10"/>
      <sheetId val="8"/>
      <sheetId val="6"/>
      <sheetId val="7"/>
    </sheetIdMap>
  </header>
  <header guid="{85F8EB1B-D449-4087-B194-2BD219BCDAEF}" dateTime="2012-03-28T13:59:04" maxSheetId="13" userName="biegler" r:id="rId669">
    <sheetIdMap count="12">
      <sheetId val="1"/>
      <sheetId val="2"/>
      <sheetId val="3"/>
      <sheetId val="4"/>
      <sheetId val="5"/>
      <sheetId val="9"/>
      <sheetId val="11"/>
      <sheetId val="12"/>
      <sheetId val="10"/>
      <sheetId val="8"/>
      <sheetId val="6"/>
      <sheetId val="7"/>
    </sheetIdMap>
  </header>
  <header guid="{23BFC727-C5E3-44D9-8239-BBCB3528267E}" dateTime="2012-03-28T16:37:40" maxSheetId="13" userName="biegler" r:id="rId670" minRId="41198" maxRId="41199">
    <sheetIdMap count="12">
      <sheetId val="1"/>
      <sheetId val="2"/>
      <sheetId val="3"/>
      <sheetId val="4"/>
      <sheetId val="5"/>
      <sheetId val="9"/>
      <sheetId val="11"/>
      <sheetId val="12"/>
      <sheetId val="10"/>
      <sheetId val="8"/>
      <sheetId val="6"/>
      <sheetId val="7"/>
    </sheetIdMap>
  </header>
  <header guid="{99FB4623-76AC-4018-9355-2A70DD9112EB}" dateTime="2012-03-30T13:59:42" maxSheetId="13" userName="Jenny Reed" r:id="rId671">
    <sheetIdMap count="12">
      <sheetId val="1"/>
      <sheetId val="2"/>
      <sheetId val="3"/>
      <sheetId val="4"/>
      <sheetId val="5"/>
      <sheetId val="9"/>
      <sheetId val="11"/>
      <sheetId val="12"/>
      <sheetId val="10"/>
      <sheetId val="8"/>
      <sheetId val="6"/>
      <sheetId val="7"/>
    </sheetIdMap>
  </header>
  <header guid="{800FE086-75AA-497E-AE31-1110CBBACFFA}" dateTime="2012-03-30T14:35:14" maxSheetId="13" userName="silverman" r:id="rId672" minRId="41214" maxRId="41243">
    <sheetIdMap count="12">
      <sheetId val="1"/>
      <sheetId val="2"/>
      <sheetId val="3"/>
      <sheetId val="4"/>
      <sheetId val="5"/>
      <sheetId val="9"/>
      <sheetId val="11"/>
      <sheetId val="12"/>
      <sheetId val="10"/>
      <sheetId val="8"/>
      <sheetId val="6"/>
      <sheetId val="7"/>
    </sheetIdMap>
  </header>
  <header guid="{ECE8E3C4-5822-4FD5-8DD6-C084DCF7E05F}" dateTime="2012-03-30T14:37:52" maxSheetId="13" userName="silverman" r:id="rId673">
    <sheetIdMap count="12">
      <sheetId val="1"/>
      <sheetId val="2"/>
      <sheetId val="3"/>
      <sheetId val="4"/>
      <sheetId val="5"/>
      <sheetId val="9"/>
      <sheetId val="11"/>
      <sheetId val="12"/>
      <sheetId val="10"/>
      <sheetId val="8"/>
      <sheetId val="6"/>
      <sheetId val="7"/>
    </sheetIdMap>
  </header>
  <header guid="{367116F8-5D1D-4C5A-BF8B-EF43BD35F36C}" dateTime="2012-03-30T14:38:03" maxSheetId="13" userName="silverman" r:id="rId674">
    <sheetIdMap count="12">
      <sheetId val="1"/>
      <sheetId val="2"/>
      <sheetId val="3"/>
      <sheetId val="4"/>
      <sheetId val="5"/>
      <sheetId val="9"/>
      <sheetId val="11"/>
      <sheetId val="12"/>
      <sheetId val="10"/>
      <sheetId val="8"/>
      <sheetId val="6"/>
      <sheetId val="7"/>
    </sheetIdMap>
  </header>
  <header guid="{8D389C93-793C-495E-88F7-F32EB7180C74}" dateTime="2012-04-02T07:39:29" maxSheetId="13" userName="Ed Lazere" r:id="rId675">
    <sheetIdMap count="12">
      <sheetId val="1"/>
      <sheetId val="2"/>
      <sheetId val="3"/>
      <sheetId val="4"/>
      <sheetId val="5"/>
      <sheetId val="9"/>
      <sheetId val="11"/>
      <sheetId val="12"/>
      <sheetId val="10"/>
      <sheetId val="8"/>
      <sheetId val="6"/>
      <sheetId val="7"/>
    </sheetIdMap>
  </header>
  <header guid="{06DA8C28-7C76-4C41-BCC7-71FA5EF6464B}" dateTime="2012-04-02T07:57:09" maxSheetId="13" userName="Ed Lazere" r:id="rId676" minRId="41272">
    <sheetIdMap count="12">
      <sheetId val="1"/>
      <sheetId val="2"/>
      <sheetId val="3"/>
      <sheetId val="4"/>
      <sheetId val="5"/>
      <sheetId val="9"/>
      <sheetId val="11"/>
      <sheetId val="12"/>
      <sheetId val="10"/>
      <sheetId val="8"/>
      <sheetId val="6"/>
      <sheetId val="7"/>
    </sheetIdMap>
  </header>
  <header guid="{04B74614-C6CA-456D-A5BA-353D5678BF2E}" dateTime="2012-04-02T09:14:24" maxSheetId="13" userName="Ed Lazere" r:id="rId677">
    <sheetIdMap count="12">
      <sheetId val="1"/>
      <sheetId val="2"/>
      <sheetId val="3"/>
      <sheetId val="4"/>
      <sheetId val="5"/>
      <sheetId val="9"/>
      <sheetId val="11"/>
      <sheetId val="12"/>
      <sheetId val="10"/>
      <sheetId val="8"/>
      <sheetId val="6"/>
      <sheetId val="7"/>
    </sheetIdMap>
  </header>
  <header guid="{70BFD024-6171-4731-A4E0-F3B1B83C6849}" dateTime="2012-04-02T10:02:56" maxSheetId="13" userName="biegler" r:id="rId678" minRId="41279" maxRId="41280">
    <sheetIdMap count="12">
      <sheetId val="1"/>
      <sheetId val="2"/>
      <sheetId val="3"/>
      <sheetId val="4"/>
      <sheetId val="5"/>
      <sheetId val="9"/>
      <sheetId val="11"/>
      <sheetId val="12"/>
      <sheetId val="10"/>
      <sheetId val="8"/>
      <sheetId val="6"/>
      <sheetId val="7"/>
    </sheetIdMap>
  </header>
  <header guid="{35055923-6885-49BE-A2A0-69EFBD6FCA49}" dateTime="2012-04-02T10:14:09" maxSheetId="13" userName="biegler" r:id="rId679">
    <sheetIdMap count="12">
      <sheetId val="1"/>
      <sheetId val="2"/>
      <sheetId val="3"/>
      <sheetId val="4"/>
      <sheetId val="5"/>
      <sheetId val="9"/>
      <sheetId val="11"/>
      <sheetId val="12"/>
      <sheetId val="10"/>
      <sheetId val="8"/>
      <sheetId val="6"/>
      <sheetId val="7"/>
    </sheetIdMap>
  </header>
  <header guid="{192E30D1-24E7-4302-B138-75371FCDEF42}" dateTime="2012-04-03T12:45:24" maxSheetId="13" userName="Jenny Reed" r:id="rId680" minRId="41295" maxRId="41303">
    <sheetIdMap count="12">
      <sheetId val="1"/>
      <sheetId val="2"/>
      <sheetId val="3"/>
      <sheetId val="4"/>
      <sheetId val="5"/>
      <sheetId val="9"/>
      <sheetId val="11"/>
      <sheetId val="12"/>
      <sheetId val="10"/>
      <sheetId val="8"/>
      <sheetId val="6"/>
      <sheetId val="7"/>
    </sheetIdMap>
  </header>
  <header guid="{8B478603-2660-4D84-BC5D-E0DB6A5952BB}" dateTime="2012-04-03T12:46:17" maxSheetId="13" userName="Jenny Reed" r:id="rId681">
    <sheetIdMap count="12">
      <sheetId val="1"/>
      <sheetId val="2"/>
      <sheetId val="3"/>
      <sheetId val="4"/>
      <sheetId val="5"/>
      <sheetId val="9"/>
      <sheetId val="11"/>
      <sheetId val="12"/>
      <sheetId val="10"/>
      <sheetId val="8"/>
      <sheetId val="6"/>
      <sheetId val="7"/>
    </sheetIdMap>
  </header>
  <header guid="{B8C29EA2-A888-442F-AEAE-F683DE4DCFB4}" dateTime="2012-04-03T12:46:26" maxSheetId="13" userName="Jenny Reed" r:id="rId682">
    <sheetIdMap count="12">
      <sheetId val="1"/>
      <sheetId val="2"/>
      <sheetId val="3"/>
      <sheetId val="4"/>
      <sheetId val="5"/>
      <sheetId val="9"/>
      <sheetId val="11"/>
      <sheetId val="12"/>
      <sheetId val="10"/>
      <sheetId val="8"/>
      <sheetId val="6"/>
      <sheetId val="7"/>
    </sheetIdMap>
  </header>
  <header guid="{3C50CAF2-13B2-4EAE-BCD5-906F269BE356}" dateTime="2012-04-03T14:05:14" maxSheetId="13" userName="Kwame Boadi" r:id="rId683" minRId="41325" maxRId="41340">
    <sheetIdMap count="12">
      <sheetId val="1"/>
      <sheetId val="2"/>
      <sheetId val="3"/>
      <sheetId val="4"/>
      <sheetId val="5"/>
      <sheetId val="9"/>
      <sheetId val="11"/>
      <sheetId val="12"/>
      <sheetId val="10"/>
      <sheetId val="8"/>
      <sheetId val="6"/>
      <sheetId val="7"/>
    </sheetIdMap>
  </header>
  <header guid="{C3157FD1-9A2D-47F0-BE13-E44383004977}" dateTime="2012-04-03T14:05:53" maxSheetId="13" userName="Kwame Boadi" r:id="rId684">
    <sheetIdMap count="12">
      <sheetId val="1"/>
      <sheetId val="2"/>
      <sheetId val="3"/>
      <sheetId val="4"/>
      <sheetId val="5"/>
      <sheetId val="9"/>
      <sheetId val="11"/>
      <sheetId val="12"/>
      <sheetId val="10"/>
      <sheetId val="8"/>
      <sheetId val="6"/>
      <sheetId val="7"/>
    </sheetIdMap>
  </header>
  <header guid="{1355B99E-704A-4CC4-83E9-A02B79DD831A}" dateTime="2012-04-04T10:40:10" maxSheetId="13" userName="bhat" r:id="rId685" minRId="41355" maxRId="41367">
    <sheetIdMap count="12">
      <sheetId val="1"/>
      <sheetId val="2"/>
      <sheetId val="3"/>
      <sheetId val="4"/>
      <sheetId val="5"/>
      <sheetId val="9"/>
      <sheetId val="11"/>
      <sheetId val="12"/>
      <sheetId val="10"/>
      <sheetId val="8"/>
      <sheetId val="6"/>
      <sheetId val="7"/>
    </sheetIdMap>
  </header>
  <header guid="{C0C19990-8977-4EC7-8405-ABF5C444323D}" dateTime="2012-04-04T11:56:11" maxSheetId="13" userName="bhat" r:id="rId686" minRId="41375" maxRId="41385">
    <sheetIdMap count="12">
      <sheetId val="1"/>
      <sheetId val="2"/>
      <sheetId val="3"/>
      <sheetId val="4"/>
      <sheetId val="5"/>
      <sheetId val="9"/>
      <sheetId val="11"/>
      <sheetId val="12"/>
      <sheetId val="10"/>
      <sheetId val="8"/>
      <sheetId val="6"/>
      <sheetId val="7"/>
    </sheetIdMap>
  </header>
  <header guid="{A8E971DC-02A1-492B-8BA0-4600E96042CC}" dateTime="2012-04-04T13:30:24" maxSheetId="13" userName="Jenny Reed" r:id="rId687">
    <sheetIdMap count="12">
      <sheetId val="1"/>
      <sheetId val="2"/>
      <sheetId val="3"/>
      <sheetId val="4"/>
      <sheetId val="5"/>
      <sheetId val="9"/>
      <sheetId val="11"/>
      <sheetId val="12"/>
      <sheetId val="10"/>
      <sheetId val="8"/>
      <sheetId val="6"/>
      <sheetId val="7"/>
    </sheetIdMap>
  </header>
  <header guid="{046F0991-57FF-4584-BEA2-B767A34B877D}" dateTime="2012-04-04T14:16:13" maxSheetId="13" userName="bhat" r:id="rId688" minRId="41400" maxRId="41406">
    <sheetIdMap count="12">
      <sheetId val="1"/>
      <sheetId val="2"/>
      <sheetId val="3"/>
      <sheetId val="4"/>
      <sheetId val="5"/>
      <sheetId val="9"/>
      <sheetId val="11"/>
      <sheetId val="12"/>
      <sheetId val="10"/>
      <sheetId val="8"/>
      <sheetId val="6"/>
      <sheetId val="7"/>
    </sheetIdMap>
  </header>
  <header guid="{2E3FF5F1-34FF-4AD8-94D5-74DB106A6D78}" dateTime="2012-04-04T15:12:55" maxSheetId="13" userName="coventry" r:id="rId689" minRId="41414" maxRId="41426">
    <sheetIdMap count="12">
      <sheetId val="1"/>
      <sheetId val="2"/>
      <sheetId val="3"/>
      <sheetId val="4"/>
      <sheetId val="5"/>
      <sheetId val="9"/>
      <sheetId val="11"/>
      <sheetId val="12"/>
      <sheetId val="10"/>
      <sheetId val="8"/>
      <sheetId val="6"/>
      <sheetId val="7"/>
    </sheetIdMap>
  </header>
  <header guid="{BF967DF5-BA40-4F4B-9B0B-4DEF5F7F90E6}" dateTime="2012-04-04T17:14:29" maxSheetId="13" userName="Kwame Boadi" r:id="rId690" minRId="41434" maxRId="41452">
    <sheetIdMap count="12">
      <sheetId val="1"/>
      <sheetId val="2"/>
      <sheetId val="3"/>
      <sheetId val="4"/>
      <sheetId val="5"/>
      <sheetId val="9"/>
      <sheetId val="11"/>
      <sheetId val="12"/>
      <sheetId val="10"/>
      <sheetId val="8"/>
      <sheetId val="6"/>
      <sheetId val="7"/>
    </sheetIdMap>
  </header>
  <header guid="{0C2C6081-ADA2-4727-B00A-8788700268D7}" dateTime="2012-04-04T22:28:57" maxSheetId="13" userName="silverman" r:id="rId691">
    <sheetIdMap count="12">
      <sheetId val="1"/>
      <sheetId val="2"/>
      <sheetId val="3"/>
      <sheetId val="4"/>
      <sheetId val="5"/>
      <sheetId val="9"/>
      <sheetId val="11"/>
      <sheetId val="12"/>
      <sheetId val="10"/>
      <sheetId val="8"/>
      <sheetId val="6"/>
      <sheetId val="7"/>
    </sheetIdMap>
  </header>
  <header guid="{192F4D16-EE59-4708-B821-3708788BD174}" dateTime="2012-04-05T08:57:40" maxSheetId="13" userName="Ed Lazere" r:id="rId692" minRId="41466" maxRId="41481">
    <sheetIdMap count="12">
      <sheetId val="1"/>
      <sheetId val="2"/>
      <sheetId val="3"/>
      <sheetId val="4"/>
      <sheetId val="5"/>
      <sheetId val="9"/>
      <sheetId val="11"/>
      <sheetId val="12"/>
      <sheetId val="10"/>
      <sheetId val="8"/>
      <sheetId val="6"/>
      <sheetId val="7"/>
    </sheetIdMap>
  </header>
  <header guid="{2D98CBDE-294D-4C55-865F-9AA02E90133E}" dateTime="2012-04-05T09:08:15" maxSheetId="13" userName="Ed Lazere" r:id="rId693" minRId="41482" maxRId="41494">
    <sheetIdMap count="12">
      <sheetId val="1"/>
      <sheetId val="2"/>
      <sheetId val="3"/>
      <sheetId val="4"/>
      <sheetId val="5"/>
      <sheetId val="9"/>
      <sheetId val="11"/>
      <sheetId val="12"/>
      <sheetId val="10"/>
      <sheetId val="8"/>
      <sheetId val="6"/>
      <sheetId val="7"/>
    </sheetIdMap>
  </header>
  <header guid="{6BC1F10A-D066-425F-BA79-F88C8166B24C}" dateTime="2012-04-05T09:11:27" maxSheetId="13" userName="Ed Lazere" r:id="rId694" minRId="41501" maxRId="41505">
    <sheetIdMap count="12">
      <sheetId val="1"/>
      <sheetId val="2"/>
      <sheetId val="3"/>
      <sheetId val="4"/>
      <sheetId val="5"/>
      <sheetId val="9"/>
      <sheetId val="11"/>
      <sheetId val="12"/>
      <sheetId val="10"/>
      <sheetId val="8"/>
      <sheetId val="6"/>
      <sheetId val="7"/>
    </sheetIdMap>
  </header>
  <header guid="{DF459F7C-DBC8-4299-8D5E-D275106966FE}" dateTime="2012-04-05T09:17:09" maxSheetId="13" userName="Ed Lazere" r:id="rId695" minRId="41512">
    <sheetIdMap count="12">
      <sheetId val="1"/>
      <sheetId val="2"/>
      <sheetId val="3"/>
      <sheetId val="4"/>
      <sheetId val="5"/>
      <sheetId val="9"/>
      <sheetId val="11"/>
      <sheetId val="12"/>
      <sheetId val="10"/>
      <sheetId val="8"/>
      <sheetId val="6"/>
      <sheetId val="7"/>
    </sheetIdMap>
  </header>
  <header guid="{D976293A-F582-4B24-B8C3-07D1DB7AD159}" dateTime="2012-04-05T09:18:35" maxSheetId="13" userName="Ed Lazere" r:id="rId696" minRId="41519" maxRId="41520">
    <sheetIdMap count="12">
      <sheetId val="1"/>
      <sheetId val="2"/>
      <sheetId val="3"/>
      <sheetId val="4"/>
      <sheetId val="5"/>
      <sheetId val="9"/>
      <sheetId val="11"/>
      <sheetId val="12"/>
      <sheetId val="10"/>
      <sheetId val="8"/>
      <sheetId val="6"/>
      <sheetId val="7"/>
    </sheetIdMap>
  </header>
  <header guid="{1B96ACD7-D2CB-4014-A67F-8911CE09109C}" dateTime="2012-04-05T09:22:17" maxSheetId="13" userName="Ed Lazere" r:id="rId697" minRId="41527" maxRId="41531">
    <sheetIdMap count="12">
      <sheetId val="1"/>
      <sheetId val="2"/>
      <sheetId val="3"/>
      <sheetId val="4"/>
      <sheetId val="5"/>
      <sheetId val="9"/>
      <sheetId val="11"/>
      <sheetId val="12"/>
      <sheetId val="10"/>
      <sheetId val="8"/>
      <sheetId val="6"/>
      <sheetId val="7"/>
    </sheetIdMap>
  </header>
  <header guid="{110E72C2-E91F-42AC-BBFB-422E46AB4A0C}" dateTime="2012-04-05T09:49:18" maxSheetId="13" userName="Ed Lazere" r:id="rId698" minRId="41538" maxRId="41551">
    <sheetIdMap count="12">
      <sheetId val="1"/>
      <sheetId val="2"/>
      <sheetId val="3"/>
      <sheetId val="4"/>
      <sheetId val="5"/>
      <sheetId val="9"/>
      <sheetId val="11"/>
      <sheetId val="12"/>
      <sheetId val="10"/>
      <sheetId val="8"/>
      <sheetId val="6"/>
      <sheetId val="7"/>
    </sheetIdMap>
  </header>
  <header guid="{7CF778D7-364B-4011-9EEC-D7F530C9A0BD}" dateTime="2012-04-05T09:56:51" maxSheetId="13" userName="Ed Lazere" r:id="rId699" minRId="41558" maxRId="41563">
    <sheetIdMap count="12">
      <sheetId val="1"/>
      <sheetId val="2"/>
      <sheetId val="3"/>
      <sheetId val="4"/>
      <sheetId val="5"/>
      <sheetId val="9"/>
      <sheetId val="11"/>
      <sheetId val="12"/>
      <sheetId val="10"/>
      <sheetId val="8"/>
      <sheetId val="6"/>
      <sheetId val="7"/>
    </sheetIdMap>
  </header>
  <header guid="{D5987781-8514-4A1F-8FE3-CFE1A3589B59}" dateTime="2012-04-05T10:10:32" maxSheetId="13" userName="Ed Lazere" r:id="rId700" minRId="41570" maxRId="41580">
    <sheetIdMap count="12">
      <sheetId val="1"/>
      <sheetId val="2"/>
      <sheetId val="3"/>
      <sheetId val="4"/>
      <sheetId val="5"/>
      <sheetId val="9"/>
      <sheetId val="11"/>
      <sheetId val="12"/>
      <sheetId val="10"/>
      <sheetId val="8"/>
      <sheetId val="6"/>
      <sheetId val="7"/>
    </sheetIdMap>
  </header>
  <header guid="{8A8E0005-D711-4DB3-B1A9-43B81BB76C08}" dateTime="2012-04-05T11:24:36" maxSheetId="13" userName="Ed Lazere" r:id="rId701" minRId="41587" maxRId="41592">
    <sheetIdMap count="12">
      <sheetId val="1"/>
      <sheetId val="2"/>
      <sheetId val="3"/>
      <sheetId val="4"/>
      <sheetId val="5"/>
      <sheetId val="9"/>
      <sheetId val="11"/>
      <sheetId val="12"/>
      <sheetId val="10"/>
      <sheetId val="8"/>
      <sheetId val="6"/>
      <sheetId val="7"/>
    </sheetIdMap>
  </header>
  <header guid="{295950C8-F5FE-4CBF-892E-FE99DFD62532}" dateTime="2012-04-05T11:27:43" maxSheetId="13" userName="Ed Lazere" r:id="rId702" minRId="41599" maxRId="41608">
    <sheetIdMap count="12">
      <sheetId val="1"/>
      <sheetId val="2"/>
      <sheetId val="3"/>
      <sheetId val="4"/>
      <sheetId val="5"/>
      <sheetId val="9"/>
      <sheetId val="11"/>
      <sheetId val="12"/>
      <sheetId val="10"/>
      <sheetId val="8"/>
      <sheetId val="6"/>
      <sheetId val="7"/>
    </sheetIdMap>
  </header>
  <header guid="{99015C44-E9DF-4ADA-A23A-634785608C3F}" dateTime="2012-04-05T11:39:11" maxSheetId="13" userName="Ed Lazere" r:id="rId703" minRId="41615">
    <sheetIdMap count="12">
      <sheetId val="1"/>
      <sheetId val="2"/>
      <sheetId val="3"/>
      <sheetId val="4"/>
      <sheetId val="5"/>
      <sheetId val="9"/>
      <sheetId val="11"/>
      <sheetId val="12"/>
      <sheetId val="10"/>
      <sheetId val="8"/>
      <sheetId val="6"/>
      <sheetId val="7"/>
    </sheetIdMap>
  </header>
  <header guid="{0DD9E626-6E43-419D-9D3E-681C47695CF7}" dateTime="2012-04-05T11:55:42" maxSheetId="13" userName="fulton" r:id="rId704" minRId="41622" maxRId="41645">
    <sheetIdMap count="12">
      <sheetId val="1"/>
      <sheetId val="2"/>
      <sheetId val="3"/>
      <sheetId val="4"/>
      <sheetId val="5"/>
      <sheetId val="9"/>
      <sheetId val="11"/>
      <sheetId val="12"/>
      <sheetId val="10"/>
      <sheetId val="8"/>
      <sheetId val="6"/>
      <sheetId val="7"/>
    </sheetIdMap>
  </header>
  <header guid="{7BDD9741-84E3-4EF8-B4C0-7ED21A73A1F0}" dateTime="2012-04-05T12:07:53" maxSheetId="13" userName="silverman" r:id="rId705">
    <sheetIdMap count="12">
      <sheetId val="1"/>
      <sheetId val="2"/>
      <sheetId val="3"/>
      <sheetId val="4"/>
      <sheetId val="5"/>
      <sheetId val="9"/>
      <sheetId val="11"/>
      <sheetId val="12"/>
      <sheetId val="10"/>
      <sheetId val="8"/>
      <sheetId val="6"/>
      <sheetId val="7"/>
    </sheetIdMap>
  </header>
  <header guid="{260EF5F6-B05E-4424-A2EC-E0CAEA5167D0}" dateTime="2012-04-05T12:12:36" maxSheetId="13" userName="silverman" r:id="rId706">
    <sheetIdMap count="12">
      <sheetId val="1"/>
      <sheetId val="2"/>
      <sheetId val="3"/>
      <sheetId val="4"/>
      <sheetId val="5"/>
      <sheetId val="9"/>
      <sheetId val="11"/>
      <sheetId val="12"/>
      <sheetId val="10"/>
      <sheetId val="8"/>
      <sheetId val="6"/>
      <sheetId val="7"/>
    </sheetIdMap>
  </header>
  <header guid="{69F6291F-14C7-4B08-A1CF-CD8B8AE3529A}" dateTime="2012-04-05T12:41:26" maxSheetId="13" userName="biegler" r:id="rId707" minRId="41665" maxRId="41700">
    <sheetIdMap count="12">
      <sheetId val="1"/>
      <sheetId val="2"/>
      <sheetId val="3"/>
      <sheetId val="4"/>
      <sheetId val="5"/>
      <sheetId val="9"/>
      <sheetId val="11"/>
      <sheetId val="12"/>
      <sheetId val="10"/>
      <sheetId val="8"/>
      <sheetId val="6"/>
      <sheetId val="7"/>
    </sheetIdMap>
  </header>
  <header guid="{FD121B19-748C-4652-9AF0-E205D7070C6E}" dateTime="2012-04-05T12:41:43" maxSheetId="13" userName="biegler" r:id="rId708">
    <sheetIdMap count="12">
      <sheetId val="1"/>
      <sheetId val="2"/>
      <sheetId val="3"/>
      <sheetId val="4"/>
      <sheetId val="5"/>
      <sheetId val="9"/>
      <sheetId val="11"/>
      <sheetId val="12"/>
      <sheetId val="10"/>
      <sheetId val="8"/>
      <sheetId val="6"/>
      <sheetId val="7"/>
    </sheetIdMap>
  </header>
  <header guid="{984DFD69-121F-44EE-9633-C4FF93AB3C62}" dateTime="2012-04-05T12:52:33" maxSheetId="13" userName="biegler" r:id="rId709" minRId="41715" maxRId="41726">
    <sheetIdMap count="12">
      <sheetId val="1"/>
      <sheetId val="2"/>
      <sheetId val="3"/>
      <sheetId val="4"/>
      <sheetId val="5"/>
      <sheetId val="9"/>
      <sheetId val="11"/>
      <sheetId val="12"/>
      <sheetId val="10"/>
      <sheetId val="8"/>
      <sheetId val="6"/>
      <sheetId val="7"/>
    </sheetIdMap>
  </header>
  <header guid="{C37A27D1-9F58-4AA3-98A4-A0C7DECA2C9F}" dateTime="2012-04-05T13:46:24" maxSheetId="13" userName="biegler" r:id="rId710" minRId="41734" maxRId="41740">
    <sheetIdMap count="12">
      <sheetId val="1"/>
      <sheetId val="2"/>
      <sheetId val="3"/>
      <sheetId val="4"/>
      <sheetId val="5"/>
      <sheetId val="9"/>
      <sheetId val="11"/>
      <sheetId val="12"/>
      <sheetId val="10"/>
      <sheetId val="8"/>
      <sheetId val="6"/>
      <sheetId val="7"/>
    </sheetIdMap>
  </header>
  <header guid="{BF93DCAC-F571-4200-A765-E0DC0347BED6}" dateTime="2012-04-05T14:22:12" maxSheetId="13" userName="fulton" r:id="rId711" minRId="41748" maxRId="41755">
    <sheetIdMap count="12">
      <sheetId val="1"/>
      <sheetId val="2"/>
      <sheetId val="3"/>
      <sheetId val="4"/>
      <sheetId val="5"/>
      <sheetId val="9"/>
      <sheetId val="11"/>
      <sheetId val="12"/>
      <sheetId val="10"/>
      <sheetId val="8"/>
      <sheetId val="6"/>
      <sheetId val="7"/>
    </sheetIdMap>
  </header>
  <header guid="{8191AE23-D145-4A9E-B76F-E092F143C724}" dateTime="2012-04-05T16:03:07" maxSheetId="13" userName="biegler" r:id="rId712" minRId="41763" maxRId="41767">
    <sheetIdMap count="12">
      <sheetId val="1"/>
      <sheetId val="2"/>
      <sheetId val="3"/>
      <sheetId val="4"/>
      <sheetId val="5"/>
      <sheetId val="9"/>
      <sheetId val="11"/>
      <sheetId val="12"/>
      <sheetId val="10"/>
      <sheetId val="8"/>
      <sheetId val="6"/>
      <sheetId val="7"/>
    </sheetIdMap>
  </header>
  <header guid="{B02ACA2A-C97E-4562-9DBA-47A8D50D2C85}" dateTime="2012-04-05T16:04:10" maxSheetId="13" userName="coventry" r:id="rId713" minRId="41775" maxRId="41788">
    <sheetIdMap count="12">
      <sheetId val="1"/>
      <sheetId val="2"/>
      <sheetId val="3"/>
      <sheetId val="4"/>
      <sheetId val="5"/>
      <sheetId val="9"/>
      <sheetId val="11"/>
      <sheetId val="12"/>
      <sheetId val="10"/>
      <sheetId val="8"/>
      <sheetId val="6"/>
      <sheetId val="7"/>
    </sheetIdMap>
  </header>
  <header guid="{B177BFFE-4CD9-4662-BBB0-4990F6E4F9E9}" dateTime="2012-04-09T10:56:49" maxSheetId="13" userName="biegler" r:id="rId714" minRId="41796" maxRId="41818">
    <sheetIdMap count="12">
      <sheetId val="1"/>
      <sheetId val="2"/>
      <sheetId val="3"/>
      <sheetId val="4"/>
      <sheetId val="5"/>
      <sheetId val="9"/>
      <sheetId val="11"/>
      <sheetId val="12"/>
      <sheetId val="10"/>
      <sheetId val="8"/>
      <sheetId val="6"/>
      <sheetId val="7"/>
    </sheetIdMap>
  </header>
  <header guid="{7BB77A0A-05FC-4AB0-82FF-01F27BA89B7B}" dateTime="2012-04-09T11:50:24" maxSheetId="13" userName="silverman" r:id="rId715" minRId="41826" maxRId="41832">
    <sheetIdMap count="12">
      <sheetId val="1"/>
      <sheetId val="2"/>
      <sheetId val="3"/>
      <sheetId val="4"/>
      <sheetId val="5"/>
      <sheetId val="9"/>
      <sheetId val="11"/>
      <sheetId val="12"/>
      <sheetId val="10"/>
      <sheetId val="8"/>
      <sheetId val="6"/>
      <sheetId val="7"/>
    </sheetIdMap>
  </header>
  <header guid="{F18994C5-F803-4D59-9F03-A03904F732D9}" dateTime="2012-04-09T13:09:22" maxSheetId="13" userName="silverman" r:id="rId716" minRId="41839" maxRId="41845">
    <sheetIdMap count="12">
      <sheetId val="1"/>
      <sheetId val="2"/>
      <sheetId val="3"/>
      <sheetId val="4"/>
      <sheetId val="5"/>
      <sheetId val="9"/>
      <sheetId val="11"/>
      <sheetId val="12"/>
      <sheetId val="10"/>
      <sheetId val="8"/>
      <sheetId val="6"/>
      <sheetId val="7"/>
    </sheetIdMap>
  </header>
  <header guid="{718D5645-BA52-45B9-9B0E-24A6F9B884D2}" dateTime="2012-04-09T17:18:29" maxSheetId="13" userName="fulton" r:id="rId717" minRId="41852" maxRId="41866">
    <sheetIdMap count="12">
      <sheetId val="1"/>
      <sheetId val="2"/>
      <sheetId val="3"/>
      <sheetId val="4"/>
      <sheetId val="5"/>
      <sheetId val="9"/>
      <sheetId val="11"/>
      <sheetId val="12"/>
      <sheetId val="10"/>
      <sheetId val="8"/>
      <sheetId val="6"/>
      <sheetId val="7"/>
    </sheetIdMap>
  </header>
  <header guid="{976A14FF-1F50-47AB-BDE7-4A13F4B09EF9}" dateTime="2012-04-09T22:15:56" maxSheetId="13" userName="silverman" r:id="rId718">
    <sheetIdMap count="12">
      <sheetId val="1"/>
      <sheetId val="2"/>
      <sheetId val="3"/>
      <sheetId val="4"/>
      <sheetId val="5"/>
      <sheetId val="9"/>
      <sheetId val="11"/>
      <sheetId val="12"/>
      <sheetId val="10"/>
      <sheetId val="8"/>
      <sheetId val="6"/>
      <sheetId val="7"/>
    </sheetIdMap>
  </header>
  <header guid="{BDB045DC-0EA1-4C62-9923-5BBCB3BF7304}" dateTime="2012-04-10T14:24:55" maxSheetId="13" userName="Jenny Reed" r:id="rId719" minRId="41880" maxRId="41923">
    <sheetIdMap count="12">
      <sheetId val="1"/>
      <sheetId val="2"/>
      <sheetId val="3"/>
      <sheetId val="4"/>
      <sheetId val="5"/>
      <sheetId val="9"/>
      <sheetId val="11"/>
      <sheetId val="12"/>
      <sheetId val="10"/>
      <sheetId val="8"/>
      <sheetId val="6"/>
      <sheetId val="7"/>
    </sheetIdMap>
  </header>
  <header guid="{41A91740-4A38-4575-8926-9E8BDBD05188}" dateTime="2012-04-10T14:37:39" maxSheetId="13" userName="Jenny Reed" r:id="rId720" minRId="41931" maxRId="41932">
    <sheetIdMap count="12">
      <sheetId val="1"/>
      <sheetId val="2"/>
      <sheetId val="3"/>
      <sheetId val="4"/>
      <sheetId val="5"/>
      <sheetId val="9"/>
      <sheetId val="11"/>
      <sheetId val="12"/>
      <sheetId val="10"/>
      <sheetId val="8"/>
      <sheetId val="6"/>
      <sheetId val="7"/>
    </sheetIdMap>
  </header>
  <header guid="{8417AFFE-07F6-4A2A-8E6B-F2E43A69297C}" dateTime="2012-04-10T15:03:41" maxSheetId="13" userName="Jenny Reed" r:id="rId721">
    <sheetIdMap count="12">
      <sheetId val="1"/>
      <sheetId val="2"/>
      <sheetId val="3"/>
      <sheetId val="4"/>
      <sheetId val="5"/>
      <sheetId val="9"/>
      <sheetId val="11"/>
      <sheetId val="12"/>
      <sheetId val="10"/>
      <sheetId val="8"/>
      <sheetId val="6"/>
      <sheetId val="7"/>
    </sheetIdMap>
  </header>
  <header guid="{FE608F6D-9F7E-47DD-A752-CAB360581DE4}" dateTime="2012-04-10T16:58:17" maxSheetId="13" userName="Jenny Reed" r:id="rId722" minRId="41947" maxRId="41951">
    <sheetIdMap count="12">
      <sheetId val="1"/>
      <sheetId val="2"/>
      <sheetId val="3"/>
      <sheetId val="4"/>
      <sheetId val="5"/>
      <sheetId val="9"/>
      <sheetId val="11"/>
      <sheetId val="12"/>
      <sheetId val="10"/>
      <sheetId val="8"/>
      <sheetId val="6"/>
      <sheetId val="7"/>
    </sheetIdMap>
  </header>
  <header guid="{469D5275-E9B4-416F-898D-A084221619C1}" dateTime="2012-04-10T17:01:44" maxSheetId="13" userName="silverman" r:id="rId723" minRId="41959" maxRId="42115">
    <sheetIdMap count="12">
      <sheetId val="1"/>
      <sheetId val="2"/>
      <sheetId val="3"/>
      <sheetId val="4"/>
      <sheetId val="5"/>
      <sheetId val="9"/>
      <sheetId val="11"/>
      <sheetId val="12"/>
      <sheetId val="10"/>
      <sheetId val="8"/>
      <sheetId val="6"/>
      <sheetId val="7"/>
    </sheetIdMap>
  </header>
  <header guid="{55A56D9F-2E14-4F59-9A02-D178DDE37EF3}" dateTime="2012-04-10T17:17:28" maxSheetId="13" userName="Jenny Reed" r:id="rId724" minRId="42122">
    <sheetIdMap count="12">
      <sheetId val="1"/>
      <sheetId val="2"/>
      <sheetId val="3"/>
      <sheetId val="4"/>
      <sheetId val="5"/>
      <sheetId val="9"/>
      <sheetId val="11"/>
      <sheetId val="12"/>
      <sheetId val="10"/>
      <sheetId val="8"/>
      <sheetId val="6"/>
      <sheetId val="7"/>
    </sheetIdMap>
  </header>
  <header guid="{52727900-BC95-4273-BA05-292C6DD61D19}" dateTime="2012-04-10T18:38:18" maxSheetId="13" userName="silverman" r:id="rId725" minRId="42130">
    <sheetIdMap count="12">
      <sheetId val="1"/>
      <sheetId val="2"/>
      <sheetId val="3"/>
      <sheetId val="4"/>
      <sheetId val="5"/>
      <sheetId val="9"/>
      <sheetId val="11"/>
      <sheetId val="12"/>
      <sheetId val="10"/>
      <sheetId val="8"/>
      <sheetId val="6"/>
      <sheetId val="7"/>
    </sheetIdMap>
  </header>
  <header guid="{64441BE0-0F24-4497-A23C-397BA2E179B7}" dateTime="2012-04-11T16:54:43" maxSheetId="13" userName="silverman" r:id="rId726" minRId="42137" maxRId="42383">
    <sheetIdMap count="12">
      <sheetId val="1"/>
      <sheetId val="2"/>
      <sheetId val="3"/>
      <sheetId val="4"/>
      <sheetId val="5"/>
      <sheetId val="9"/>
      <sheetId val="11"/>
      <sheetId val="12"/>
      <sheetId val="10"/>
      <sheetId val="8"/>
      <sheetId val="6"/>
      <sheetId val="7"/>
    </sheetIdMap>
  </header>
  <header guid="{AEEFE9B2-7E20-4043-BB92-28F943721E57}" dateTime="2012-04-11T16:55:12" maxSheetId="13" userName="Jenny Reed" r:id="rId727" minRId="42390">
    <sheetIdMap count="12">
      <sheetId val="1"/>
      <sheetId val="2"/>
      <sheetId val="3"/>
      <sheetId val="4"/>
      <sheetId val="5"/>
      <sheetId val="9"/>
      <sheetId val="11"/>
      <sheetId val="12"/>
      <sheetId val="10"/>
      <sheetId val="8"/>
      <sheetId val="6"/>
      <sheetId val="7"/>
    </sheetIdMap>
  </header>
  <header guid="{8A8E312A-F496-4B99-983B-4968923FA035}" dateTime="2012-04-11T16:55:23" maxSheetId="13" userName="Jenny Reed" r:id="rId728">
    <sheetIdMap count="12">
      <sheetId val="1"/>
      <sheetId val="2"/>
      <sheetId val="3"/>
      <sheetId val="4"/>
      <sheetId val="5"/>
      <sheetId val="9"/>
      <sheetId val="11"/>
      <sheetId val="12"/>
      <sheetId val="10"/>
      <sheetId val="8"/>
      <sheetId val="6"/>
      <sheetId val="7"/>
    </sheetIdMap>
  </header>
  <header guid="{74F66FAC-3A6A-4A40-AE46-C59AAD998268}" dateTime="2012-04-11T16:55:55" maxSheetId="13" userName="Jenny Reed" r:id="rId729">
    <sheetIdMap count="12">
      <sheetId val="1"/>
      <sheetId val="2"/>
      <sheetId val="3"/>
      <sheetId val="4"/>
      <sheetId val="5"/>
      <sheetId val="9"/>
      <sheetId val="11"/>
      <sheetId val="12"/>
      <sheetId val="10"/>
      <sheetId val="8"/>
      <sheetId val="6"/>
      <sheetId val="7"/>
    </sheetIdMap>
  </header>
  <header guid="{8D52EFCC-3CCF-43E1-A99C-780B3462D430}" dateTime="2012-04-11T17:02:35" maxSheetId="13" userName="Jenny Reed" r:id="rId730">
    <sheetIdMap count="12">
      <sheetId val="1"/>
      <sheetId val="2"/>
      <sheetId val="3"/>
      <sheetId val="4"/>
      <sheetId val="5"/>
      <sheetId val="9"/>
      <sheetId val="11"/>
      <sheetId val="12"/>
      <sheetId val="10"/>
      <sheetId val="8"/>
      <sheetId val="6"/>
      <sheetId val="7"/>
    </sheetIdMap>
  </header>
  <header guid="{BC007278-0AED-4B6B-8E01-2DCD1CA85FEA}" dateTime="2012-04-11T17:40:51" maxSheetId="13" userName="silverman" r:id="rId731">
    <sheetIdMap count="12">
      <sheetId val="1"/>
      <sheetId val="2"/>
      <sheetId val="3"/>
      <sheetId val="4"/>
      <sheetId val="5"/>
      <sheetId val="9"/>
      <sheetId val="11"/>
      <sheetId val="12"/>
      <sheetId val="10"/>
      <sheetId val="8"/>
      <sheetId val="6"/>
      <sheetId val="7"/>
    </sheetIdMap>
  </header>
  <header guid="{0D21ADD8-C98C-4EA4-A6E9-2511A1BDA5AB}" dateTime="2012-04-11T17:51:07" maxSheetId="13" userName="silverman" r:id="rId732">
    <sheetIdMap count="12">
      <sheetId val="1"/>
      <sheetId val="2"/>
      <sheetId val="3"/>
      <sheetId val="4"/>
      <sheetId val="5"/>
      <sheetId val="9"/>
      <sheetId val="11"/>
      <sheetId val="12"/>
      <sheetId val="10"/>
      <sheetId val="8"/>
      <sheetId val="6"/>
      <sheetId val="7"/>
    </sheetIdMap>
  </header>
  <header guid="{A10DDC35-9B63-4D92-8B50-2036BDB1D64E}" dateTime="2012-04-11T18:18:56" maxSheetId="13" userName="Jenny Reed" r:id="rId733">
    <sheetIdMap count="12">
      <sheetId val="1"/>
      <sheetId val="2"/>
      <sheetId val="3"/>
      <sheetId val="4"/>
      <sheetId val="5"/>
      <sheetId val="9"/>
      <sheetId val="11"/>
      <sheetId val="12"/>
      <sheetId val="10"/>
      <sheetId val="8"/>
      <sheetId val="6"/>
      <sheetId val="7"/>
    </sheetIdMap>
  </header>
  <header guid="{8AB33740-38F6-42A9-9390-59709E9EC4FC}" dateTime="2012-04-12T08:03:28" maxSheetId="13" userName="silverman" r:id="rId734">
    <sheetIdMap count="12">
      <sheetId val="1"/>
      <sheetId val="2"/>
      <sheetId val="3"/>
      <sheetId val="4"/>
      <sheetId val="5"/>
      <sheetId val="9"/>
      <sheetId val="11"/>
      <sheetId val="12"/>
      <sheetId val="10"/>
      <sheetId val="8"/>
      <sheetId val="6"/>
      <sheetId val="7"/>
    </sheetIdMap>
  </header>
  <header guid="{CC9CE513-0099-45D4-9CF0-CD5883ACF878}" dateTime="2012-04-12T08:33:26" maxSheetId="13" userName="silverman" r:id="rId735">
    <sheetIdMap count="12">
      <sheetId val="1"/>
      <sheetId val="2"/>
      <sheetId val="3"/>
      <sheetId val="4"/>
      <sheetId val="5"/>
      <sheetId val="9"/>
      <sheetId val="11"/>
      <sheetId val="12"/>
      <sheetId val="10"/>
      <sheetId val="8"/>
      <sheetId val="6"/>
      <sheetId val="7"/>
    </sheetIdMap>
  </header>
  <header guid="{5C4EF937-1BAA-4849-8EC1-FB8DC05E774E}" dateTime="2012-04-12T09:16:51" maxSheetId="13" userName="Jenny Reed" r:id="rId736" minRId="42451" maxRId="42452">
    <sheetIdMap count="12">
      <sheetId val="1"/>
      <sheetId val="2"/>
      <sheetId val="3"/>
      <sheetId val="4"/>
      <sheetId val="5"/>
      <sheetId val="9"/>
      <sheetId val="11"/>
      <sheetId val="12"/>
      <sheetId val="10"/>
      <sheetId val="8"/>
      <sheetId val="6"/>
      <sheetId val="7"/>
    </sheetIdMap>
  </header>
  <header guid="{72C29B39-998F-4048-B750-BA04A634D4D6}" dateTime="2012-04-12T11:08:38" maxSheetId="13" userName="Jenny Reed" r:id="rId737">
    <sheetIdMap count="12">
      <sheetId val="1"/>
      <sheetId val="2"/>
      <sheetId val="3"/>
      <sheetId val="4"/>
      <sheetId val="5"/>
      <sheetId val="9"/>
      <sheetId val="11"/>
      <sheetId val="12"/>
      <sheetId val="10"/>
      <sheetId val="8"/>
      <sheetId val="6"/>
      <sheetId val="7"/>
    </sheetIdMap>
  </header>
  <header guid="{0D88225C-672E-4B84-B375-6D079AF7D4C2}" dateTime="2012-04-12T17:54:29" maxSheetId="13" userName="fulton" r:id="rId738">
    <sheetIdMap count="12">
      <sheetId val="1"/>
      <sheetId val="2"/>
      <sheetId val="3"/>
      <sheetId val="4"/>
      <sheetId val="5"/>
      <sheetId val="9"/>
      <sheetId val="11"/>
      <sheetId val="12"/>
      <sheetId val="10"/>
      <sheetId val="8"/>
      <sheetId val="6"/>
      <sheetId val="7"/>
    </sheetIdMap>
  </header>
  <header guid="{907ABA0F-F18F-41D6-880D-644D9EF7FE13}" dateTime="2012-04-12T19:50:25" maxSheetId="13" userName="Kwame Boadi" r:id="rId739" minRId="42474">
    <sheetIdMap count="12">
      <sheetId val="1"/>
      <sheetId val="2"/>
      <sheetId val="3"/>
      <sheetId val="4"/>
      <sheetId val="5"/>
      <sheetId val="9"/>
      <sheetId val="11"/>
      <sheetId val="12"/>
      <sheetId val="10"/>
      <sheetId val="8"/>
      <sheetId val="6"/>
      <sheetId val="7"/>
    </sheetIdMap>
  </header>
  <header guid="{3A5FB45C-459F-4CED-8053-548FF0841FEB}" dateTime="2012-04-13T17:21:16" maxSheetId="13" userName="Kwame Boadi" r:id="rId740">
    <sheetIdMap count="12">
      <sheetId val="1"/>
      <sheetId val="2"/>
      <sheetId val="3"/>
      <sheetId val="4"/>
      <sheetId val="5"/>
      <sheetId val="9"/>
      <sheetId val="11"/>
      <sheetId val="12"/>
      <sheetId val="10"/>
      <sheetId val="8"/>
      <sheetId val="6"/>
      <sheetId val="7"/>
    </sheetIdMap>
  </header>
  <header guid="{BBF44098-0817-4BF7-AC41-3092DD5C2C64}" dateTime="2012-04-19T10:45:47" maxSheetId="13" userName="silverman" r:id="rId741" minRId="42489" maxRId="43695">
    <sheetIdMap count="12">
      <sheetId val="1"/>
      <sheetId val="2"/>
      <sheetId val="3"/>
      <sheetId val="4"/>
      <sheetId val="5"/>
      <sheetId val="9"/>
      <sheetId val="11"/>
      <sheetId val="12"/>
      <sheetId val="10"/>
      <sheetId val="8"/>
      <sheetId val="6"/>
      <sheetId val="7"/>
    </sheetIdMap>
  </header>
  <header guid="{DA45FEE2-4230-4E8D-B32B-2D63B1539E1F}" dateTime="2012-04-19T10:46:09" maxSheetId="13" userName="silverman" r:id="rId742">
    <sheetIdMap count="12">
      <sheetId val="1"/>
      <sheetId val="2"/>
      <sheetId val="3"/>
      <sheetId val="4"/>
      <sheetId val="5"/>
      <sheetId val="9"/>
      <sheetId val="11"/>
      <sheetId val="12"/>
      <sheetId val="10"/>
      <sheetId val="8"/>
      <sheetId val="6"/>
      <sheetId val="7"/>
    </sheetIdMap>
  </header>
  <header guid="{718D4ADE-77D1-4144-9054-597E2AAE6E71}" dateTime="2012-04-19T23:23:20" maxSheetId="13" userName="silverman" r:id="rId743" minRId="43710" maxRId="43712">
    <sheetIdMap count="12">
      <sheetId val="1"/>
      <sheetId val="2"/>
      <sheetId val="3"/>
      <sheetId val="4"/>
      <sheetId val="5"/>
      <sheetId val="9"/>
      <sheetId val="11"/>
      <sheetId val="12"/>
      <sheetId val="10"/>
      <sheetId val="8"/>
      <sheetId val="6"/>
      <sheetId val="7"/>
    </sheetIdMap>
  </header>
  <header guid="{57DCEA94-62A5-4959-919B-CD9559911391}" dateTime="2012-04-20T09:37:06" maxSheetId="13" userName="silverman" r:id="rId744" minRId="43720" maxRId="43721">
    <sheetIdMap count="12">
      <sheetId val="1"/>
      <sheetId val="2"/>
      <sheetId val="3"/>
      <sheetId val="4"/>
      <sheetId val="5"/>
      <sheetId val="9"/>
      <sheetId val="11"/>
      <sheetId val="12"/>
      <sheetId val="10"/>
      <sheetId val="8"/>
      <sheetId val="6"/>
      <sheetId val="7"/>
    </sheetIdMap>
  </header>
  <header guid="{08F60B3A-26EE-4C47-A375-B048AE13495E}" dateTime="2012-04-20T10:46:14" maxSheetId="13" userName="silverman" r:id="rId745">
    <sheetIdMap count="12">
      <sheetId val="1"/>
      <sheetId val="2"/>
      <sheetId val="3"/>
      <sheetId val="4"/>
      <sheetId val="5"/>
      <sheetId val="9"/>
      <sheetId val="11"/>
      <sheetId val="12"/>
      <sheetId val="10"/>
      <sheetId val="8"/>
      <sheetId val="6"/>
      <sheetId val="7"/>
    </sheetIdMap>
  </header>
  <header guid="{F2372F09-3213-46C1-9269-F842B4DC9D59}" dateTime="2012-04-20T12:35:03" maxSheetId="13" userName="silverman" r:id="rId746">
    <sheetIdMap count="12">
      <sheetId val="1"/>
      <sheetId val="2"/>
      <sheetId val="3"/>
      <sheetId val="4"/>
      <sheetId val="5"/>
      <sheetId val="9"/>
      <sheetId val="11"/>
      <sheetId val="12"/>
      <sheetId val="10"/>
      <sheetId val="8"/>
      <sheetId val="6"/>
      <sheetId val="7"/>
    </sheetIdMap>
  </header>
  <header guid="{A6B657F1-19E9-4F80-B771-6DFF42414ABB}" dateTime="2012-04-23T09:12:08" maxSheetId="13" userName="silverman" r:id="rId747" minRId="43743" maxRId="43744">
    <sheetIdMap count="12">
      <sheetId val="1"/>
      <sheetId val="2"/>
      <sheetId val="3"/>
      <sheetId val="4"/>
      <sheetId val="5"/>
      <sheetId val="9"/>
      <sheetId val="11"/>
      <sheetId val="12"/>
      <sheetId val="10"/>
      <sheetId val="8"/>
      <sheetId val="6"/>
      <sheetId val="7"/>
    </sheetIdMap>
  </header>
  <header guid="{954F113A-41CB-425D-9908-E2AC48E1057C}" dateTime="2012-04-23T09:16:26" maxSheetId="13" userName="silverman" r:id="rId748">
    <sheetIdMap count="12">
      <sheetId val="1"/>
      <sheetId val="2"/>
      <sheetId val="3"/>
      <sheetId val="4"/>
      <sheetId val="5"/>
      <sheetId val="9"/>
      <sheetId val="11"/>
      <sheetId val="12"/>
      <sheetId val="10"/>
      <sheetId val="8"/>
      <sheetId val="6"/>
      <sheetId val="7"/>
    </sheetIdMap>
  </header>
  <header guid="{FC875F05-14FD-4C72-8BC8-2F91FC7DA580}" dateTime="2012-04-23T09:58:04" maxSheetId="13" userName="silverman" r:id="rId749">
    <sheetIdMap count="12">
      <sheetId val="1"/>
      <sheetId val="2"/>
      <sheetId val="3"/>
      <sheetId val="4"/>
      <sheetId val="5"/>
      <sheetId val="9"/>
      <sheetId val="11"/>
      <sheetId val="12"/>
      <sheetId val="10"/>
      <sheetId val="8"/>
      <sheetId val="6"/>
      <sheetId val="7"/>
    </sheetIdMap>
  </header>
</headers>
</file>

<file path=xl/revisions/revisionLog1.xml><?xml version="1.0" encoding="utf-8"?>
<revisions xmlns="http://schemas.openxmlformats.org/spreadsheetml/2006/main" xmlns:r="http://schemas.openxmlformats.org/officeDocument/2006/relationships">
  <rcv guid="{567C3053-2D8E-4705-8DC7-18896C5303CA}" action="delete"/>
  <rdn rId="0" localSheetId="2" customView="1" name="Z_567C3053_2D8E_4705_8DC7_18896C5303CA_.wvu.Cols" hidden="1" oldHidden="1">
    <formula>'FY2013 by Approp Title'!$AA:$AA</formula>
    <oldFormula>'FY2013 by Approp Title'!$AA:$AA</oldFormula>
  </rdn>
  <rdn rId="0" localSheetId="3" customView="1" name="Z_567C3053_2D8E_4705_8DC7_18896C5303CA_.wvu.Cols" hidden="1" oldHidden="1">
    <formula>'FY2013 By Approp Title-Adj'!$AA:$AA</formula>
    <oldFormula>'FY2013 By Approp Title-Adj'!$AA:$AA</oldFormula>
  </rdn>
  <rdn rId="0" localSheetId="4" customView="1" name="Z_567C3053_2D8E_4705_8DC7_18896C5303CA_.wvu.Rows" hidden="1" oldHidden="1">
    <formula>'FY 2013 by Agency'!$1:$3,'FY 2013 by Agency'!$227:$241</formula>
    <oldFormula>'FY 2013 by Agency'!$1:$3,'FY 2013 by Agency'!$227:$241</oldFormula>
  </rdn>
  <rdn rId="0" localSheetId="4" customView="1" name="Z_567C3053_2D8E_4705_8DC7_18896C5303CA_.wvu.Cols" hidden="1" oldHidden="1">
    <formula>'FY 2013 by Agency'!$BP:$BP</formula>
    <oldFormula>'FY 2013 by Agency'!$BP:$BP</oldFormula>
  </rdn>
  <rdn rId="0" localSheetId="5" customView="1" name="Z_567C3053_2D8E_4705_8DC7_18896C5303CA_.wvu.Rows" hidden="1" oldHidden="1">
    <formula>'FY 2013 by Agency-Adj'!$1:$3,'FY 2013 by Agency-Adj'!$228:$242</formula>
    <oldFormula>'FY 2013 by Agency-Adj'!$1:$3,'FY 2013 by Agency-Adj'!$228:$242</oldFormula>
  </rdn>
  <rdn rId="0" localSheetId="5" customView="1" name="Z_567C3053_2D8E_4705_8DC7_18896C5303CA_.wvu.Cols" hidden="1" oldHidden="1">
    <formula>'FY 2013 by Agency-Adj'!$AJ:$AM,'FY 2013 by Agency-Adj'!$AP:$AS,'FY 2013 by Agency-Adj'!$BX:$BX</formula>
    <oldFormula>'FY 2013 by Agency-Adj'!$AJ:$AM,'FY 2013 by Agency-Adj'!$AP:$AS,'FY 2013 by Agency-Adj'!$BX:$BX</oldFormula>
  </rdn>
  <rdn rId="0" localSheetId="8" customView="1" name="Z_567C3053_2D8E_4705_8DC7_18896C5303CA_.wvu.Rows" hidden="1" oldHidden="1">
    <formula>'Sheet 4'!$1:$6</formula>
    <oldFormula>'Sheet 4'!$1:$6</oldFormula>
  </rdn>
  <rcv guid="{567C3053-2D8E-4705-8DC7-18896C5303CA}" action="add"/>
</revisions>
</file>

<file path=xl/revisions/revisionLog11.xml><?xml version="1.0" encoding="utf-8"?>
<revisions xmlns="http://schemas.openxmlformats.org/spreadsheetml/2006/main" xmlns:r="http://schemas.openxmlformats.org/officeDocument/2006/relationships">
  <rfmt sheetId="10" sqref="A1:A196" start="0" length="0">
    <dxf>
      <border>
        <left/>
      </border>
    </dxf>
  </rfmt>
  <rfmt sheetId="10" sqref="A1:C1" start="0" length="0">
    <dxf>
      <border>
        <top/>
      </border>
    </dxf>
  </rfmt>
  <rfmt sheetId="10" sqref="C1:C196" start="0" length="0">
    <dxf>
      <border>
        <right/>
      </border>
    </dxf>
  </rfmt>
  <rfmt sheetId="10" sqref="A196:C196" start="0" length="0">
    <dxf>
      <border>
        <bottom/>
      </border>
    </dxf>
  </rfmt>
  <rfmt sheetId="10" sqref="A1:C196">
    <dxf>
      <fill>
        <patternFill patternType="none">
          <bgColor auto="1"/>
        </patternFill>
      </fill>
      <border>
        <left/>
        <right/>
        <top/>
        <bottom/>
        <vertical/>
        <horizontal/>
      </border>
    </dxf>
  </rfmt>
  <rfmt sheetId="10" sqref="A5" start="0" length="0">
    <dxf/>
  </rfmt>
  <rfmt sheetId="10" sqref="A6" start="0" length="0">
    <dxf/>
  </rfmt>
  <rfmt sheetId="10" sqref="A7" start="0" length="0">
    <dxf/>
  </rfmt>
  <rfmt sheetId="10" sqref="A8" start="0" length="0">
    <dxf>
      <font>
        <b val="0"/>
        <sz val="10"/>
        <color auto="1"/>
        <name val="Arial"/>
        <scheme val="none"/>
      </font>
    </dxf>
  </rfmt>
  <rfmt sheetId="10" sqref="A9" start="0" length="0">
    <dxf>
      <font>
        <b val="0"/>
        <sz val="10"/>
        <color auto="1"/>
        <name val="Arial"/>
        <scheme val="none"/>
      </font>
    </dxf>
  </rfmt>
  <rfmt sheetId="10" sqref="A5" start="0" length="0">
    <dxf>
      <font>
        <b/>
        <sz val="11"/>
        <color auto="1"/>
        <name val="Calibri"/>
        <scheme val="none"/>
      </font>
    </dxf>
  </rfmt>
  <rfmt sheetId="10" sqref="A6" start="0" length="0">
    <dxf>
      <font>
        <sz val="8"/>
        <color auto="1"/>
        <name val="Symbol"/>
        <scheme val="none"/>
      </font>
    </dxf>
  </rfmt>
  <rfmt sheetId="10" sqref="A7" start="0" length="0">
    <dxf>
      <font>
        <sz val="8"/>
        <color auto="1"/>
        <name val="Symbol"/>
        <scheme val="none"/>
      </font>
    </dxf>
  </rfmt>
  <rfmt sheetId="10" sqref="A8" start="0" length="0">
    <dxf>
      <font>
        <sz val="8"/>
        <color auto="1"/>
        <name val="Symbol"/>
        <scheme val="none"/>
      </font>
    </dxf>
  </rfmt>
  <rfmt sheetId="10" sqref="A9" start="0" length="0">
    <dxf>
      <font>
        <sz val="8"/>
        <color auto="1"/>
        <name val="Symbol"/>
        <scheme val="none"/>
      </font>
    </dxf>
  </rfmt>
  <rfmt sheetId="10" xfDxf="1" sqref="A5" start="0" length="0">
    <dxf>
      <font>
        <b/>
        <sz val="11"/>
        <name val="Calibri"/>
        <scheme val="none"/>
      </font>
      <alignment horizontal="left" indent="4" relativeIndent="0" readingOrder="0"/>
    </dxf>
  </rfmt>
  <rcc rId="41466" sId="10" xfDxf="1" dxf="1">
    <nc r="A6" t="inlineStr">
      <is>
        <r>
          <t>·</t>
        </r>
        <r>
          <rPr>
            <sz val="7"/>
            <rFont val="Times New Roman"/>
            <family val="1"/>
          </rPr>
          <t xml:space="preserve">     </t>
        </r>
        <r>
          <rPr>
            <sz val="11"/>
            <rFont val="Calibri"/>
            <family val="2"/>
          </rPr>
          <t>2576 from MPD</t>
        </r>
      </is>
    </nc>
    <ndxf>
      <font>
        <sz val="8"/>
        <name val="Symbol"/>
        <scheme val="none"/>
      </font>
      <alignment horizontal="left" indent="2" relativeIndent="0" readingOrder="0"/>
    </ndxf>
  </rcc>
  <rcc rId="41467" sId="10" xfDxf="1" dxf="1">
    <nc r="A7" t="inlineStr">
      <is>
        <r>
          <t>·</t>
        </r>
        <r>
          <rPr>
            <sz val="7"/>
            <rFont val="Times New Roman"/>
            <family val="1"/>
          </rPr>
          <t xml:space="preserve">     </t>
        </r>
        <r>
          <rPr>
            <sz val="11"/>
            <rFont val="Calibri"/>
            <family val="2"/>
          </rPr>
          <t>1582 from forensics lab</t>
        </r>
      </is>
    </nc>
    <ndxf>
      <font>
        <sz val="8"/>
        <name val="Symbol"/>
        <scheme val="none"/>
      </font>
      <alignment horizontal="left" indent="2" relativeIndent="0" readingOrder="0"/>
    </ndxf>
  </rcc>
  <rcc rId="41468" sId="10" xfDxf="1" dxf="1">
    <nc r="A8" t="inlineStr">
      <is>
        <r>
          <t>·</t>
        </r>
        <r>
          <rPr>
            <sz val="7"/>
            <rFont val="Times New Roman"/>
            <family val="1"/>
          </rPr>
          <t xml:space="preserve">     </t>
        </r>
        <r>
          <rPr>
            <sz val="11"/>
            <rFont val="Calibri"/>
            <family val="2"/>
          </rPr>
          <t>920 from dept of health</t>
        </r>
      </is>
    </nc>
    <ndxf>
      <font>
        <sz val="8"/>
        <name val="Symbol"/>
        <scheme val="none"/>
      </font>
      <alignment horizontal="left" indent="2" relativeIndent="0" readingOrder="0"/>
    </ndxf>
  </rcc>
  <rcc rId="41469" sId="10" xfDxf="1" dxf="1">
    <nc r="A9" t="inlineStr">
      <is>
        <r>
          <t>·</t>
        </r>
        <r>
          <rPr>
            <sz val="7"/>
            <rFont val="Times New Roman"/>
            <family val="1"/>
          </rPr>
          <t xml:space="preserve">     </t>
        </r>
        <r>
          <rPr>
            <sz val="11"/>
            <rFont val="Calibri"/>
            <family val="2"/>
          </rPr>
          <t>3206 seems new</t>
        </r>
      </is>
    </nc>
    <ndxf>
      <font>
        <sz val="8"/>
        <name val="Symbol"/>
        <scheme val="none"/>
      </font>
      <alignment horizontal="left" indent="2" relativeIndent="0" readingOrder="0"/>
    </ndxf>
  </rcc>
  <rfmt sheetId="10" xfDxf="1" sqref="E6" start="0" length="0"/>
  <rfmt sheetId="10" sqref="A5">
    <dxf>
      <alignment horizontal="center" indent="0" relativeIndent="255" readingOrder="0"/>
    </dxf>
  </rfmt>
  <rfmt sheetId="10" sqref="A5">
    <dxf>
      <alignment horizontal="left" readingOrder="0"/>
    </dxf>
  </rfmt>
  <rfmt sheetId="10" sqref="A5">
    <dxf>
      <alignment horizontal="center" readingOrder="0"/>
    </dxf>
  </rfmt>
  <rfmt sheetId="10" sqref="A5">
    <dxf>
      <alignment horizontal="left" readingOrder="0"/>
    </dxf>
  </rfmt>
  <rrc rId="41470" sId="10" ref="A6:XFD6" action="insertRow"/>
  <rm rId="41471" sheetId="10" source="E7" destination="A6" sourceSheetId="10">
    <rfmt sheetId="10" sqref="A6" start="0" length="0">
      <dxf>
        <font>
          <b/>
          <sz val="11"/>
          <color auto="1"/>
          <name val="Calibri"/>
          <scheme val="none"/>
        </font>
        <alignment horizontal="left" vertical="top" readingOrder="0"/>
      </dxf>
    </rfmt>
  </rm>
  <rcc rId="41472" sId="10">
    <nc r="A5" t="inlineStr">
      <is>
        <r>
          <t>DEPT OF FORENSIC JUSTICE</t>
        </r>
        <r>
          <rPr>
            <sz val="11"/>
            <rFont val="Calibri"/>
            <family val="2"/>
          </rPr>
          <t xml:space="preserve"> (Public Safety)</t>
        </r>
      </is>
    </nc>
  </rcc>
  <rcc rId="41473" sId="10" odxf="1" dxf="1">
    <nc r="A6" t="inlineStr">
      <is>
        <t xml:space="preserve"> NEW in 2013, created from MPD, DOH, Forensics lab, and $3 million is new money</t>
      </is>
    </nc>
    <ndxf>
      <font>
        <sz val="10"/>
        <color auto="1"/>
        <name val="Arial"/>
        <scheme val="none"/>
      </font>
    </ndxf>
  </rcc>
  <rcv guid="{AEFEB150-9213-45F5-A178-7AC71E46DB11}" action="delete"/>
  <rdn rId="0" localSheetId="2" customView="1" name="Z_AEFEB150_9213_45F5_A178_7AC71E46DB11_.wvu.Cols" hidden="1" oldHidden="1">
    <formula>'FY2013 by Approp Title'!$AA:$AA</formula>
    <oldFormula>'FY2013 by Approp Title'!$AA:$AA</oldFormula>
  </rdn>
  <rdn rId="0" localSheetId="3" customView="1" name="Z_AEFEB150_9213_45F5_A178_7AC71E46DB11_.wvu.Cols" hidden="1" oldHidden="1">
    <formula>'FY2013 By Approp Title-Adj'!$AA:$AA</formula>
    <oldFormula>'FY2013 By Approp Title-Adj'!$AA:$AA</oldFormula>
  </rdn>
  <rdn rId="0" localSheetId="4" customView="1" name="Z_AEFEB150_9213_45F5_A178_7AC71E46DB11_.wvu.Rows" hidden="1" oldHidden="1">
    <formula>'FY 2013 by Agency'!$1:$3,'FY 2013 by Agency'!$226:$240</formula>
    <oldFormula>'FY 2013 by Agency'!$1:$3,'FY 2013 by Agency'!$226:$240</oldFormula>
  </rdn>
  <rdn rId="0" localSheetId="5" customView="1" name="Z_AEFEB150_9213_45F5_A178_7AC71E46DB11_.wvu.Rows" hidden="1" oldHidden="1">
    <formula>'FY 2013 by Agency-Adj'!$1:$3,'FY 2013 by Agency-Adj'!$227:$241</formula>
    <oldFormula>'FY 2013 by Agency-Adj'!$1:$3,'FY 2013 by Agency-Adj'!$227:$241</oldFormula>
  </rdn>
  <rdn rId="0" localSheetId="5" customView="1" name="Z_AEFEB150_9213_45F5_A178_7AC71E46DB11_.wvu.Cols" hidden="1" oldHidden="1">
    <formula>'FY 2013 by Agency-Adj'!$AJ:$AM</formula>
    <oldFormula>'FY 2013 by Agency-Adj'!$AJ:$AM</oldFormula>
  </rdn>
  <rdn rId="0" localSheetId="8" customView="1" name="Z_AEFEB150_9213_45F5_A178_7AC71E46DB11_.wvu.Rows" hidden="1" oldHidden="1">
    <formula>'Sheet 4'!$1:$6</formula>
    <oldFormula>'Sheet 4'!$1:$6</oldFormula>
  </rdn>
  <rcv guid="{AEFEB150-9213-45F5-A178-7AC71E46DB11}" action="add"/>
  <rsnm rId="41480" sheetId="12" oldName="[FY2013 General Fund Budget.xlsx]Sheet2" newName="[FY2013 General Fund Budget.xlsx]FY 2013 Notes"/>
  <rsnm rId="41481" sheetId="10" oldName="[FY2013 General Fund Budget.xlsx]Sheet 3" newName="[FY2013 General Fund Budget.xlsx]Budget Shifts"/>
</revisions>
</file>

<file path=xl/revisions/revisionLog110.xml><?xml version="1.0" encoding="utf-8"?>
<revisions xmlns="http://schemas.openxmlformats.org/spreadsheetml/2006/main" xmlns:r="http://schemas.openxmlformats.org/officeDocument/2006/relationships">
  <rcc rId="41931" sId="4">
    <oc r="BO185">
      <f>288224-50600</f>
    </oc>
    <nc r="BO185">
      <f>288224-50600</f>
    </nc>
  </rcc>
  <rcc rId="41932" sId="4">
    <oc r="BO180">
      <f>70684+1360+50600</f>
    </oc>
    <nc r="BO180">
      <f>70684+1360+50600</f>
    </nc>
  </rcc>
  <rcv guid="{78CA186D-B240-44D5-8A24-D241DE0B0FD9}" action="delete"/>
  <rdn rId="0" localSheetId="2" customView="1" name="Z_78CA186D_B240_44D5_8A24_D241DE0B0FD9_.wvu.Cols" hidden="1" oldHidden="1">
    <formula>'FY2013 by Approp Title'!$AA:$AA</formula>
    <oldFormula>'FY2013 by Approp Title'!$AA:$AA</oldFormula>
  </rdn>
  <rdn rId="0" localSheetId="3" customView="1" name="Z_78CA186D_B240_44D5_8A24_D241DE0B0FD9_.wvu.Cols" hidden="1" oldHidden="1">
    <formula>'FY2013 By Approp Title-Adj'!$AA:$AA</formula>
    <oldFormula>'FY2013 By Approp Title-Adj'!$AA:$AA</oldFormula>
  </rdn>
  <rdn rId="0" localSheetId="4" customView="1" name="Z_78CA186D_B240_44D5_8A24_D241DE0B0FD9_.wvu.Rows" hidden="1" oldHidden="1">
    <formula>'FY 2013 by Agency'!$1:$3,'FY 2013 by Agency'!$227:$241</formula>
    <oldFormula>'FY 2013 by Agency'!$1:$3,'FY 2013 by Agency'!$227:$241</oldFormula>
  </rdn>
  <rdn rId="0" localSheetId="4" customView="1" name="Z_78CA186D_B240_44D5_8A24_D241DE0B0FD9_.wvu.Cols" hidden="1" oldHidden="1">
    <formula>'FY 2013 by Agency'!$D:$E,'FY 2013 by Agency'!$G:$H,'FY 2013 by Agency'!$J:$K,'FY 2013 by Agency'!$M:$N,'FY 2013 by Agency'!$P:$Q,'FY 2013 by Agency'!$S:$T,'FY 2013 by Agency'!$V:$W,'FY 2013 by Agency'!$Y:$Z,'FY 2013 by Agency'!$AB:$AE,'FY 2013 by Agency'!$AV:$AW,'FY 2013 by Agency'!$AY:$AZ,'FY 2013 by Agency'!$BF:$BG,'FY 2013 by Agency'!$BM:$BN</formula>
    <oldFormula>'FY 2013 by Agency'!$D:$E,'FY 2013 by Agency'!$G:$H,'FY 2013 by Agency'!$J:$K,'FY 2013 by Agency'!$M:$N,'FY 2013 by Agency'!$P:$Q,'FY 2013 by Agency'!$S:$T,'FY 2013 by Agency'!$V:$W,'FY 2013 by Agency'!$Y:$Z,'FY 2013 by Agency'!$AB:$AE,'FY 2013 by Agency'!$AV:$AW,'FY 2013 by Agency'!$AY:$AZ,'FY 2013 by Agency'!$BF:$BG,'FY 2013 by Agency'!$BM:$BN</oldFormula>
  </rdn>
  <rdn rId="0" localSheetId="5" customView="1" name="Z_78CA186D_B240_44D5_8A24_D241DE0B0FD9_.wvu.Rows" hidden="1" oldHidden="1">
    <formula>'FY 2013 by Agency-Adj'!$1:$3,'FY 2013 by Agency-Adj'!$14:$14,'FY 2013 by Agency-Adj'!$19:$19,'FY 2013 by Agency-Adj'!$157:$157,'FY 2013 by Agency-Adj'!$164:$164,'FY 2013 by Agency-Adj'!$228:$242</formula>
    <oldFormula>'FY 2013 by Agency-Adj'!$1:$3,'FY 2013 by Agency-Adj'!$14:$14,'FY 2013 by Agency-Adj'!$19:$19,'FY 2013 by Agency-Adj'!$157:$157,'FY 2013 by Agency-Adj'!$164:$164,'FY 2013 by Agency-Adj'!$228:$242</oldFormula>
  </rdn>
  <rdn rId="0" localSheetId="5" customView="1" name="Z_78CA186D_B240_44D5_8A24_D241DE0B0FD9_.wvu.Cols" hidden="1" oldHidden="1">
    <formula>'FY 2013 by Agency-Adj'!$AD:$AE,'FY 2013 by Agency-Adj'!$AI:$BK,'FY 2013 by Agency-Adj'!$BO:$BT</formula>
    <oldFormula>'FY 2013 by Agency-Adj'!$AD:$AE,'FY 2013 by Agency-Adj'!$AI:$BK,'FY 2013 by Agency-Adj'!$BO:$BT</oldFormula>
  </rdn>
  <rdn rId="0" localSheetId="8" customView="1" name="Z_78CA186D_B240_44D5_8A24_D241DE0B0FD9_.wvu.Rows" hidden="1" oldHidden="1">
    <formula>'Sheet 4'!$1:$6</formula>
    <oldFormula>'Sheet 4'!$1:$6</oldFormula>
  </rdn>
  <rcv guid="{78CA186D-B240-44D5-8A24-D241DE0B0FD9}" action="add"/>
</revisions>
</file>

<file path=xl/revisions/revisionLog1101.xml><?xml version="1.0" encoding="utf-8"?>
<revisions xmlns="http://schemas.openxmlformats.org/spreadsheetml/2006/main" xmlns:r="http://schemas.openxmlformats.org/officeDocument/2006/relationships">
  <rcv guid="{455630F5-40FC-47DB-8AD4-712C20B8FB91}" action="delete"/>
  <rdn rId="0" localSheetId="2" customView="1" name="Z_455630F5_40FC_47DB_8AD4_712C20B8FB91_.wvu.Cols" hidden="1" oldHidden="1">
    <formula>'FY2013 by Approp Title'!$AA:$AA</formula>
    <oldFormula>'FY2013 by Approp Title'!$AA:$AA</oldFormula>
  </rdn>
  <rdn rId="0" localSheetId="3" customView="1" name="Z_455630F5_40FC_47DB_8AD4_712C20B8FB91_.wvu.Cols" hidden="1" oldHidden="1">
    <formula>'FY2013 By Approp Title-Adj'!$AA:$AA</formula>
    <oldFormula>'FY2013 By Approp Title-Adj'!$AA:$AA</oldFormula>
  </rdn>
  <rdn rId="0" localSheetId="4" customView="1" name="Z_455630F5_40FC_47DB_8AD4_712C20B8FB91_.wvu.Rows" hidden="1" oldHidden="1">
    <formula>'FY 2013 by Agency'!$1:$3,'FY 2013 by Agency'!$226:$240</formula>
    <oldFormula>'FY 2013 by Agency'!$1:$3,'FY 2013 by Agency'!$226:$240</oldFormula>
  </rdn>
  <rdn rId="0" localSheetId="4" customView="1" name="Z_455630F5_40FC_47DB_8AD4_712C20B8FB91_.wvu.Cols" hidden="1" oldHidden="1">
    <formula>'FY 2013 by Agency'!$D:$E,'FY 2013 by Agency'!$G:$H,'FY 2013 by Agency'!$J:$K,'FY 2013 by Agency'!$M:$N,'FY 2013 by Agency'!$P:$Q,'FY 2013 by Agency'!$S:$T,'FY 2013 by Agency'!$V:$W,'FY 2013 by Agency'!$Y:$Z,'FY 2013 by Agency'!$AB:$AE,'FY 2013 by Agency'!$AG:$AO,'FY 2013 by Agency'!$AV:$AW,'FY 2013 by Agency'!$AY:$AZ,'FY 2013 by Agency'!$BF:$BG</formula>
    <oldFormula>'FY 2013 by Agency'!$D:$E,'FY 2013 by Agency'!$G:$H,'FY 2013 by Agency'!$J:$K,'FY 2013 by Agency'!$M:$N,'FY 2013 by Agency'!$P:$Q,'FY 2013 by Agency'!$S:$T,'FY 2013 by Agency'!$V:$W,'FY 2013 by Agency'!$Y:$Z,'FY 2013 by Agency'!$AB:$AE,'FY 2013 by Agency'!$AG:$AO,'FY 2013 by Agency'!$AV:$AW,'FY 2013 by Agency'!$AY:$AZ,'FY 2013 by Agency'!$BF:$BG</oldFormula>
  </rdn>
  <rdn rId="0" localSheetId="5" customView="1" name="Z_455630F5_40FC_47DB_8AD4_712C20B8FB91_.wvu.Rows" hidden="1" oldHidden="1">
    <formula>'FY 2013 by Agency-Adj'!$1:$3,'FY 2013 by Agency-Adj'!$14:$14,'FY 2013 by Agency-Adj'!$19:$19,'FY 2013 by Agency-Adj'!$156:$156,'FY 2013 by Agency-Adj'!$163:$163,'FY 2013 by Agency-Adj'!$227:$241</formula>
    <oldFormula>'FY 2013 by Agency-Adj'!$1:$3,'FY 2013 by Agency-Adj'!$14:$14,'FY 2013 by Agency-Adj'!$19:$19,'FY 2013 by Agency-Adj'!$156:$156,'FY 2013 by Agency-Adj'!$163:$163,'FY 2013 by Agency-Adj'!$227:$241</oldFormula>
  </rdn>
  <rdn rId="0" localSheetId="5" customView="1" name="Z_455630F5_40FC_47DB_8AD4_712C20B8FB91_.wvu.Cols" hidden="1" oldHidden="1">
    <formula>'FY 2013 by Agency-Adj'!$AD:$AE,'FY 2013 by Agency-Adj'!$AI:$BK,'FY 2013 by Agency-Adj'!$BO:$BT</formula>
    <oldFormula>'FY 2013 by Agency-Adj'!$AD:$AE,'FY 2013 by Agency-Adj'!$AI:$BK,'FY 2013 by Agency-Adj'!$BO:$BT</oldFormula>
  </rdn>
  <rdn rId="0" localSheetId="8" customView="1" name="Z_455630F5_40FC_47DB_8AD4_712C20B8FB91_.wvu.Rows" hidden="1" oldHidden="1">
    <formula>'Sheet 4'!$1:$6</formula>
    <oldFormula>'Sheet 4'!$1:$6</oldFormula>
  </rdn>
  <rcv guid="{455630F5-40FC-47DB-8AD4-712C20B8FB91}" action="add"/>
</revisions>
</file>

<file path=xl/revisions/revisionLog11011.xml><?xml version="1.0" encoding="utf-8"?>
<revisions xmlns="http://schemas.openxmlformats.org/spreadsheetml/2006/main" xmlns:r="http://schemas.openxmlformats.org/officeDocument/2006/relationships">
  <rcc rId="41172" sId="4" numFmtId="11">
    <oc r="BO88">
      <v>141400</v>
    </oc>
    <nc r="BO88">
      <v>141085</v>
    </nc>
  </rcc>
  <rcc rId="41173" sId="4" numFmtId="11">
    <oc r="BO89">
      <v>7015</v>
    </oc>
    <nc r="BO89">
      <v>2346</v>
    </nc>
  </rcc>
  <rcc rId="41174" sId="4" numFmtId="11">
    <oc r="BO90">
      <v>102039</v>
    </oc>
    <nc r="BO90">
      <v>2007</v>
    </nc>
  </rcc>
  <rcc rId="41175" sId="4" numFmtId="11">
    <oc r="BO92">
      <v>295</v>
    </oc>
    <nc r="BO92">
      <v>0</v>
    </nc>
  </rcc>
  <rcc rId="41176" sId="4" numFmtId="11">
    <oc r="BO93">
      <v>205</v>
    </oc>
    <nc r="BO93"/>
  </rcc>
  <rcc rId="41177" sId="4" numFmtId="11">
    <oc r="BO96">
      <v>7974</v>
    </oc>
    <nc r="BO96">
      <v>7884</v>
    </nc>
  </rcc>
  <rcc rId="41178" sId="4" numFmtId="11">
    <oc r="BO97">
      <v>9125</v>
    </oc>
    <nc r="BO97">
      <v>8852</v>
    </nc>
  </rcc>
  <rcc rId="41179" sId="4" numFmtId="11">
    <oc r="BO99">
      <v>2108</v>
    </oc>
    <nc r="BO99">
      <v>199</v>
    </nc>
  </rcc>
  <rcc rId="41180" sId="4" numFmtId="11">
    <oc r="BO104">
      <v>44293</v>
    </oc>
    <nc r="BO104">
      <v>43746</v>
    </nc>
  </rcc>
  <rcc rId="41181" sId="4" numFmtId="11">
    <oc r="BO106">
      <v>18484</v>
    </oc>
    <nc r="BO106">
      <v>11195</v>
    </nc>
  </rcc>
  <rcc rId="41182" sId="4" numFmtId="11">
    <oc r="BO86">
      <v>200728</v>
    </oc>
    <nc r="BO86">
      <v>200729</v>
    </nc>
  </rcc>
  <rcc rId="41183" sId="4" numFmtId="11">
    <oc r="BO85">
      <v>497064</v>
    </oc>
    <nc r="BO85">
      <v>471523</v>
    </nc>
  </rcc>
  <rcv guid="{E81D05A4-5B21-42D3-A8D3-906ABCABC0F4}" action="delete"/>
  <rdn rId="0" localSheetId="2" customView="1" name="Z_E81D05A4_5B21_42D3_A8D3_906ABCABC0F4_.wvu.Cols" hidden="1" oldHidden="1">
    <formula>'FY2013 by Approp Title'!$AA:$AA</formula>
    <oldFormula>'FY2013 by Approp Title'!$AA:$AA</oldFormula>
  </rdn>
  <rdn rId="0" localSheetId="3" customView="1" name="Z_E81D05A4_5B21_42D3_A8D3_906ABCABC0F4_.wvu.Cols" hidden="1" oldHidden="1">
    <formula>'FY2013 By Approp Title-Adj'!$AA:$AA</formula>
    <oldFormula>'FY2013 By Approp Title-Adj'!$AA:$AA</oldFormula>
  </rdn>
  <rdn rId="0" localSheetId="4" customView="1" name="Z_E81D05A4_5B21_42D3_A8D3_906ABCABC0F4_.wvu.Rows" hidden="1" oldHidden="1">
    <formula>'FY 2013 by Agency'!$1:$3,'FY 2013 by Agency'!$226:$240</formula>
    <oldFormula>'FY 2013 by Agency'!$1:$3,'FY 2013 by Agency'!$226:$240</oldFormula>
  </rdn>
  <rdn rId="0" localSheetId="4" customView="1" name="Z_E81D05A4_5B21_42D3_A8D3_906ABCABC0F4_.wvu.Cols" hidden="1" oldHidden="1">
    <formula>'FY 2013 by Agency'!$D:$E,'FY 2013 by Agency'!$G:$H,'FY 2013 by Agency'!$J:$K,'FY 2013 by Agency'!$M:$N,'FY 2013 by Agency'!$P:$Q,'FY 2013 by Agency'!$S:$T,'FY 2013 by Agency'!$V:$W,'FY 2013 by Agency'!$Y:$Z,'FY 2013 by Agency'!$AB:$AE,'FY 2013 by Agency'!$AV:$AW,'FY 2013 by Agency'!$AY:$AZ,'FY 2013 by Agency'!$BF:$BG,'FY 2013 by Agency'!$BM:$BN</formula>
    <oldFormula>'FY 2013 by Agency'!$D:$E,'FY 2013 by Agency'!$G:$H,'FY 2013 by Agency'!$J:$K,'FY 2013 by Agency'!$M:$N,'FY 2013 by Agency'!$P:$Q,'FY 2013 by Agency'!$S:$T,'FY 2013 by Agency'!$V:$W,'FY 2013 by Agency'!$Y:$Z,'FY 2013 by Agency'!$AB:$AE,'FY 2013 by Agency'!$AV:$AW,'FY 2013 by Agency'!$AY:$AZ,'FY 2013 by Agency'!$BF:$BG,'FY 2013 by Agency'!$BM:$BN</oldFormula>
  </rdn>
  <rdn rId="0" localSheetId="5" customView="1" name="Z_E81D05A4_5B21_42D3_A8D3_906ABCABC0F4_.wvu.Rows" hidden="1" oldHidden="1">
    <formula>'FY 2013 by Agency-Adj'!$1:$3,'FY 2013 by Agency-Adj'!$14:$14,'FY 2013 by Agency-Adj'!$19:$19,'FY 2013 by Agency-Adj'!$156:$156,'FY 2013 by Agency-Adj'!$163:$163,'FY 2013 by Agency-Adj'!$227:$241</formula>
    <oldFormula>'FY 2013 by Agency-Adj'!$1:$3,'FY 2013 by Agency-Adj'!$14:$14,'FY 2013 by Agency-Adj'!$19:$19,'FY 2013 by Agency-Adj'!$156:$156,'FY 2013 by Agency-Adj'!$163:$163,'FY 2013 by Agency-Adj'!$227:$241</oldFormula>
  </rdn>
  <rdn rId="0" localSheetId="5" customView="1" name="Z_E81D05A4_5B21_42D3_A8D3_906ABCABC0F4_.wvu.Cols" hidden="1" oldHidden="1">
    <formula>'FY 2013 by Agency-Adj'!$AD:$AE,'FY 2013 by Agency-Adj'!$AI:$BK,'FY 2013 by Agency-Adj'!$BO:$BT</formula>
    <oldFormula>'FY 2013 by Agency-Adj'!$AD:$AE,'FY 2013 by Agency-Adj'!$AI:$BK,'FY 2013 by Agency-Adj'!$BO:$BT</oldFormula>
  </rdn>
  <rdn rId="0" localSheetId="8" customView="1" name="Z_E81D05A4_5B21_42D3_A8D3_906ABCABC0F4_.wvu.Rows" hidden="1" oldHidden="1">
    <formula>'Sheet 4'!$1:$6</formula>
    <oldFormula>'Sheet 4'!$1:$6</oldFormula>
  </rdn>
  <rcv guid="{E81D05A4-5B21-42D3-A8D3-906ABCABC0F4}" action="add"/>
</revisions>
</file>

<file path=xl/revisions/revisionLog1102.xml><?xml version="1.0" encoding="utf-8"?>
<revisions xmlns="http://schemas.openxmlformats.org/spreadsheetml/2006/main" xmlns:r="http://schemas.openxmlformats.org/officeDocument/2006/relationships">
  <rfmt sheetId="4" sqref="BO74" start="0" length="2147483647">
    <dxf>
      <font>
        <b/>
      </font>
    </dxf>
  </rfmt>
  <rfmt sheetId="4" sqref="BO41" start="0" length="2147483647">
    <dxf>
      <font>
        <b/>
      </font>
    </dxf>
  </rfmt>
  <rcc rId="41826" sId="4">
    <nc r="BO109">
      <f>SUM(BO85:BO108)</f>
    </nc>
  </rcc>
  <rfmt sheetId="4" sqref="BO109" start="0" length="2147483647">
    <dxf>
      <font>
        <b/>
      </font>
    </dxf>
  </rfmt>
  <rfmt sheetId="4" sqref="BO188" start="0" length="2147483647">
    <dxf>
      <font>
        <b/>
      </font>
    </dxf>
  </rfmt>
  <rfmt sheetId="4" sqref="BO222" start="0" length="2147483647">
    <dxf>
      <font>
        <b/>
      </font>
    </dxf>
  </rfmt>
  <rcc rId="41827" sId="4">
    <nc r="BO133">
      <f>SUM(BO120:BO132)</f>
    </nc>
  </rcc>
  <rfmt sheetId="4" sqref="BO133" start="0" length="2147483647">
    <dxf>
      <font>
        <b/>
      </font>
    </dxf>
  </rfmt>
  <rcc rId="41828" sId="4">
    <nc r="BO166">
      <f>SUM(BO146:BO165)</f>
    </nc>
  </rcc>
  <rfmt sheetId="4" sqref="BO166" start="0" length="2147483647">
    <dxf>
      <font>
        <b/>
      </font>
    </dxf>
  </rfmt>
  <rcc rId="41829" sId="4">
    <nc r="BO242">
      <f>BO222+BO188+BO166+BO133+BO109+BO74+BO41</f>
    </nc>
  </rcc>
  <rfmt sheetId="4" sqref="BT41" start="0" length="2147483647">
    <dxf>
      <font>
        <b/>
      </font>
    </dxf>
  </rfmt>
  <rfmt sheetId="4" sqref="BT74" start="0" length="2147483647">
    <dxf>
      <font>
        <b/>
      </font>
    </dxf>
  </rfmt>
  <rfmt sheetId="4" sqref="BT109" start="0" length="2147483647">
    <dxf>
      <font>
        <b/>
      </font>
    </dxf>
  </rfmt>
  <rfmt sheetId="4" sqref="BT133" start="0" length="2147483647">
    <dxf>
      <font>
        <b/>
      </font>
    </dxf>
  </rfmt>
  <rfmt sheetId="4" sqref="BT166" start="0" length="2147483647">
    <dxf>
      <font>
        <b/>
      </font>
    </dxf>
  </rfmt>
  <rfmt sheetId="4" sqref="BT188" start="0" length="2147483647">
    <dxf>
      <font>
        <b/>
      </font>
    </dxf>
  </rfmt>
  <rfmt sheetId="4" sqref="BT222" start="0" length="2147483647">
    <dxf>
      <font>
        <b/>
      </font>
    </dxf>
  </rfmt>
  <rcc rId="41830" sId="4">
    <nc r="BT242">
      <f>BT222+BT188+BT166+BT133+BT109+BT74+BT41</f>
    </nc>
  </rcc>
  <rcc rId="41831" sId="4">
    <nc r="BU242">
      <f>BT242-BL242</f>
    </nc>
  </rcc>
  <rcc rId="41832" sId="4">
    <nc r="BV242">
      <f>BU242/BL242</f>
    </nc>
  </rcc>
  <rfmt sheetId="4" sqref="BT245" start="0" length="0">
    <dxf>
      <numFmt numFmtId="165" formatCode="&quot;$&quot;#,##0"/>
    </dxf>
  </rfmt>
  <rcv guid="{567C3053-2D8E-4705-8DC7-18896C5303CA}" action="delete"/>
  <rdn rId="0" localSheetId="2" customView="1" name="Z_567C3053_2D8E_4705_8DC7_18896C5303CA_.wvu.Cols" hidden="1" oldHidden="1">
    <formula>'FY2013 by Approp Title'!$AA:$AA</formula>
    <oldFormula>'FY2013 by Approp Title'!$AA:$AA</oldFormula>
  </rdn>
  <rdn rId="0" localSheetId="3" customView="1" name="Z_567C3053_2D8E_4705_8DC7_18896C5303CA_.wvu.Cols" hidden="1" oldHidden="1">
    <formula>'FY2013 By Approp Title-Adj'!$AA:$AA</formula>
    <oldFormula>'FY2013 By Approp Title-Adj'!$AA:$AA</oldFormula>
  </rdn>
  <rdn rId="0" localSheetId="4" customView="1" name="Z_567C3053_2D8E_4705_8DC7_18896C5303CA_.wvu.Rows" hidden="1" oldHidden="1">
    <formula>'FY 2013 by Agency'!$1:$3,'FY 2013 by Agency'!$227:$241</formula>
    <oldFormula>'FY 2013 by Agency'!$1:$3,'FY 2013 by Agency'!$227:$241</oldFormula>
  </rdn>
  <rdn rId="0" localSheetId="5" customView="1" name="Z_567C3053_2D8E_4705_8DC7_18896C5303CA_.wvu.Rows" hidden="1" oldHidden="1">
    <formula>'FY 2013 by Agency-Adj'!$1:$3,'FY 2013 by Agency-Adj'!$228:$242</formula>
    <oldFormula>'FY 2013 by Agency-Adj'!$1:$3,'FY 2013 by Agency-Adj'!$228:$242</oldFormula>
  </rdn>
  <rdn rId="0" localSheetId="5" customView="1" name="Z_567C3053_2D8E_4705_8DC7_18896C5303CA_.wvu.Cols" hidden="1" oldHidden="1">
    <formula>'FY 2013 by Agency-Adj'!$V:$AB,'FY 2013 by Agency-Adj'!$AJ:$AM,'FY 2013 by Agency-Adj'!$AP:$AS</formula>
    <oldFormula>'FY 2013 by Agency-Adj'!$V:$AB,'FY 2013 by Agency-Adj'!$AJ:$AM,'FY 2013 by Agency-Adj'!$AP:$AS</oldFormula>
  </rdn>
  <rdn rId="0" localSheetId="8" customView="1" name="Z_567C3053_2D8E_4705_8DC7_18896C5303CA_.wvu.Rows" hidden="1" oldHidden="1">
    <formula>'Sheet 4'!$1:$6</formula>
    <oldFormula>'Sheet 4'!$1:$6</oldFormula>
  </rdn>
  <rcv guid="{567C3053-2D8E-4705-8DC7-18896C5303CA}" action="add"/>
</revisions>
</file>

<file path=xl/revisions/revisionLog11021.xml><?xml version="1.0" encoding="utf-8"?>
<revisions xmlns="http://schemas.openxmlformats.org/spreadsheetml/2006/main" xmlns:r="http://schemas.openxmlformats.org/officeDocument/2006/relationships">
  <rcc rId="41734" sId="4">
    <nc r="BO41">
      <f>SUM(BO7:BO40)</f>
    </nc>
  </rcc>
  <rcc rId="41735" sId="4">
    <oc r="BT26">
      <f>BO26+BP26+BQ26+BR26+BS26</f>
    </oc>
    <nc r="BT26">
      <f>BO26+BP26+BQ26+BR26+BS26</f>
    </nc>
  </rcc>
  <rcc rId="41736" sId="4">
    <oc r="BM27">
      <f>BL27-AS27</f>
    </oc>
    <nc r="BM27">
      <f>BL27-AS27</f>
    </nc>
  </rcc>
  <rcc rId="41737" sId="4">
    <oc r="BL27">
      <f>BE27+BH27+BI27+BJ27+BK27</f>
    </oc>
    <nc r="BL27">
      <f>BE27+BH27+BI27+BJ27+BK27</f>
    </nc>
  </rcc>
  <rcc rId="41738" sId="4">
    <oc r="BT41">
      <f>BO41+BP41+BQ41+BR41+BS41</f>
    </oc>
    <nc r="BT41">
      <f>BO41+BP41+BQ41+BR41+BS41</f>
    </nc>
  </rcc>
  <rcc rId="41739" sId="4">
    <nc r="BP41">
      <f>SUM(BP7:BP40)</f>
    </nc>
  </rcc>
  <rcc rId="41740" sId="4" odxf="1" dxf="1">
    <nc r="BS41">
      <f>SUM(BS7:BS40)</f>
    </nc>
    <odxf>
      <numFmt numFmtId="0" formatCode="General"/>
    </odxf>
    <ndxf>
      <numFmt numFmtId="165" formatCode="&quot;$&quot;#,##0"/>
    </ndxf>
  </rcc>
  <rcv guid="{455630F5-40FC-47DB-8AD4-712C20B8FB91}" action="delete"/>
  <rdn rId="0" localSheetId="2" customView="1" name="Z_455630F5_40FC_47DB_8AD4_712C20B8FB91_.wvu.Cols" hidden="1" oldHidden="1">
    <formula>'FY2013 by Approp Title'!$AA:$AA</formula>
    <oldFormula>'FY2013 by Approp Title'!$AA:$AA</oldFormula>
  </rdn>
  <rdn rId="0" localSheetId="3" customView="1" name="Z_455630F5_40FC_47DB_8AD4_712C20B8FB91_.wvu.Cols" hidden="1" oldHidden="1">
    <formula>'FY2013 By Approp Title-Adj'!$AA:$AA</formula>
    <oldFormula>'FY2013 By Approp Title-Adj'!$AA:$AA</oldFormula>
  </rdn>
  <rdn rId="0" localSheetId="4" customView="1" name="Z_455630F5_40FC_47DB_8AD4_712C20B8FB91_.wvu.Rows" hidden="1" oldHidden="1">
    <formula>'FY 2013 by Agency'!$1:$3,'FY 2013 by Agency'!$226:$240</formula>
    <oldFormula>'FY 2013 by Agency'!$1:$3,'FY 2013 by Agency'!$226:$240</oldFormula>
  </rdn>
  <rdn rId="0" localSheetId="4" customView="1" name="Z_455630F5_40FC_47DB_8AD4_712C20B8FB91_.wvu.Cols" hidden="1" oldHidden="1">
    <formula>'FY 2013 by Agency'!$D:$E,'FY 2013 by Agency'!$G:$H,'FY 2013 by Agency'!$J:$K,'FY 2013 by Agency'!$M:$N,'FY 2013 by Agency'!$P:$Q,'FY 2013 by Agency'!$S:$T,'FY 2013 by Agency'!$V:$W,'FY 2013 by Agency'!$Y:$Z,'FY 2013 by Agency'!$AB:$AE,'FY 2013 by Agency'!$AG:$AO,'FY 2013 by Agency'!$AV:$AW,'FY 2013 by Agency'!$AY:$AZ,'FY 2013 by Agency'!$BF:$BG</formula>
    <oldFormula>'FY 2013 by Agency'!$D:$E,'FY 2013 by Agency'!$G:$H,'FY 2013 by Agency'!$J:$K,'FY 2013 by Agency'!$M:$N,'FY 2013 by Agency'!$P:$Q,'FY 2013 by Agency'!$S:$T,'FY 2013 by Agency'!$V:$W,'FY 2013 by Agency'!$Y:$Z,'FY 2013 by Agency'!$AB:$AE,'FY 2013 by Agency'!$AG:$AO,'FY 2013 by Agency'!$AV:$AW,'FY 2013 by Agency'!$AY:$AZ,'FY 2013 by Agency'!$BF:$BG</oldFormula>
  </rdn>
  <rdn rId="0" localSheetId="5" customView="1" name="Z_455630F5_40FC_47DB_8AD4_712C20B8FB91_.wvu.Rows" hidden="1" oldHidden="1">
    <formula>'FY 2013 by Agency-Adj'!$1:$3,'FY 2013 by Agency-Adj'!$14:$14,'FY 2013 by Agency-Adj'!$19:$19,'FY 2013 by Agency-Adj'!$156:$156,'FY 2013 by Agency-Adj'!$163:$163,'FY 2013 by Agency-Adj'!$227:$241</formula>
    <oldFormula>'FY 2013 by Agency-Adj'!$1:$3,'FY 2013 by Agency-Adj'!$14:$14,'FY 2013 by Agency-Adj'!$19:$19,'FY 2013 by Agency-Adj'!$156:$156,'FY 2013 by Agency-Adj'!$163:$163,'FY 2013 by Agency-Adj'!$227:$241</oldFormula>
  </rdn>
  <rdn rId="0" localSheetId="5" customView="1" name="Z_455630F5_40FC_47DB_8AD4_712C20B8FB91_.wvu.Cols" hidden="1" oldHidden="1">
    <formula>'FY 2013 by Agency-Adj'!$AD:$AE,'FY 2013 by Agency-Adj'!$AI:$BK,'FY 2013 by Agency-Adj'!$BO:$BT</formula>
    <oldFormula>'FY 2013 by Agency-Adj'!$AD:$AE,'FY 2013 by Agency-Adj'!$AI:$BK,'FY 2013 by Agency-Adj'!$BO:$BT</oldFormula>
  </rdn>
  <rdn rId="0" localSheetId="8" customView="1" name="Z_455630F5_40FC_47DB_8AD4_712C20B8FB91_.wvu.Rows" hidden="1" oldHidden="1">
    <formula>'Sheet 4'!$1:$6</formula>
    <oldFormula>'Sheet 4'!$1:$6</oldFormula>
  </rdn>
  <rcv guid="{455630F5-40FC-47DB-8AD4-712C20B8FB91}" action="add"/>
</revisions>
</file>

<file path=xl/revisions/revisionLog110211.xml><?xml version="1.0" encoding="utf-8"?>
<revisions xmlns="http://schemas.openxmlformats.org/spreadsheetml/2006/main" xmlns:r="http://schemas.openxmlformats.org/officeDocument/2006/relationships">
  <rcv guid="{567C3053-2D8E-4705-8DC7-18896C5303CA}" action="delete"/>
  <rdn rId="0" localSheetId="2" customView="1" name="Z_567C3053_2D8E_4705_8DC7_18896C5303CA_.wvu.Cols" hidden="1" oldHidden="1">
    <formula>'FY2013 by Approp Title'!$AA:$AA</formula>
    <oldFormula>'FY2013 by Approp Title'!$AA:$AA</oldFormula>
  </rdn>
  <rdn rId="0" localSheetId="3" customView="1" name="Z_567C3053_2D8E_4705_8DC7_18896C5303CA_.wvu.Cols" hidden="1" oldHidden="1">
    <formula>'FY2013 By Approp Title-Adj'!$AA:$AA</formula>
    <oldFormula>'FY2013 By Approp Title-Adj'!$AA:$AA</oldFormula>
  </rdn>
  <rdn rId="0" localSheetId="4" customView="1" name="Z_567C3053_2D8E_4705_8DC7_18896C5303CA_.wvu.Rows" hidden="1" oldHidden="1">
    <formula>'FY 2013 by Agency'!$1:$3,'FY 2013 by Agency'!$226:$240</formula>
    <oldFormula>'FY 2013 by Agency'!$1:$3,'FY 2013 by Agency'!$226:$240</oldFormula>
  </rdn>
  <rdn rId="0" localSheetId="5" customView="1" name="Z_567C3053_2D8E_4705_8DC7_18896C5303CA_.wvu.Rows" hidden="1" oldHidden="1">
    <formula>'FY 2013 by Agency-Adj'!$1:$3,'FY 2013 by Agency-Adj'!$227:$241</formula>
    <oldFormula>'FY 2013 by Agency-Adj'!$1:$3,'FY 2013 by Agency-Adj'!$227:$241</oldFormula>
  </rdn>
  <rdn rId="0" localSheetId="5" customView="1" name="Z_567C3053_2D8E_4705_8DC7_18896C5303CA_.wvu.Cols" hidden="1" oldHidden="1">
    <formula>'FY 2013 by Agency-Adj'!$V:$AB,'FY 2013 by Agency-Adj'!$AJ:$AM,'FY 2013 by Agency-Adj'!$AP:$AS</formula>
    <oldFormula>'FY 2013 by Agency-Adj'!$V:$AB,'FY 2013 by Agency-Adj'!$AJ:$AM,'FY 2013 by Agency-Adj'!$AP:$AS</oldFormula>
  </rdn>
  <rdn rId="0" localSheetId="8" customView="1" name="Z_567C3053_2D8E_4705_8DC7_18896C5303CA_.wvu.Rows" hidden="1" oldHidden="1">
    <formula>'Sheet 4'!$1:$6</formula>
    <oldFormula>'Sheet 4'!$1:$6</oldFormula>
  </rdn>
  <rcv guid="{567C3053-2D8E-4705-8DC7-18896C5303CA}" action="add"/>
</revisions>
</file>

<file path=xl/revisions/revisionLog111.xml><?xml version="1.0" encoding="utf-8"?>
<revisions xmlns="http://schemas.openxmlformats.org/spreadsheetml/2006/main" xmlns:r="http://schemas.openxmlformats.org/officeDocument/2006/relationships">
  <rfmt sheetId="5" sqref="CC41" start="0" length="0">
    <dxf>
      <numFmt numFmtId="10" formatCode="&quot;$&quot;#,##0_);[Red]\(&quot;$&quot;#,##0\)"/>
    </dxf>
  </rfmt>
  <rcc rId="42489" sId="5">
    <oc r="CB7">
      <f>CA7-BR7</f>
    </oc>
    <nc r="CB7"/>
  </rcc>
  <rcc rId="42490" sId="5">
    <oc r="CB8">
      <f>CA8-BR8</f>
    </oc>
    <nc r="CB8"/>
  </rcc>
  <rcc rId="42491" sId="5">
    <oc r="CB9">
      <f>CA9-BR9</f>
    </oc>
    <nc r="CB9"/>
  </rcc>
  <rcc rId="42492" sId="5">
    <oc r="CB10">
      <f>CA10-BR10</f>
    </oc>
    <nc r="CB10"/>
  </rcc>
  <rcc rId="42493" sId="5">
    <oc r="CB11">
      <f>CA11-BR11</f>
    </oc>
    <nc r="CB11"/>
  </rcc>
  <rcc rId="42494" sId="5">
    <oc r="CB12">
      <f>CA12-BR12</f>
    </oc>
    <nc r="CB12"/>
  </rcc>
  <rcc rId="42495" sId="5">
    <oc r="CB13">
      <f>CA13-BR13</f>
    </oc>
    <nc r="CB13"/>
  </rcc>
  <rcc rId="42496" sId="5">
    <oc r="CB14">
      <f>CA14-BR14</f>
    </oc>
    <nc r="CB14"/>
  </rcc>
  <rcc rId="42497" sId="5">
    <oc r="CB15">
      <f>CA15-BR15</f>
    </oc>
    <nc r="CB15"/>
  </rcc>
  <rcc rId="42498" sId="5">
    <oc r="CB16">
      <f>CA16-BR16</f>
    </oc>
    <nc r="CB16"/>
  </rcc>
  <rcc rId="42499" sId="5">
    <oc r="CB17">
      <f>CA17-BR17</f>
    </oc>
    <nc r="CB17"/>
  </rcc>
  <rcc rId="42500" sId="5">
    <oc r="CB18">
      <f>CA18-BR18</f>
    </oc>
    <nc r="CB18"/>
  </rcc>
  <rcc rId="42501" sId="5">
    <oc r="CB19">
      <f>CA19-BR19</f>
    </oc>
    <nc r="CB19"/>
  </rcc>
  <rcc rId="42502" sId="5">
    <oc r="CB20">
      <f>CA20-BR20</f>
    </oc>
    <nc r="CB20"/>
  </rcc>
  <rcc rId="42503" sId="5">
    <oc r="CB21">
      <f>CA21-BR21</f>
    </oc>
    <nc r="CB21"/>
  </rcc>
  <rcc rId="42504" sId="5">
    <oc r="CB22">
      <f>CA22-BR22</f>
    </oc>
    <nc r="CB22"/>
  </rcc>
  <rcc rId="42505" sId="5">
    <oc r="CB24">
      <f>CA24-BR24</f>
    </oc>
    <nc r="CB24"/>
  </rcc>
  <rcc rId="42506" sId="5">
    <oc r="CB23">
      <f>CA23-BR23</f>
    </oc>
    <nc r="CB23"/>
  </rcc>
  <rcc rId="42507" sId="5">
    <oc r="CB25">
      <f>CA25-BR25</f>
    </oc>
    <nc r="CB25"/>
  </rcc>
  <rcc rId="42508" sId="5">
    <oc r="CB26">
      <f>CA26-BR26</f>
    </oc>
    <nc r="CB26"/>
  </rcc>
  <rcc rId="42509" sId="5">
    <oc r="CB27">
      <f>CA27-BR27</f>
    </oc>
    <nc r="CB27"/>
  </rcc>
  <rcc rId="42510" sId="5">
    <oc r="CB28">
      <f>CA28-BR28</f>
    </oc>
    <nc r="CB28"/>
  </rcc>
  <rcc rId="42511" sId="5">
    <oc r="CB29">
      <f>CA29-BR29</f>
    </oc>
    <nc r="CB29"/>
  </rcc>
  <rcc rId="42512" sId="5">
    <oc r="CB30">
      <f>CA30-BR30</f>
    </oc>
    <nc r="CB30"/>
  </rcc>
  <rcc rId="42513" sId="5">
    <oc r="CB31">
      <f>CA31-BR31</f>
    </oc>
    <nc r="CB31"/>
  </rcc>
  <rcc rId="42514" sId="5">
    <oc r="CB32">
      <f>CA32-BR32</f>
    </oc>
    <nc r="CB32"/>
  </rcc>
  <rcc rId="42515" sId="5">
    <oc r="CB33">
      <f>CA33-BR33</f>
    </oc>
    <nc r="CB33"/>
  </rcc>
  <rcc rId="42516" sId="5">
    <oc r="CB34">
      <f>CA34-BR34</f>
    </oc>
    <nc r="CB34"/>
  </rcc>
  <rcc rId="42517" sId="5">
    <oc r="CB40">
      <f>CA40-BR40</f>
    </oc>
    <nc r="CB40"/>
  </rcc>
  <rcc rId="42518" sId="5">
    <oc r="CB39">
      <f>CA39-BR39</f>
    </oc>
    <nc r="CB39"/>
  </rcc>
  <rcc rId="42519" sId="5">
    <oc r="CB38">
      <f>CA38-BR38</f>
    </oc>
    <nc r="CB38"/>
  </rcc>
  <rcc rId="42520" sId="5">
    <oc r="CB37">
      <f>CA37-BR37</f>
    </oc>
    <nc r="CB37"/>
  </rcc>
  <rcc rId="42521" sId="5">
    <oc r="CB36">
      <f>CA36-BR36</f>
    </oc>
    <nc r="CB36"/>
  </rcc>
  <rcc rId="42522" sId="5">
    <oc r="CB35">
      <f>CA35-BR35</f>
    </oc>
    <nc r="CB35"/>
  </rcc>
  <rcc rId="42523" sId="5">
    <oc r="CB41">
      <f>CA41-BR41</f>
    </oc>
    <nc r="CB41"/>
  </rcc>
  <rcc rId="42524" sId="5">
    <oc r="CB49">
      <f>CA49-BR49</f>
    </oc>
    <nc r="CB49"/>
  </rcc>
  <rcc rId="42525" sId="5">
    <oc r="CB48">
      <f>CA48-BR48</f>
    </oc>
    <nc r="CB48"/>
  </rcc>
  <rcc rId="42526" sId="5">
    <oc r="CB47">
      <f>CA47-BR47</f>
    </oc>
    <nc r="CB47"/>
  </rcc>
  <rcc rId="42527" sId="5">
    <oc r="CB46">
      <f>CA46-BR46</f>
    </oc>
    <nc r="CB46"/>
  </rcc>
  <rcc rId="42528" sId="5">
    <oc r="CB45">
      <f>CA45-BR45</f>
    </oc>
    <nc r="CB45"/>
  </rcc>
  <rcc rId="42529" sId="5">
    <oc r="CB44">
      <f>CA44-BR44</f>
    </oc>
    <nc r="CB44"/>
  </rcc>
  <rcc rId="42530" sId="5">
    <oc r="CB43">
      <f>CA43-BR43</f>
    </oc>
    <nc r="CB43"/>
  </rcc>
  <rcc rId="42531" sId="5">
    <oc r="CB42">
      <f>CA42-BR42</f>
    </oc>
    <nc r="CB42"/>
  </rcc>
  <rfmt sheetId="5" sqref="CC110" start="0" length="0">
    <dxf>
      <numFmt numFmtId="165" formatCode="&quot;$&quot;#,##0"/>
    </dxf>
  </rfmt>
  <rcc rId="42532" sId="5">
    <nc r="CC133">
      <f>CB133/BR133</f>
    </nc>
  </rcc>
  <rcc rId="42533" sId="5">
    <oc r="CB50">
      <f>CA50-BR50</f>
    </oc>
    <nc r="CB50"/>
  </rcc>
  <rcc rId="42534" sId="5">
    <oc r="CB51">
      <f>CA51-BR51</f>
    </oc>
    <nc r="CB51"/>
  </rcc>
  <rcc rId="42535" sId="5">
    <oc r="CB52">
      <f>CA52-BR52</f>
    </oc>
    <nc r="CB52"/>
  </rcc>
  <rcc rId="42536" sId="5">
    <oc r="CB53">
      <f>CA53-BR53</f>
    </oc>
    <nc r="CB53"/>
  </rcc>
  <rcc rId="42537" sId="5">
    <oc r="CB54">
      <f>CA54-BR54</f>
    </oc>
    <nc r="CB54"/>
  </rcc>
  <rcc rId="42538" sId="5">
    <oc r="CB55">
      <f>CA55-BR55</f>
    </oc>
    <nc r="CB55"/>
  </rcc>
  <rcc rId="42539" sId="5">
    <oc r="CB56">
      <f>CA56-BR56</f>
    </oc>
    <nc r="CB56"/>
  </rcc>
  <rcc rId="42540" sId="5">
    <oc r="CB57">
      <f>CA57-BR57</f>
    </oc>
    <nc r="CB57"/>
  </rcc>
  <rcc rId="42541" sId="5">
    <oc r="CB58">
      <f>CA58-BR58</f>
    </oc>
    <nc r="CB58"/>
  </rcc>
  <rcc rId="42542" sId="5">
    <oc r="CB59">
      <f>CA59-BR59</f>
    </oc>
    <nc r="CB59"/>
  </rcc>
  <rcc rId="42543" sId="5">
    <oc r="CB60">
      <f>CA60-BR60</f>
    </oc>
    <nc r="CB60"/>
  </rcc>
  <rcc rId="42544" sId="5">
    <oc r="CB61">
      <f>CA61-BR61</f>
    </oc>
    <nc r="CB61"/>
  </rcc>
  <rcc rId="42545" sId="5">
    <oc r="CB62">
      <f>CA62-BR62</f>
    </oc>
    <nc r="CB62"/>
  </rcc>
  <rcc rId="42546" sId="5">
    <oc r="CB63">
      <f>CA63-BR63</f>
    </oc>
    <nc r="CB63"/>
  </rcc>
  <rcc rId="42547" sId="5">
    <oc r="CB64">
      <f>CA64-BR64</f>
    </oc>
    <nc r="CB64"/>
  </rcc>
  <rcc rId="42548" sId="5">
    <oc r="CB65">
      <f>CA65-BR65</f>
    </oc>
    <nc r="CB65"/>
  </rcc>
  <rcc rId="42549" sId="5">
    <oc r="CB66">
      <f>CA66-BR66</f>
    </oc>
    <nc r="CB66"/>
  </rcc>
  <rcc rId="42550" sId="5">
    <oc r="CB67">
      <f>CA67-BR67</f>
    </oc>
    <nc r="CB67"/>
  </rcc>
  <rcc rId="42551" sId="5">
    <oc r="CB68">
      <f>CA68-BR68</f>
    </oc>
    <nc r="CB68"/>
  </rcc>
  <rcc rId="42552" sId="5">
    <oc r="CB69">
      <f>CA69-BR69</f>
    </oc>
    <nc r="CB69"/>
  </rcc>
  <rcc rId="42553" sId="5">
    <oc r="CB70">
      <f>CA70-BR70</f>
    </oc>
    <nc r="CB70"/>
  </rcc>
  <rcc rId="42554" sId="5">
    <oc r="CB71">
      <f>CA71-BR71</f>
    </oc>
    <nc r="CB71"/>
  </rcc>
  <rcc rId="42555" sId="5">
    <oc r="CB72">
      <f>CA72-BR72</f>
    </oc>
    <nc r="CB72"/>
  </rcc>
  <rcc rId="42556" sId="5">
    <oc r="CB73">
      <f>CA73-BR73</f>
    </oc>
    <nc r="CB73"/>
  </rcc>
  <rcc rId="42557" sId="5">
    <oc r="CB74">
      <f>CA74-BR74</f>
    </oc>
    <nc r="CB74"/>
  </rcc>
  <rcc rId="42558" sId="5">
    <oc r="CB75">
      <f>CA75-BR75</f>
    </oc>
    <nc r="CB75"/>
  </rcc>
  <rcc rId="42559" sId="5">
    <oc r="CB76">
      <f>CA76-BR76</f>
    </oc>
    <nc r="CB76"/>
  </rcc>
  <rcc rId="42560" sId="5">
    <oc r="CB77">
      <f>CA77-BR77</f>
    </oc>
    <nc r="CB77"/>
  </rcc>
  <rcc rId="42561" sId="5">
    <oc r="CB78">
      <f>CA78-BR78</f>
    </oc>
    <nc r="CB78"/>
  </rcc>
  <rcc rId="42562" sId="5">
    <oc r="CB79">
      <f>CA79-BR79</f>
    </oc>
    <nc r="CB79"/>
  </rcc>
  <rcc rId="42563" sId="5">
    <oc r="CB80">
      <f>CA80-BR80</f>
    </oc>
    <nc r="CB80"/>
  </rcc>
  <rcc rId="42564" sId="5">
    <oc r="CB81">
      <f>CA81-BR81</f>
    </oc>
    <nc r="CB81"/>
  </rcc>
  <rcc rId="42565" sId="5">
    <oc r="CB82">
      <f>CA82-BR82</f>
    </oc>
    <nc r="CB82"/>
  </rcc>
  <rcc rId="42566" sId="5">
    <oc r="CB83">
      <f>CA83-BR83</f>
    </oc>
    <nc r="CB83"/>
  </rcc>
  <rcc rId="42567" sId="5">
    <oc r="CB84">
      <f>CA84-BR84</f>
    </oc>
    <nc r="CB84"/>
  </rcc>
  <rcc rId="42568" sId="5">
    <oc r="CB85">
      <f>CA85-BR85</f>
    </oc>
    <nc r="CB85"/>
  </rcc>
  <rcc rId="42569" sId="5">
    <oc r="CB86">
      <f>CA86-BR86</f>
    </oc>
    <nc r="CB86"/>
  </rcc>
  <rcc rId="42570" sId="5">
    <oc r="CB87">
      <f>CA87-BR87</f>
    </oc>
    <nc r="CB87"/>
  </rcc>
  <rcc rId="42571" sId="5">
    <oc r="CB88">
      <f>CA88-BR88</f>
    </oc>
    <nc r="CB88"/>
  </rcc>
  <rcc rId="42572" sId="5">
    <oc r="CB89">
      <f>CA89-BR89</f>
    </oc>
    <nc r="CB89"/>
  </rcc>
  <rcc rId="42573" sId="5">
    <oc r="CB90">
      <f>CA90-BR90</f>
    </oc>
    <nc r="CB90"/>
  </rcc>
  <rcc rId="42574" sId="5">
    <oc r="CB91">
      <f>CA91-BR91</f>
    </oc>
    <nc r="CB91"/>
  </rcc>
  <rcc rId="42575" sId="5">
    <oc r="CB92">
      <f>CA92-BR92</f>
    </oc>
    <nc r="CB92"/>
  </rcc>
  <rcc rId="42576" sId="5">
    <oc r="CB93">
      <f>CA93-BR93</f>
    </oc>
    <nc r="CB93"/>
  </rcc>
  <rcc rId="42577" sId="5">
    <oc r="CB94">
      <f>CA94-BR94</f>
    </oc>
    <nc r="CB94"/>
  </rcc>
  <rcc rId="42578" sId="5">
    <oc r="CB95">
      <f>CA95-BR95</f>
    </oc>
    <nc r="CB95"/>
  </rcc>
  <rcc rId="42579" sId="5">
    <oc r="CB96">
      <f>CA96-BR96</f>
    </oc>
    <nc r="CB96"/>
  </rcc>
  <rcc rId="42580" sId="5">
    <oc r="CB97">
      <f>CA97-BR97</f>
    </oc>
    <nc r="CB97"/>
  </rcc>
  <rcc rId="42581" sId="5">
    <oc r="CB98">
      <f>CA98-BR98</f>
    </oc>
    <nc r="CB98"/>
  </rcc>
  <rcc rId="42582" sId="5">
    <oc r="CB99">
      <f>CA99-BR99</f>
    </oc>
    <nc r="CB99"/>
  </rcc>
  <rcc rId="42583" sId="5">
    <oc r="CB100">
      <f>CA100-BR100</f>
    </oc>
    <nc r="CB100"/>
  </rcc>
  <rcc rId="42584" sId="5">
    <oc r="CB101">
      <f>CA101-BR101</f>
    </oc>
    <nc r="CB101"/>
  </rcc>
  <rcc rId="42585" sId="5">
    <oc r="CB102">
      <f>CA102-BR102</f>
    </oc>
    <nc r="CB102"/>
  </rcc>
  <rcc rId="42586" sId="5">
    <oc r="CB103">
      <f>CA103-BR103</f>
    </oc>
    <nc r="CB103"/>
  </rcc>
  <rcc rId="42587" sId="5">
    <oc r="CB104">
      <f>CA104-BR104</f>
    </oc>
    <nc r="CB104"/>
  </rcc>
  <rcc rId="42588" sId="5">
    <oc r="CB105">
      <f>CA105-BR105</f>
    </oc>
    <nc r="CB105"/>
  </rcc>
  <rcc rId="42589" sId="5">
    <oc r="CB106">
      <f>CA106-BR106</f>
    </oc>
    <nc r="CB106"/>
  </rcc>
  <rcc rId="42590" sId="5">
    <oc r="CB107">
      <f>CA107-BR107</f>
    </oc>
    <nc r="CB107"/>
  </rcc>
  <rcc rId="42591" sId="5">
    <oc r="CB108">
      <f>CA108-BR108</f>
    </oc>
    <nc r="CB108"/>
  </rcc>
  <rcc rId="42592" sId="5">
    <oc r="CB109">
      <f>CA109-BR109</f>
    </oc>
    <nc r="CB109"/>
  </rcc>
  <rcc rId="42593" sId="5">
    <oc r="CB110">
      <f>CA110-BR110</f>
    </oc>
    <nc r="CB110"/>
  </rcc>
  <rcc rId="42594" sId="5">
    <oc r="CB111">
      <f>CA111-BR111</f>
    </oc>
    <nc r="CB111"/>
  </rcc>
  <rcc rId="42595" sId="5">
    <oc r="CB112">
      <f>CA112-BR112</f>
    </oc>
    <nc r="CB112"/>
  </rcc>
  <rcc rId="42596" sId="5">
    <oc r="CB113">
      <f>CA113-BR113</f>
    </oc>
    <nc r="CB113"/>
  </rcc>
  <rcc rId="42597" sId="5">
    <oc r="CB114">
      <f>CA114-BR114</f>
    </oc>
    <nc r="CB114"/>
  </rcc>
  <rcc rId="42598" sId="5">
    <oc r="CB115">
      <f>CA115-BR115</f>
    </oc>
    <nc r="CB115"/>
  </rcc>
  <rcc rId="42599" sId="5">
    <oc r="CB116">
      <f>CA116-BR116</f>
    </oc>
    <nc r="CB116"/>
  </rcc>
  <rcc rId="42600" sId="5">
    <oc r="CB117">
      <f>CA117-BR117</f>
    </oc>
    <nc r="CB117"/>
  </rcc>
  <rcc rId="42601" sId="5">
    <oc r="CB118">
      <f>CA118-BR118</f>
    </oc>
    <nc r="CB118"/>
  </rcc>
  <rcc rId="42602" sId="5">
    <oc r="CB119">
      <f>CA119-BR119</f>
    </oc>
    <nc r="CB119"/>
  </rcc>
  <rcc rId="42603" sId="5">
    <oc r="CB120">
      <f>CA120-BR120</f>
    </oc>
    <nc r="CB120"/>
  </rcc>
  <rcc rId="42604" sId="5">
    <oc r="CB121">
      <f>CA121-BR121</f>
    </oc>
    <nc r="CB121"/>
  </rcc>
  <rcc rId="42605" sId="5">
    <oc r="CB122">
      <f>CA122-BR122</f>
    </oc>
    <nc r="CB122"/>
  </rcc>
  <rcc rId="42606" sId="5">
    <oc r="CB123">
      <f>CA123-BR123</f>
    </oc>
    <nc r="CB123"/>
  </rcc>
  <rcc rId="42607" sId="5">
    <oc r="CB125">
      <f>CA125-BR125</f>
    </oc>
    <nc r="CB125"/>
  </rcc>
  <rcc rId="42608" sId="5">
    <oc r="CB124">
      <f>CA124-BR124</f>
    </oc>
    <nc r="CB124"/>
  </rcc>
  <rcc rId="42609" sId="5">
    <oc r="CB126">
      <f>CA126-BR126</f>
    </oc>
    <nc r="CB126"/>
  </rcc>
  <rcc rId="42610" sId="5">
    <oc r="CB127">
      <f>CA127-BR127</f>
    </oc>
    <nc r="CB127"/>
  </rcc>
  <rcc rId="42611" sId="5">
    <oc r="CB128">
      <f>CA128-BR128</f>
    </oc>
    <nc r="CB128"/>
  </rcc>
  <rcc rId="42612" sId="5">
    <oc r="CB129">
      <f>CA129-BR129</f>
    </oc>
    <nc r="CB129"/>
  </rcc>
  <rcc rId="42613" sId="5">
    <oc r="CB130">
      <f>CA130-BR130</f>
    </oc>
    <nc r="CB130"/>
  </rcc>
  <rcc rId="42614" sId="5">
    <oc r="CB131">
      <f>CA131-BR131</f>
    </oc>
    <nc r="CB131"/>
  </rcc>
  <rcc rId="42615" sId="5">
    <oc r="CB132">
      <f>CA132-BR132</f>
    </oc>
    <nc r="CB132"/>
  </rcc>
  <rcc rId="42616" sId="5">
    <oc r="CB133">
      <f>CA133-BR133</f>
    </oc>
    <nc r="CB133"/>
  </rcc>
  <rcc rId="42617" sId="5">
    <oc r="CB134">
      <f>CA134-BR134</f>
    </oc>
    <nc r="CB134"/>
  </rcc>
  <rcc rId="42618" sId="5">
    <oc r="CB135">
      <f>CA135-BR135</f>
    </oc>
    <nc r="CB135"/>
  </rcc>
  <rcc rId="42619" sId="5">
    <oc r="CB136">
      <f>CA136-BR136</f>
    </oc>
    <nc r="CB136"/>
  </rcc>
  <rcc rId="42620" sId="5">
    <oc r="CB137">
      <f>CA137-BR137</f>
    </oc>
    <nc r="CB137"/>
  </rcc>
  <rcc rId="42621" sId="5">
    <oc r="CB138">
      <f>CA138-BR138</f>
    </oc>
    <nc r="CB138"/>
  </rcc>
  <rcc rId="42622" sId="5">
    <oc r="CB139">
      <f>CA139-BR139</f>
    </oc>
    <nc r="CB139"/>
  </rcc>
  <rcc rId="42623" sId="5">
    <oc r="CB140">
      <f>CA140-BR140</f>
    </oc>
    <nc r="CB140"/>
  </rcc>
  <rcc rId="42624" sId="5">
    <oc r="CB141">
      <f>CA141-BR141</f>
    </oc>
    <nc r="CB141"/>
  </rcc>
  <rcc rId="42625" sId="5">
    <oc r="CB142">
      <f>CA142-BR142</f>
    </oc>
    <nc r="CB142"/>
  </rcc>
  <rcc rId="42626" sId="5">
    <oc r="CB143">
      <f>CA143-BR143</f>
    </oc>
    <nc r="CB143"/>
  </rcc>
  <rcc rId="42627" sId="5">
    <oc r="CB144">
      <f>CA144-BR144</f>
    </oc>
    <nc r="CB144"/>
  </rcc>
  <rcc rId="42628" sId="5">
    <oc r="CB145">
      <f>CA145-BR145</f>
    </oc>
    <nc r="CB145"/>
  </rcc>
  <rcc rId="42629" sId="5">
    <oc r="CB146">
      <f>CA146-BR146</f>
    </oc>
    <nc r="CB146"/>
  </rcc>
  <rcc rId="42630" sId="5">
    <oc r="CB147">
      <f>CA147-BR147</f>
    </oc>
    <nc r="CB147"/>
  </rcc>
  <rcc rId="42631" sId="5">
    <oc r="CB148">
      <f>CA148-BR148</f>
    </oc>
    <nc r="CB148"/>
  </rcc>
  <rcc rId="42632" sId="5">
    <oc r="CB149">
      <f>CA149-BR149</f>
    </oc>
    <nc r="CB149"/>
  </rcc>
  <rcc rId="42633" sId="5">
    <oc r="CB150">
      <f>CA150-BR150</f>
    </oc>
    <nc r="CB150"/>
  </rcc>
  <rcc rId="42634" sId="5">
    <oc r="CB151">
      <f>CA151-BR151</f>
    </oc>
    <nc r="CB151"/>
  </rcc>
  <rcc rId="42635" sId="5">
    <oc r="CB152">
      <f>CA152-BR152</f>
    </oc>
    <nc r="CB152"/>
  </rcc>
  <rcc rId="42636" sId="5">
    <oc r="CB153">
      <f>CA153-BR153</f>
    </oc>
    <nc r="CB153"/>
  </rcc>
  <rcc rId="42637" sId="5">
    <oc r="CB154">
      <f>CA154-BR154</f>
    </oc>
    <nc r="CB154"/>
  </rcc>
  <rcc rId="42638" sId="5">
    <oc r="CB155">
      <f>CA155-BR155</f>
    </oc>
    <nc r="CB155"/>
  </rcc>
  <rcc rId="42639" sId="5">
    <oc r="CB156">
      <f>CA156-BR156</f>
    </oc>
    <nc r="CB156"/>
  </rcc>
  <rcc rId="42640" sId="5">
    <oc r="CB157">
      <f>CA157-BR157</f>
    </oc>
    <nc r="CB157"/>
  </rcc>
  <rcc rId="42641" sId="5">
    <oc r="CB158">
      <f>CA158-BR158</f>
    </oc>
    <nc r="CB158"/>
  </rcc>
  <rcc rId="42642" sId="5">
    <oc r="CB160">
      <f>CA160-BR160</f>
    </oc>
    <nc r="CB160"/>
  </rcc>
  <rcc rId="42643" sId="5">
    <oc r="CB159">
      <f>CA159-BR159</f>
    </oc>
    <nc r="CB159"/>
  </rcc>
  <rcc rId="42644" sId="5">
    <oc r="CB161">
      <f>CA161-BR161</f>
    </oc>
    <nc r="CB161"/>
  </rcc>
  <rcc rId="42645" sId="5">
    <oc r="CB162">
      <f>CA162-BR162</f>
    </oc>
    <nc r="CB162"/>
  </rcc>
  <rcc rId="42646" sId="5">
    <oc r="CB163">
      <f>CA163-BR163</f>
    </oc>
    <nc r="CB163"/>
  </rcc>
  <rcc rId="42647" sId="5">
    <oc r="CB164">
      <f>CA164-BR164</f>
    </oc>
    <nc r="CB164"/>
  </rcc>
  <rcc rId="42648" sId="5">
    <oc r="CB165">
      <f>CA165-BR165</f>
    </oc>
    <nc r="CB165"/>
  </rcc>
  <rcc rId="42649" sId="5">
    <oc r="CB166">
      <f>CA166-BR166</f>
    </oc>
    <nc r="CB166"/>
  </rcc>
  <rcc rId="42650" sId="5">
    <oc r="CB167">
      <f>CA167-BR167</f>
    </oc>
    <nc r="CB167"/>
  </rcc>
  <rcc rId="42651" sId="5">
    <oc r="CB169">
      <f>CA169-BR169</f>
    </oc>
    <nc r="CB169"/>
  </rcc>
  <rcc rId="42652" sId="5">
    <oc r="CB168">
      <f>CA168-BR168</f>
    </oc>
    <nc r="CB168"/>
  </rcc>
  <rcc rId="42653" sId="5">
    <oc r="CB170">
      <f>CA170-BR170</f>
    </oc>
    <nc r="CB170"/>
  </rcc>
  <rcc rId="42654" sId="5">
    <oc r="CB171">
      <f>CA171-BR171</f>
    </oc>
    <nc r="CB171"/>
  </rcc>
  <rcc rId="42655" sId="5">
    <oc r="CB172">
      <f>CA172-BR172</f>
    </oc>
    <nc r="CB172"/>
  </rcc>
  <rcc rId="42656" sId="5">
    <oc r="CB173">
      <f>CA173-BR173</f>
    </oc>
    <nc r="CB173"/>
  </rcc>
  <rcc rId="42657" sId="5">
    <oc r="CB174">
      <f>CA174-BR174</f>
    </oc>
    <nc r="CB174"/>
  </rcc>
  <rcc rId="42658" sId="5">
    <oc r="CB175">
      <f>CA175-BR175</f>
    </oc>
    <nc r="CB175"/>
  </rcc>
  <rcc rId="42659" sId="5">
    <oc r="CB176">
      <f>CA176-BR176</f>
    </oc>
    <nc r="CB176"/>
  </rcc>
  <rcc rId="42660" sId="5">
    <oc r="CB177">
      <f>CA177-BR177</f>
    </oc>
    <nc r="CB177"/>
  </rcc>
  <rcc rId="42661" sId="5">
    <oc r="CB178">
      <f>CA178-BR178</f>
    </oc>
    <nc r="CB178"/>
  </rcc>
  <rcc rId="42662" sId="5">
    <oc r="CB179">
      <f>CA179-BR179</f>
    </oc>
    <nc r="CB179"/>
  </rcc>
  <rcc rId="42663" sId="5">
    <oc r="CB180">
      <f>CA180-BR180</f>
    </oc>
    <nc r="CB180"/>
  </rcc>
  <rcc rId="42664" sId="5">
    <oc r="CB181">
      <f>CA181-BR181</f>
    </oc>
    <nc r="CB181"/>
  </rcc>
  <rcc rId="42665" sId="5">
    <oc r="CB182">
      <f>CA182-BR182</f>
    </oc>
    <nc r="CB182"/>
  </rcc>
  <rcc rId="42666" sId="5">
    <oc r="CB183">
      <f>CA183-BR183</f>
    </oc>
    <nc r="CB183"/>
  </rcc>
  <rcc rId="42667" sId="5">
    <oc r="CB184">
      <f>CA184-BR184</f>
    </oc>
    <nc r="CB184"/>
  </rcc>
  <rcc rId="42668" sId="5">
    <oc r="CB185">
      <f>CA185-BR185</f>
    </oc>
    <nc r="CB185"/>
  </rcc>
  <rcc rId="42669" sId="5">
    <oc r="CB186">
      <f>CA186-BR186</f>
    </oc>
    <nc r="CB186"/>
  </rcc>
  <rcc rId="42670" sId="5">
    <oc r="CB187">
      <f>CA187-BR187</f>
    </oc>
    <nc r="CB187"/>
  </rcc>
  <rcc rId="42671" sId="5">
    <oc r="CB188">
      <f>CA188-BR188</f>
    </oc>
    <nc r="CB188"/>
  </rcc>
  <rcc rId="42672" sId="5">
    <oc r="CB189">
      <f>CA189-BR189</f>
    </oc>
    <nc r="CB189"/>
  </rcc>
  <rcc rId="42673" sId="5">
    <oc r="CB190">
      <f>CA190-BR190</f>
    </oc>
    <nc r="CB190"/>
  </rcc>
  <rcc rId="42674" sId="5">
    <oc r="CB191">
      <f>CA191-BR191</f>
    </oc>
    <nc r="CB191"/>
  </rcc>
  <rcc rId="42675" sId="5">
    <oc r="CB193">
      <f>CA193-BR193</f>
    </oc>
    <nc r="CB193"/>
  </rcc>
  <rcc rId="42676" sId="5">
    <oc r="CB192">
      <f>CA192-BR192</f>
    </oc>
    <nc r="CB192"/>
  </rcc>
  <rcc rId="42677" sId="5">
    <oc r="CB194">
      <f>CA194-BR194</f>
    </oc>
    <nc r="CB194"/>
  </rcc>
  <rcc rId="42678" sId="5">
    <oc r="CB195">
      <f>CA195-BR195</f>
    </oc>
    <nc r="CB195"/>
  </rcc>
  <rcc rId="42679" sId="5">
    <oc r="CB196">
      <f>CA196-BR196</f>
    </oc>
    <nc r="CB196"/>
  </rcc>
  <rcc rId="42680" sId="5">
    <oc r="CB197">
      <f>CA197-BR197</f>
    </oc>
    <nc r="CB197"/>
  </rcc>
  <rcc rId="42681" sId="5">
    <oc r="CB198">
      <f>CA198-BR198</f>
    </oc>
    <nc r="CB198"/>
  </rcc>
  <rcc rId="42682" sId="5">
    <oc r="CB199">
      <f>CA199-BR199</f>
    </oc>
    <nc r="CB199"/>
  </rcc>
  <rcc rId="42683" sId="5">
    <oc r="CB200">
      <f>CA200-BR200</f>
    </oc>
    <nc r="CB200"/>
  </rcc>
  <rcc rId="42684" sId="5">
    <oc r="CB201">
      <f>CA201-BR201</f>
    </oc>
    <nc r="CB201"/>
  </rcc>
  <rcc rId="42685" sId="5">
    <oc r="CB202">
      <f>CA202-BR202</f>
    </oc>
    <nc r="CB202"/>
  </rcc>
  <rcc rId="42686" sId="5">
    <oc r="CB203">
      <f>CA203-BR203</f>
    </oc>
    <nc r="CB203"/>
  </rcc>
  <rcc rId="42687" sId="5">
    <oc r="CB204">
      <f>CA204-BR204</f>
    </oc>
    <nc r="CB204"/>
  </rcc>
  <rcc rId="42688" sId="5">
    <oc r="CB205">
      <f>CA205-BR205</f>
    </oc>
    <nc r="CB205"/>
  </rcc>
  <rcc rId="42689" sId="5">
    <oc r="CB207">
      <f>CA207-BR207</f>
    </oc>
    <nc r="CB207"/>
  </rcc>
  <rcc rId="42690" sId="5">
    <oc r="CB206">
      <f>CA206-BR206</f>
    </oc>
    <nc r="CB206"/>
  </rcc>
  <rcc rId="42691" sId="5">
    <oc r="CB208">
      <f>CA208-BR208</f>
    </oc>
    <nc r="CB208"/>
  </rcc>
  <rcc rId="42692" sId="5">
    <oc r="CB210">
      <f>CA210-BR210</f>
    </oc>
    <nc r="CB210"/>
  </rcc>
  <rcc rId="42693" sId="5">
    <oc r="CB209">
      <f>CA209-BR209</f>
    </oc>
    <nc r="CB209"/>
  </rcc>
  <rcc rId="42694" sId="5">
    <oc r="CB211">
      <f>CA211-BR211</f>
    </oc>
    <nc r="CB211"/>
  </rcc>
  <rcc rId="42695" sId="5">
    <oc r="CB213">
      <f>CA213-BR213</f>
    </oc>
    <nc r="CB213"/>
  </rcc>
  <rcc rId="42696" sId="5">
    <oc r="CB212">
      <f>CA212-BR212</f>
    </oc>
    <nc r="CB212"/>
  </rcc>
  <rcc rId="42697" sId="5">
    <oc r="CB215">
      <f>CA215-BR215</f>
    </oc>
    <nc r="CB215"/>
  </rcc>
  <rcc rId="42698" sId="5">
    <oc r="CB214">
      <f>CA214-BR214</f>
    </oc>
    <nc r="CB214"/>
  </rcc>
  <rcc rId="42699" sId="5">
    <oc r="CB216">
      <f>CA216-BR216</f>
    </oc>
    <nc r="CB216"/>
  </rcc>
  <rcc rId="42700" sId="5">
    <oc r="CB217">
      <f>CA217-BR217</f>
    </oc>
    <nc r="CB217"/>
  </rcc>
  <rcc rId="42701" sId="5">
    <oc r="CB218">
      <f>CA218-BR218</f>
    </oc>
    <nc r="CB218"/>
  </rcc>
  <rcc rId="42702" sId="5">
    <oc r="CB219">
      <f>CA219-BR219</f>
    </oc>
    <nc r="CB219"/>
  </rcc>
  <rcc rId="42703" sId="5">
    <oc r="CB220">
      <f>CA220-BR220</f>
    </oc>
    <nc r="CB220"/>
  </rcc>
  <rcc rId="42704" sId="5">
    <oc r="CB221">
      <f>CA221-BR221</f>
    </oc>
    <nc r="CB221"/>
  </rcc>
  <rcc rId="42705" sId="5">
    <oc r="CB222">
      <f>CA222-BR222</f>
    </oc>
    <nc r="CB222"/>
  </rcc>
  <rcc rId="42706" sId="5">
    <oc r="CB223">
      <f>CA223-BR223</f>
    </oc>
    <nc r="CB223"/>
  </rcc>
  <rcc rId="42707" sId="5">
    <oc r="CB224">
      <f>CA224-BR224</f>
    </oc>
    <nc r="CB224"/>
  </rcc>
  <rcc rId="42708" sId="5">
    <oc r="CB225">
      <f>CA225-BR225</f>
    </oc>
    <nc r="CB225"/>
  </rcc>
  <rcc rId="42709" sId="5">
    <oc r="CB226">
      <f>CA226-BR226</f>
    </oc>
    <nc r="CB226"/>
  </rcc>
  <rcc rId="42710" sId="5">
    <oc r="CB227">
      <f>CA227-BR227</f>
    </oc>
    <nc r="CB227"/>
  </rcc>
  <rcc rId="42711" sId="5">
    <oc r="CB243">
      <f>CA243-BR243</f>
    </oc>
    <nc r="CB243"/>
  </rcc>
  <rcc rId="42712" sId="5">
    <oc r="CB244">
      <f>CA244-BR244</f>
    </oc>
    <nc r="CB244"/>
  </rcc>
  <rm rId="42713" sheetId="5" source="CA1:CA1048576" destination="BW1:BW1048576" sourceSheetId="5">
    <rfmt sheetId="5" xfDxf="1" sqref="BW1:BW1048576" start="0" length="0">
      <dxf>
        <font/>
      </dxf>
    </rfmt>
    <rfmt sheetId="5" sqref="BW4" start="0" length="0">
      <dxf>
        <fill>
          <patternFill patternType="solid">
            <bgColor theme="3" tint="0.59999389629810485"/>
          </patternFill>
        </fill>
        <border outline="0">
          <bottom style="medium">
            <color indexed="64"/>
          </bottom>
        </border>
      </dxf>
    </rfmt>
    <rcc rId="0" sId="5" dxf="1">
      <nc r="BW5" t="inlineStr">
        <is>
          <t>%</t>
        </is>
      </nc>
      <ndxf>
        <font>
          <b/>
        </font>
        <fill>
          <patternFill patternType="solid">
            <bgColor theme="3" tint="0.59999389629810485"/>
          </patternFill>
        </fill>
        <alignment horizontal="center" vertical="top" readingOrder="0"/>
        <border outline="0">
          <top style="medium">
            <color indexed="64"/>
          </top>
          <bottom style="medium">
            <color indexed="64"/>
          </bottom>
        </border>
      </ndxf>
    </rcc>
    <rfmt sheetId="5" sqref="BW6" start="0" length="0">
      <dxf>
        <fill>
          <patternFill patternType="solid">
            <bgColor theme="0" tint="-0.249977111117893"/>
          </patternFill>
        </fill>
      </dxf>
    </rfmt>
    <rcc rId="0" sId="5" dxf="1">
      <nc r="BW7">
        <f>BV7/BL7</f>
      </nc>
      <ndxf>
        <numFmt numFmtId="14" formatCode="0.00%"/>
      </ndxf>
    </rcc>
    <rcc rId="0" sId="5" dxf="1">
      <nc r="BW8">
        <f>BV8/BL8</f>
      </nc>
      <ndxf>
        <numFmt numFmtId="14" formatCode="0.00%"/>
      </ndxf>
    </rcc>
    <rcc rId="0" sId="5" dxf="1">
      <nc r="BW9">
        <f>BV9/BL9</f>
      </nc>
      <ndxf>
        <numFmt numFmtId="14" formatCode="0.00%"/>
      </ndxf>
    </rcc>
    <rcc rId="0" sId="5" dxf="1">
      <nc r="BW10">
        <f>BV10/BL10</f>
      </nc>
      <ndxf>
        <numFmt numFmtId="14" formatCode="0.00%"/>
      </ndxf>
    </rcc>
    <rcc rId="0" sId="5" dxf="1">
      <nc r="BW11">
        <f>BV11/BL11</f>
      </nc>
      <ndxf>
        <numFmt numFmtId="14" formatCode="0.00%"/>
      </ndxf>
    </rcc>
    <rcc rId="0" sId="5" dxf="1">
      <nc r="BW12">
        <f>BV12/BL12</f>
      </nc>
      <ndxf>
        <numFmt numFmtId="14" formatCode="0.00%"/>
      </ndxf>
    </rcc>
    <rcc rId="0" sId="5" dxf="1">
      <nc r="BW13">
        <f>BV13/BL13</f>
      </nc>
      <ndxf>
        <numFmt numFmtId="14" formatCode="0.00%"/>
      </ndxf>
    </rcc>
    <rcc rId="0" sId="5" dxf="1">
      <nc r="BW14">
        <f>BV14/BL14</f>
      </nc>
      <ndxf>
        <numFmt numFmtId="14" formatCode="0.00%"/>
      </ndxf>
    </rcc>
    <rcc rId="0" sId="5" dxf="1">
      <nc r="BW15">
        <f>BV15/BL15</f>
      </nc>
      <ndxf>
        <numFmt numFmtId="14" formatCode="0.00%"/>
      </ndxf>
    </rcc>
    <rcc rId="0" sId="5" dxf="1">
      <nc r="BW16">
        <f>BV16/BL16</f>
      </nc>
      <ndxf>
        <numFmt numFmtId="14" formatCode="0.00%"/>
      </ndxf>
    </rcc>
    <rcc rId="0" sId="5" dxf="1">
      <nc r="BW17">
        <f>BV17/BL17</f>
      </nc>
      <ndxf>
        <numFmt numFmtId="14" formatCode="0.00%"/>
      </ndxf>
    </rcc>
    <rcc rId="0" sId="5" dxf="1">
      <nc r="BW18">
        <f>BV18/BL18</f>
      </nc>
      <ndxf>
        <numFmt numFmtId="14" formatCode="0.00%"/>
      </ndxf>
    </rcc>
    <rcc rId="0" sId="5" dxf="1">
      <nc r="BW19">
        <f>BV19/BL19</f>
      </nc>
      <ndxf>
        <numFmt numFmtId="14" formatCode="0.00%"/>
      </ndxf>
    </rcc>
    <rcc rId="0" sId="5" dxf="1">
      <nc r="BW20">
        <f>BV20/BL20</f>
      </nc>
      <ndxf>
        <numFmt numFmtId="14" formatCode="0.00%"/>
      </ndxf>
    </rcc>
    <rcc rId="0" sId="5" dxf="1">
      <nc r="BW21">
        <f>BV21/BL21</f>
      </nc>
      <ndxf>
        <numFmt numFmtId="14" formatCode="0.00%"/>
      </ndxf>
    </rcc>
    <rcc rId="0" sId="5" dxf="1">
      <nc r="BW22">
        <f>BV22/BL22</f>
      </nc>
      <ndxf>
        <numFmt numFmtId="14" formatCode="0.00%"/>
      </ndxf>
    </rcc>
    <rcc rId="0" sId="5" dxf="1">
      <nc r="BW23">
        <f>BV23/BL23</f>
      </nc>
      <ndxf>
        <numFmt numFmtId="14" formatCode="0.00%"/>
      </ndxf>
    </rcc>
    <rcc rId="0" sId="5" dxf="1">
      <nc r="BW24">
        <f>BV24/BL24</f>
      </nc>
      <ndxf>
        <numFmt numFmtId="14" formatCode="0.00%"/>
      </ndxf>
    </rcc>
    <rcc rId="0" sId="5" dxf="1">
      <nc r="BW25">
        <f>BV25/BL25</f>
      </nc>
      <ndxf>
        <numFmt numFmtId="14" formatCode="0.00%"/>
      </ndxf>
    </rcc>
    <rcc rId="0" sId="5" dxf="1">
      <nc r="BW26">
        <f>BV26/BL26</f>
      </nc>
      <ndxf>
        <numFmt numFmtId="14" formatCode="0.00%"/>
      </ndxf>
    </rcc>
    <rcc rId="0" sId="5" dxf="1">
      <nc r="BW27">
        <f>BV27/BL27</f>
      </nc>
      <ndxf>
        <numFmt numFmtId="14" formatCode="0.00%"/>
      </ndxf>
    </rcc>
    <rcc rId="0" sId="5" dxf="1">
      <nc r="BW28">
        <f>BV28/BL28</f>
      </nc>
      <ndxf>
        <numFmt numFmtId="14" formatCode="0.00%"/>
      </ndxf>
    </rcc>
    <rcc rId="0" sId="5" dxf="1">
      <nc r="BW29">
        <f>BV29/BL29</f>
      </nc>
      <ndxf>
        <numFmt numFmtId="14" formatCode="0.00%"/>
      </ndxf>
    </rcc>
    <rcc rId="0" sId="5" dxf="1">
      <nc r="BW30">
        <f>BV30/BL30</f>
      </nc>
      <ndxf>
        <numFmt numFmtId="14" formatCode="0.00%"/>
      </ndxf>
    </rcc>
    <rcc rId="0" sId="5" dxf="1">
      <nc r="BW31">
        <f>BV31/BL31</f>
      </nc>
      <ndxf>
        <numFmt numFmtId="14" formatCode="0.00%"/>
      </ndxf>
    </rcc>
    <rcc rId="0" sId="5" dxf="1">
      <nc r="BW32">
        <f>BV32/BL32</f>
      </nc>
      <ndxf>
        <numFmt numFmtId="14" formatCode="0.00%"/>
      </ndxf>
    </rcc>
    <rcc rId="0" sId="5" dxf="1">
      <nc r="BW33">
        <f>BV33/BL33</f>
      </nc>
      <ndxf>
        <numFmt numFmtId="14" formatCode="0.00%"/>
      </ndxf>
    </rcc>
    <rcc rId="0" sId="5" dxf="1">
      <nc r="BW34">
        <f>BV34/BL34</f>
      </nc>
      <ndxf>
        <numFmt numFmtId="14" formatCode="0.00%"/>
      </ndxf>
    </rcc>
    <rcc rId="0" sId="5" dxf="1">
      <nc r="BW35">
        <f>BV35/BL35</f>
      </nc>
      <ndxf>
        <numFmt numFmtId="14" formatCode="0.00%"/>
      </ndxf>
    </rcc>
    <rcc rId="0" sId="5" dxf="1">
      <nc r="BW36">
        <f>BV36/BL36</f>
      </nc>
      <ndxf>
        <numFmt numFmtId="14" formatCode="0.00%"/>
      </ndxf>
    </rcc>
    <rcc rId="0" sId="5" dxf="1">
      <nc r="BW37">
        <f>BV37/BL37</f>
      </nc>
      <ndxf>
        <numFmt numFmtId="14" formatCode="0.00%"/>
      </ndxf>
    </rcc>
    <rcc rId="0" sId="5" dxf="1">
      <nc r="BW38">
        <f>BV38/BL38</f>
      </nc>
      <ndxf>
        <numFmt numFmtId="14" formatCode="0.00%"/>
      </ndxf>
    </rcc>
    <rfmt sheetId="5" sqref="BW39" start="0" length="0">
      <dxf>
        <numFmt numFmtId="14" formatCode="0.00%"/>
      </dxf>
    </rfmt>
    <rcc rId="0" sId="5" dxf="1">
      <nc r="BW40">
        <f>BV40/BL40</f>
      </nc>
      <ndxf>
        <numFmt numFmtId="14" formatCode="0.00%"/>
        <border outline="0">
          <bottom style="medium">
            <color indexed="64"/>
          </bottom>
        </border>
      </ndxf>
    </rcc>
    <rcc rId="0" sId="5" dxf="1">
      <nc r="BW41">
        <f>BV41/BL41</f>
      </nc>
      <ndxf>
        <font>
          <b/>
        </font>
        <numFmt numFmtId="14" formatCode="0.00%"/>
      </ndxf>
    </rcc>
    <rfmt sheetId="5" sqref="BW42" start="0" length="0">
      <dxf>
        <font/>
        <numFmt numFmtId="14" formatCode="0.00%"/>
      </dxf>
    </rfmt>
    <rfmt sheetId="5" sqref="BW43" start="0" length="0">
      <dxf>
        <font/>
        <numFmt numFmtId="14" formatCode="0.00%"/>
      </dxf>
    </rfmt>
    <rfmt sheetId="5" sqref="BW44" start="0" length="0">
      <dxf>
        <font/>
        <numFmt numFmtId="14" formatCode="0.00%"/>
      </dxf>
    </rfmt>
    <rfmt sheetId="5" sqref="BW45" start="0" length="0">
      <dxf>
        <font/>
        <numFmt numFmtId="14" formatCode="0.00%"/>
      </dxf>
    </rfmt>
    <rfmt sheetId="5" sqref="BW46" start="0" length="0">
      <dxf>
        <font/>
        <numFmt numFmtId="14" formatCode="0.00%"/>
      </dxf>
    </rfmt>
    <rfmt sheetId="5" sqref="BW47" start="0" length="0">
      <dxf>
        <font/>
        <numFmt numFmtId="14" formatCode="0.00%"/>
      </dxf>
    </rfmt>
    <rfmt sheetId="5" sqref="BW48" start="0" length="0">
      <dxf>
        <numFmt numFmtId="14" formatCode="0.00%"/>
      </dxf>
    </rfmt>
    <rfmt sheetId="5" sqref="BW49" start="0" length="0">
      <dxf>
        <numFmt numFmtId="14" formatCode="0.00%"/>
      </dxf>
    </rfmt>
    <rfmt sheetId="5" sqref="BW50" start="0" length="0">
      <dxf>
        <numFmt numFmtId="14" formatCode="0.00%"/>
        <fill>
          <patternFill patternType="solid">
            <bgColor theme="0" tint="-0.249977111117893"/>
          </patternFill>
        </fill>
      </dxf>
    </rfmt>
    <rcc rId="0" sId="5" dxf="1">
      <nc r="BW51">
        <f>BV51/BL51</f>
      </nc>
      <ndxf>
        <numFmt numFmtId="14" formatCode="0.00%"/>
      </ndxf>
    </rcc>
    <rcc rId="0" sId="5" dxf="1">
      <nc r="BW52">
        <f>BV52/BL52</f>
      </nc>
      <ndxf>
        <numFmt numFmtId="14" formatCode="0.00%"/>
      </ndxf>
    </rcc>
    <rcc rId="0" sId="5" dxf="1">
      <nc r="BW53">
        <f>BV53/BL53</f>
      </nc>
      <ndxf>
        <numFmt numFmtId="14" formatCode="0.00%"/>
      </ndxf>
    </rcc>
    <rcc rId="0" sId="5" dxf="1">
      <nc r="BW54">
        <f>BV54/BL54</f>
      </nc>
      <ndxf>
        <numFmt numFmtId="14" formatCode="0.00%"/>
      </ndxf>
    </rcc>
    <rcc rId="0" sId="5" dxf="1">
      <nc r="BW55">
        <f>BV55/BL55</f>
      </nc>
      <ndxf>
        <numFmt numFmtId="14" formatCode="0.00%"/>
      </ndxf>
    </rcc>
    <rcc rId="0" sId="5" dxf="1">
      <nc r="BW56">
        <f>BV56/BL56</f>
      </nc>
      <ndxf>
        <numFmt numFmtId="14" formatCode="0.00%"/>
      </ndxf>
    </rcc>
    <rcc rId="0" sId="5" dxf="1">
      <nc r="BW57">
        <f>BV57/BL57</f>
      </nc>
      <ndxf>
        <numFmt numFmtId="14" formatCode="0.00%"/>
      </ndxf>
    </rcc>
    <rcc rId="0" sId="5" dxf="1">
      <nc r="BW58">
        <f>BV58/BL58</f>
      </nc>
      <ndxf>
        <numFmt numFmtId="14" formatCode="0.00%"/>
      </ndxf>
    </rcc>
    <rcc rId="0" sId="5" dxf="1">
      <nc r="BW59">
        <f>BV59/BL59</f>
      </nc>
      <ndxf>
        <numFmt numFmtId="14" formatCode="0.00%"/>
      </ndxf>
    </rcc>
    <rcc rId="0" sId="5" dxf="1">
      <nc r="BW60">
        <f>BV60/BL60</f>
      </nc>
      <ndxf>
        <numFmt numFmtId="14" formatCode="0.00%"/>
      </ndxf>
    </rcc>
    <rcc rId="0" sId="5" dxf="1">
      <nc r="BW61">
        <f>BV61/BL61</f>
      </nc>
      <ndxf>
        <numFmt numFmtId="14" formatCode="0.00%"/>
      </ndxf>
    </rcc>
    <rcc rId="0" sId="5" dxf="1">
      <nc r="BW62">
        <f>BV62/BL62</f>
      </nc>
      <ndxf>
        <numFmt numFmtId="14" formatCode="0.00%"/>
      </ndxf>
    </rcc>
    <rcc rId="0" sId="5" dxf="1">
      <nc r="BW63">
        <f>BV63/BL63</f>
      </nc>
      <ndxf>
        <numFmt numFmtId="14" formatCode="0.00%"/>
      </ndxf>
    </rcc>
    <rcc rId="0" sId="5" dxf="1">
      <nc r="BW64">
        <f>BV64/BL64</f>
      </nc>
      <ndxf>
        <numFmt numFmtId="14" formatCode="0.00%"/>
      </ndxf>
    </rcc>
    <rcc rId="0" sId="5" dxf="1">
      <nc r="BW65">
        <f>BV65/BL65</f>
      </nc>
      <ndxf>
        <numFmt numFmtId="14" formatCode="0.00%"/>
      </ndxf>
    </rcc>
    <rcc rId="0" sId="5" dxf="1">
      <nc r="BW66">
        <f>BV66/BL66</f>
      </nc>
      <ndxf>
        <numFmt numFmtId="14" formatCode="0.00%"/>
      </ndxf>
    </rcc>
    <rcc rId="0" sId="5" dxf="1">
      <nc r="BW67">
        <f>BV67/BL67</f>
      </nc>
      <ndxf>
        <numFmt numFmtId="14" formatCode="0.00%"/>
      </ndxf>
    </rcc>
    <rcc rId="0" sId="5" dxf="1">
      <nc r="BW68">
        <f>BV68/BL68</f>
      </nc>
      <ndxf>
        <numFmt numFmtId="14" formatCode="0.00%"/>
      </ndxf>
    </rcc>
    <rcc rId="0" sId="5" dxf="1">
      <nc r="BW69">
        <f>BV69/BL69</f>
      </nc>
      <ndxf>
        <numFmt numFmtId="14" formatCode="0.00%"/>
      </ndxf>
    </rcc>
    <rcc rId="0" sId="5" dxf="1">
      <nc r="BW70">
        <f>BV70/BL70</f>
      </nc>
      <ndxf>
        <numFmt numFmtId="14" formatCode="0.00%"/>
      </ndxf>
    </rcc>
    <rcc rId="0" sId="5" dxf="1">
      <nc r="BW71">
        <f>BV71/BL71</f>
      </nc>
      <ndxf>
        <numFmt numFmtId="14" formatCode="0.00%"/>
      </ndxf>
    </rcc>
    <rcc rId="0" sId="5" dxf="1">
      <nc r="BW72">
        <f>BV72/BL72</f>
      </nc>
      <ndxf>
        <numFmt numFmtId="14" formatCode="0.00%"/>
      </ndxf>
    </rcc>
    <rcc rId="0" sId="5" dxf="1">
      <nc r="BW73">
        <f>BV73/BL73</f>
      </nc>
      <ndxf>
        <numFmt numFmtId="14" formatCode="0.00%"/>
        <border outline="0">
          <bottom style="medium">
            <color indexed="64"/>
          </bottom>
        </border>
      </ndxf>
    </rcc>
    <rcc rId="0" sId="5" dxf="1">
      <nc r="BW74">
        <f>BV74/BL74</f>
      </nc>
      <ndxf>
        <font>
          <b/>
        </font>
        <numFmt numFmtId="14" formatCode="0.00%"/>
      </ndxf>
    </rcc>
    <rfmt sheetId="5" sqref="BW75" start="0" length="0">
      <dxf>
        <font/>
        <numFmt numFmtId="14" formatCode="0.00%"/>
      </dxf>
    </rfmt>
    <rfmt sheetId="5" sqref="BW76" start="0" length="0">
      <dxf>
        <font/>
        <numFmt numFmtId="14" formatCode="0.00%"/>
      </dxf>
    </rfmt>
    <rfmt sheetId="5" sqref="BW77" start="0" length="0">
      <dxf>
        <font/>
        <numFmt numFmtId="14" formatCode="0.00%"/>
      </dxf>
    </rfmt>
    <rfmt sheetId="5" sqref="BW78" start="0" length="0">
      <dxf>
        <font/>
        <numFmt numFmtId="14" formatCode="0.00%"/>
      </dxf>
    </rfmt>
    <rfmt sheetId="5" sqref="BW79" start="0" length="0">
      <dxf>
        <font/>
        <numFmt numFmtId="14" formatCode="0.00%"/>
      </dxf>
    </rfmt>
    <rfmt sheetId="5" sqref="BW80" start="0" length="0">
      <dxf>
        <font/>
        <numFmt numFmtId="14" formatCode="0.00%"/>
      </dxf>
    </rfmt>
    <rfmt sheetId="5" sqref="BW81" start="0" length="0">
      <dxf>
        <font/>
        <numFmt numFmtId="14" formatCode="0.00%"/>
      </dxf>
    </rfmt>
    <rfmt sheetId="5" sqref="BW82" start="0" length="0">
      <dxf>
        <font/>
        <numFmt numFmtId="14" formatCode="0.00%"/>
      </dxf>
    </rfmt>
    <rfmt sheetId="5" sqref="BW83" start="0" length="0">
      <dxf>
        <numFmt numFmtId="14" formatCode="0.00%"/>
      </dxf>
    </rfmt>
    <rfmt sheetId="5" sqref="BW84" start="0" length="0">
      <dxf>
        <numFmt numFmtId="14" formatCode="0.00%"/>
        <fill>
          <patternFill patternType="solid">
            <bgColor theme="0" tint="-0.249977111117893"/>
          </patternFill>
        </fill>
      </dxf>
    </rfmt>
    <rcc rId="0" sId="5" dxf="1">
      <nc r="BW85">
        <f>BV85/BL85</f>
      </nc>
      <ndxf>
        <numFmt numFmtId="14" formatCode="0.00%"/>
      </ndxf>
    </rcc>
    <rcc rId="0" sId="5" dxf="1">
      <nc r="BW86">
        <f>BV86/BL86</f>
      </nc>
      <ndxf>
        <numFmt numFmtId="14" formatCode="0.00%"/>
      </ndxf>
    </rcc>
    <rcc rId="0" sId="5" dxf="1">
      <nc r="BW87">
        <f>BV87/BL87</f>
      </nc>
      <ndxf>
        <numFmt numFmtId="14" formatCode="0.00%"/>
      </ndxf>
    </rcc>
    <rcc rId="0" sId="5" dxf="1">
      <nc r="BW88">
        <f>BV88/BL88</f>
      </nc>
      <ndxf>
        <numFmt numFmtId="14" formatCode="0.00%"/>
      </ndxf>
    </rcc>
    <rcc rId="0" sId="5" dxf="1">
      <nc r="BW89">
        <f>BV89/BL89</f>
      </nc>
      <ndxf>
        <numFmt numFmtId="14" formatCode="0.00%"/>
      </ndxf>
    </rcc>
    <rcc rId="0" sId="5" dxf="1">
      <nc r="BW90">
        <f>BV90/BL90</f>
      </nc>
      <ndxf>
        <numFmt numFmtId="14" formatCode="0.00%"/>
      </ndxf>
    </rcc>
    <rcc rId="0" sId="5" dxf="1">
      <nc r="BW91">
        <f>BV91/BL91</f>
      </nc>
      <ndxf>
        <numFmt numFmtId="14" formatCode="0.00%"/>
      </ndxf>
    </rcc>
    <rcc rId="0" sId="5" dxf="1">
      <nc r="BW92">
        <f>BV92/BL92</f>
      </nc>
      <ndxf>
        <numFmt numFmtId="14" formatCode="0.00%"/>
      </ndxf>
    </rcc>
    <rcc rId="0" sId="5" dxf="1">
      <nc r="BW93">
        <f>BV93/BL93</f>
      </nc>
      <ndxf>
        <numFmt numFmtId="14" formatCode="0.00%"/>
      </ndxf>
    </rcc>
    <rcc rId="0" sId="5" dxf="1">
      <nc r="BW94">
        <f>BV94/BL94</f>
      </nc>
      <ndxf>
        <numFmt numFmtId="14" formatCode="0.00%"/>
      </ndxf>
    </rcc>
    <rcc rId="0" sId="5" dxf="1">
      <nc r="BW95">
        <f>BV95/BL95</f>
      </nc>
      <ndxf>
        <numFmt numFmtId="14" formatCode="0.00%"/>
      </ndxf>
    </rcc>
    <rcc rId="0" sId="5" dxf="1">
      <nc r="BW96">
        <f>BV96/BL96</f>
      </nc>
      <ndxf>
        <numFmt numFmtId="14" formatCode="0.00%"/>
      </ndxf>
    </rcc>
    <rcc rId="0" sId="5" dxf="1">
      <nc r="BW97">
        <f>BV97/BL97</f>
      </nc>
      <ndxf>
        <numFmt numFmtId="14" formatCode="0.00%"/>
      </ndxf>
    </rcc>
    <rcc rId="0" sId="5" dxf="1">
      <nc r="BW98">
        <f>BV98/BL98</f>
      </nc>
      <ndxf>
        <numFmt numFmtId="14" formatCode="0.00%"/>
      </ndxf>
    </rcc>
    <rcc rId="0" sId="5" dxf="1">
      <nc r="BW99">
        <f>BV99/BL99</f>
      </nc>
      <ndxf>
        <numFmt numFmtId="14" formatCode="0.00%"/>
      </ndxf>
    </rcc>
    <rcc rId="0" sId="5" dxf="1">
      <nc r="BW100">
        <f>BV100/BL100</f>
      </nc>
      <ndxf>
        <numFmt numFmtId="14" formatCode="0.00%"/>
      </ndxf>
    </rcc>
    <rcc rId="0" sId="5" dxf="1">
      <nc r="BW101">
        <f>BV101/BL101</f>
      </nc>
      <ndxf>
        <numFmt numFmtId="14" formatCode="0.00%"/>
      </ndxf>
    </rcc>
    <rcc rId="0" sId="5" dxf="1">
      <nc r="BW102">
        <f>BV102/BL102</f>
      </nc>
      <ndxf>
        <numFmt numFmtId="14" formatCode="0.00%"/>
      </ndxf>
    </rcc>
    <rcc rId="0" sId="5" dxf="1">
      <nc r="BW103">
        <f>BV103/BL103</f>
      </nc>
      <ndxf>
        <numFmt numFmtId="14" formatCode="0.00%"/>
      </ndxf>
    </rcc>
    <rcc rId="0" sId="5" dxf="1">
      <nc r="BW104">
        <f>BV104/BL104</f>
      </nc>
      <ndxf>
        <numFmt numFmtId="14" formatCode="0.00%"/>
      </ndxf>
    </rcc>
    <rcc rId="0" sId="5" dxf="1">
      <nc r="BW105">
        <f>BV105/BL105</f>
      </nc>
      <ndxf>
        <numFmt numFmtId="14" formatCode="0.00%"/>
      </ndxf>
    </rcc>
    <rcc rId="0" sId="5" dxf="1">
      <nc r="BW106">
        <f>BV106/BL106</f>
      </nc>
      <ndxf>
        <numFmt numFmtId="14" formatCode="0.00%"/>
      </ndxf>
    </rcc>
    <rfmt sheetId="5" sqref="BW107" start="0" length="0">
      <dxf>
        <numFmt numFmtId="14" formatCode="0.00%"/>
      </dxf>
    </rfmt>
    <rcc rId="0" sId="5" dxf="1">
      <nc r="BW108">
        <f>BV108/BL108</f>
      </nc>
      <ndxf>
        <numFmt numFmtId="14" formatCode="0.00%"/>
        <border outline="0">
          <bottom style="medium">
            <color indexed="64"/>
          </bottom>
        </border>
      </ndxf>
    </rcc>
    <rcc rId="0" sId="5" dxf="1">
      <nc r="BW109">
        <f>BV109/BL109</f>
      </nc>
      <ndxf>
        <font>
          <b/>
        </font>
        <numFmt numFmtId="14" formatCode="0.00%"/>
      </ndxf>
    </rcc>
    <rfmt sheetId="5" sqref="BW110" start="0" length="0">
      <dxf>
        <font/>
        <numFmt numFmtId="14" formatCode="0.00%"/>
      </dxf>
    </rfmt>
    <rfmt sheetId="5" sqref="BW111" start="0" length="0">
      <dxf>
        <font/>
        <numFmt numFmtId="14" formatCode="0.00%"/>
      </dxf>
    </rfmt>
    <rfmt sheetId="5" sqref="BW112" start="0" length="0">
      <dxf>
        <font/>
        <numFmt numFmtId="14" formatCode="0.00%"/>
      </dxf>
    </rfmt>
    <rfmt sheetId="5" sqref="BW113" start="0" length="0">
      <dxf>
        <font/>
        <numFmt numFmtId="14" formatCode="0.00%"/>
      </dxf>
    </rfmt>
    <rfmt sheetId="5" sqref="BW114" start="0" length="0">
      <dxf>
        <font/>
        <numFmt numFmtId="14" formatCode="0.00%"/>
      </dxf>
    </rfmt>
    <rfmt sheetId="5" sqref="BW115" start="0" length="0">
      <dxf>
        <font/>
        <numFmt numFmtId="14" formatCode="0.00%"/>
      </dxf>
    </rfmt>
    <rfmt sheetId="5" sqref="BW116" start="0" length="0">
      <dxf>
        <numFmt numFmtId="14" formatCode="0.00%"/>
      </dxf>
    </rfmt>
    <rfmt sheetId="5" sqref="BW117" start="0" length="0">
      <dxf>
        <numFmt numFmtId="14" formatCode="0.00%"/>
      </dxf>
    </rfmt>
    <rfmt sheetId="5" sqref="BW118" start="0" length="0">
      <dxf>
        <numFmt numFmtId="14" formatCode="0.00%"/>
      </dxf>
    </rfmt>
    <rfmt sheetId="5" sqref="BW119" start="0" length="0">
      <dxf>
        <numFmt numFmtId="14" formatCode="0.00%"/>
        <fill>
          <patternFill patternType="solid">
            <bgColor theme="0" tint="-0.249977111117893"/>
          </patternFill>
        </fill>
      </dxf>
    </rfmt>
    <rcc rId="0" sId="5" dxf="1">
      <nc r="BW120">
        <f>BV120/BL120</f>
      </nc>
      <ndxf>
        <numFmt numFmtId="14" formatCode="0.00%"/>
      </ndxf>
    </rcc>
    <rcc rId="0" sId="5" dxf="1">
      <nc r="BW121">
        <f>BV121/BL121</f>
      </nc>
      <ndxf>
        <numFmt numFmtId="14" formatCode="0.00%"/>
      </ndxf>
    </rcc>
    <rcc rId="0" sId="5" dxf="1">
      <nc r="BW122">
        <f>BV122/BL122</f>
      </nc>
      <ndxf>
        <numFmt numFmtId="14" formatCode="0.00%"/>
      </ndxf>
    </rcc>
    <rcc rId="0" sId="5" dxf="1">
      <nc r="BW123">
        <f>BV123/BL123</f>
      </nc>
      <ndxf>
        <numFmt numFmtId="14" formatCode="0.00%"/>
      </ndxf>
    </rcc>
    <rcc rId="0" sId="5" dxf="1">
      <nc r="BW124">
        <f>BV124/BL124</f>
      </nc>
      <ndxf>
        <numFmt numFmtId="14" formatCode="0.00%"/>
      </ndxf>
    </rcc>
    <rcc rId="0" sId="5" dxf="1">
      <nc r="BW125">
        <f>BV125/BL125</f>
      </nc>
      <ndxf>
        <numFmt numFmtId="14" formatCode="0.00%"/>
      </ndxf>
    </rcc>
    <rcc rId="0" sId="5" dxf="1">
      <nc r="BW126">
        <f>BV126/BL126</f>
      </nc>
      <ndxf>
        <numFmt numFmtId="14" formatCode="0.00%"/>
      </ndxf>
    </rcc>
    <rcc rId="0" sId="5" dxf="1">
      <nc r="BW127">
        <f>BV127/BL127</f>
      </nc>
      <ndxf>
        <numFmt numFmtId="14" formatCode="0.00%"/>
      </ndxf>
    </rcc>
    <rcc rId="0" sId="5" dxf="1">
      <nc r="BW128">
        <f>BV128/BL128</f>
      </nc>
      <ndxf>
        <numFmt numFmtId="14" formatCode="0.00%"/>
      </ndxf>
    </rcc>
    <rcc rId="0" sId="5" dxf="1">
      <nc r="BW129">
        <f>BV129/BL129</f>
      </nc>
      <ndxf>
        <numFmt numFmtId="14" formatCode="0.00%"/>
      </ndxf>
    </rcc>
    <rcc rId="0" sId="5" dxf="1">
      <nc r="BW130">
        <f>BV130/BL130</f>
      </nc>
      <ndxf>
        <numFmt numFmtId="14" formatCode="0.00%"/>
      </ndxf>
    </rcc>
    <rcc rId="0" sId="5" dxf="1">
      <nc r="BW131">
        <f>BV131/BL131</f>
      </nc>
      <ndxf>
        <numFmt numFmtId="14" formatCode="0.00%"/>
      </ndxf>
    </rcc>
    <rcc rId="0" sId="5" dxf="1">
      <nc r="BW132">
        <f>BV132/BL132</f>
      </nc>
      <ndxf>
        <numFmt numFmtId="14" formatCode="0.00%"/>
        <border outline="0">
          <bottom style="medium">
            <color indexed="64"/>
          </bottom>
        </border>
      </ndxf>
    </rcc>
    <rcc rId="0" sId="5" dxf="1">
      <nc r="BW133">
        <f>BV133/BL133</f>
      </nc>
      <ndxf>
        <font>
          <b/>
        </font>
        <numFmt numFmtId="14" formatCode="0.00%"/>
      </ndxf>
    </rcc>
    <rfmt sheetId="5" sqref="BW134" start="0" length="0">
      <dxf>
        <font/>
        <numFmt numFmtId="14" formatCode="0.00%"/>
      </dxf>
    </rfmt>
    <rfmt sheetId="5" sqref="BW135" start="0" length="0">
      <dxf>
        <font/>
        <numFmt numFmtId="14" formatCode="0.00%"/>
      </dxf>
    </rfmt>
    <rfmt sheetId="5" sqref="BW136" start="0" length="0">
      <dxf>
        <font/>
        <numFmt numFmtId="14" formatCode="0.00%"/>
      </dxf>
    </rfmt>
    <rfmt sheetId="5" sqref="BW137" start="0" length="0">
      <dxf>
        <numFmt numFmtId="14" formatCode="0.00%"/>
      </dxf>
    </rfmt>
    <rfmt sheetId="5" sqref="BW138" start="0" length="0">
      <dxf>
        <numFmt numFmtId="14" formatCode="0.00%"/>
      </dxf>
    </rfmt>
    <rfmt sheetId="5" sqref="BW139" start="0" length="0">
      <dxf>
        <numFmt numFmtId="14" formatCode="0.00%"/>
      </dxf>
    </rfmt>
    <rfmt sheetId="5" sqref="BW140" start="0" length="0">
      <dxf>
        <numFmt numFmtId="14" formatCode="0.00%"/>
      </dxf>
    </rfmt>
    <rfmt sheetId="5" sqref="BW141" start="0" length="0">
      <dxf>
        <numFmt numFmtId="14" formatCode="0.00%"/>
      </dxf>
    </rfmt>
    <rfmt sheetId="5" sqref="BW142" start="0" length="0">
      <dxf>
        <numFmt numFmtId="14" formatCode="0.00%"/>
      </dxf>
    </rfmt>
    <rfmt sheetId="5" sqref="BW143" start="0" length="0">
      <dxf>
        <numFmt numFmtId="14" formatCode="0.00%"/>
      </dxf>
    </rfmt>
    <rfmt sheetId="5" sqref="BW144" start="0" length="0">
      <dxf>
        <numFmt numFmtId="14" formatCode="0.00%"/>
      </dxf>
    </rfmt>
    <rfmt sheetId="5" sqref="BW145" start="0" length="0">
      <dxf>
        <numFmt numFmtId="14" formatCode="0.00%"/>
        <fill>
          <patternFill patternType="solid">
            <bgColor theme="0" tint="-0.249977111117893"/>
          </patternFill>
        </fill>
      </dxf>
    </rfmt>
    <rcc rId="0" sId="5" dxf="1">
      <nc r="BW146">
        <f>BV146/BL146</f>
      </nc>
      <ndxf>
        <numFmt numFmtId="14" formatCode="0.00%"/>
      </ndxf>
    </rcc>
    <rcc rId="0" sId="5" dxf="1">
      <nc r="BW147">
        <f>BV147/BL147</f>
      </nc>
      <ndxf>
        <numFmt numFmtId="14" formatCode="0.00%"/>
      </ndxf>
    </rcc>
    <rcc rId="0" sId="5" dxf="1">
      <nc r="BW148">
        <f>BV148/BL148</f>
      </nc>
      <ndxf>
        <numFmt numFmtId="14" formatCode="0.00%"/>
      </ndxf>
    </rcc>
    <rcc rId="0" sId="5" dxf="1">
      <nc r="BW149">
        <f>BV149/BL149</f>
      </nc>
      <ndxf>
        <numFmt numFmtId="14" formatCode="0.00%"/>
      </ndxf>
    </rcc>
    <rcc rId="0" sId="5" dxf="1">
      <nc r="BW150">
        <f>BV150/BL150</f>
      </nc>
      <ndxf>
        <numFmt numFmtId="14" formatCode="0.00%"/>
      </ndxf>
    </rcc>
    <rcc rId="0" sId="5" dxf="1">
      <nc r="BW151">
        <f>BV151/BL151</f>
      </nc>
      <ndxf>
        <numFmt numFmtId="14" formatCode="0.00%"/>
      </ndxf>
    </rcc>
    <rcc rId="0" sId="5" dxf="1">
      <nc r="BW152">
        <f>BV152/BL152</f>
      </nc>
      <ndxf>
        <numFmt numFmtId="14" formatCode="0.00%"/>
      </ndxf>
    </rcc>
    <rcc rId="0" sId="5" dxf="1">
      <nc r="BW153">
        <f>BV153/BL153</f>
      </nc>
      <ndxf>
        <numFmt numFmtId="14" formatCode="0.00%"/>
      </ndxf>
    </rcc>
    <rcc rId="0" sId="5" dxf="1">
      <nc r="BW154">
        <f>BV154/BL154</f>
      </nc>
      <ndxf>
        <numFmt numFmtId="14" formatCode="0.00%"/>
      </ndxf>
    </rcc>
    <rcc rId="0" sId="5" dxf="1">
      <nc r="BW155">
        <f>BV155/BL155</f>
      </nc>
      <ndxf>
        <numFmt numFmtId="14" formatCode="0.00%"/>
      </ndxf>
    </rcc>
    <rcc rId="0" sId="5" dxf="1">
      <nc r="BW156">
        <f>BV156/BL156</f>
      </nc>
      <ndxf>
        <numFmt numFmtId="14" formatCode="0.00%"/>
      </ndxf>
    </rcc>
    <rcc rId="0" sId="5" dxf="1">
      <nc r="BW157">
        <f>BV157/BL157</f>
      </nc>
      <ndxf>
        <numFmt numFmtId="14" formatCode="0.00%"/>
      </ndxf>
    </rcc>
    <rcc rId="0" sId="5" dxf="1">
      <nc r="BW158">
        <f>BV158/BL158</f>
      </nc>
      <ndxf>
        <numFmt numFmtId="14" formatCode="0.00%"/>
      </ndxf>
    </rcc>
    <rcc rId="0" sId="5" dxf="1">
      <nc r="BW159">
        <f>BV159/BL159</f>
      </nc>
      <ndxf>
        <numFmt numFmtId="14" formatCode="0.00%"/>
      </ndxf>
    </rcc>
    <rcc rId="0" sId="5" dxf="1">
      <nc r="BW160">
        <f>BV160/BL160</f>
      </nc>
      <ndxf>
        <numFmt numFmtId="14" formatCode="0.00%"/>
      </ndxf>
    </rcc>
    <rcc rId="0" sId="5" dxf="1">
      <nc r="BW161">
        <f>BV161/BL161</f>
      </nc>
      <ndxf>
        <numFmt numFmtId="14" formatCode="0.00%"/>
      </ndxf>
    </rcc>
    <rcc rId="0" sId="5" dxf="1">
      <nc r="BW162">
        <f>BV162/BL162</f>
      </nc>
      <ndxf>
        <numFmt numFmtId="14" formatCode="0.00%"/>
      </ndxf>
    </rcc>
    <rcc rId="0" sId="5" dxf="1">
      <nc r="BW163">
        <f>BV163/BL163</f>
      </nc>
      <ndxf>
        <numFmt numFmtId="14" formatCode="0.00%"/>
      </ndxf>
    </rcc>
    <rcc rId="0" sId="5" dxf="1">
      <nc r="BW164">
        <f>BV164/BL164</f>
      </nc>
      <ndxf>
        <numFmt numFmtId="14" formatCode="0.00%"/>
      </ndxf>
    </rcc>
    <rfmt sheetId="5" sqref="BW165" start="0" length="0">
      <dxf>
        <numFmt numFmtId="14" formatCode="0.00%"/>
        <border outline="0">
          <bottom style="thin">
            <color indexed="64"/>
          </bottom>
        </border>
      </dxf>
    </rfmt>
    <rcc rId="0" sId="5" dxf="1">
      <nc r="BW166">
        <f>BV166/BL166</f>
      </nc>
      <ndxf>
        <font>
          <b/>
        </font>
        <numFmt numFmtId="14" formatCode="0.00%"/>
      </ndxf>
    </rcc>
    <rfmt sheetId="5" sqref="BW167" start="0" length="0">
      <dxf>
        <font/>
        <numFmt numFmtId="14" formatCode="0.00%"/>
      </dxf>
    </rfmt>
    <rfmt sheetId="5" sqref="BW168" start="0" length="0">
      <dxf>
        <font/>
        <numFmt numFmtId="14" formatCode="0.00%"/>
      </dxf>
    </rfmt>
    <rfmt sheetId="5" sqref="BW169" start="0" length="0">
      <dxf>
        <font/>
        <numFmt numFmtId="14" formatCode="0.00%"/>
      </dxf>
    </rfmt>
    <rfmt sheetId="5" sqref="BW170" start="0" length="0">
      <dxf>
        <font/>
        <numFmt numFmtId="14" formatCode="0.00%"/>
      </dxf>
    </rfmt>
    <rfmt sheetId="5" sqref="BW171" start="0" length="0">
      <dxf>
        <font/>
        <numFmt numFmtId="14" formatCode="0.00%"/>
      </dxf>
    </rfmt>
    <rfmt sheetId="5" sqref="BW172" start="0" length="0">
      <dxf>
        <font/>
        <numFmt numFmtId="14" formatCode="0.00%"/>
      </dxf>
    </rfmt>
    <rfmt sheetId="5" sqref="BW173" start="0" length="0">
      <dxf>
        <font/>
        <numFmt numFmtId="14" formatCode="0.00%"/>
      </dxf>
    </rfmt>
    <rfmt sheetId="5" sqref="BW174" start="0" length="0">
      <dxf>
        <font/>
        <numFmt numFmtId="14" formatCode="0.00%"/>
      </dxf>
    </rfmt>
    <rfmt sheetId="5" sqref="BW175" start="0" length="0">
      <dxf>
        <font/>
        <numFmt numFmtId="14" formatCode="0.00%"/>
      </dxf>
    </rfmt>
    <rfmt sheetId="5" sqref="BW176" start="0" length="0">
      <dxf>
        <numFmt numFmtId="14" formatCode="0.00%"/>
      </dxf>
    </rfmt>
    <rfmt sheetId="5" sqref="BW177" start="0" length="0">
      <dxf>
        <numFmt numFmtId="14" formatCode="0.00%"/>
      </dxf>
    </rfmt>
    <rfmt sheetId="5" sqref="BW178" start="0" length="0">
      <dxf>
        <numFmt numFmtId="14" formatCode="0.00%"/>
        <fill>
          <patternFill patternType="solid">
            <bgColor theme="0" tint="-0.249977111117893"/>
          </patternFill>
        </fill>
      </dxf>
    </rfmt>
    <rcc rId="0" sId="5" dxf="1">
      <nc r="BW179">
        <f>BV179/BL179</f>
      </nc>
      <ndxf>
        <numFmt numFmtId="14" formatCode="0.00%"/>
      </ndxf>
    </rcc>
    <rcc rId="0" sId="5" dxf="1">
      <nc r="BW180">
        <f>BV180/BL180</f>
      </nc>
      <ndxf>
        <numFmt numFmtId="14" formatCode="0.00%"/>
      </ndxf>
    </rcc>
    <rcc rId="0" sId="5" dxf="1">
      <nc r="BW181">
        <f>BV181/BL181</f>
      </nc>
      <ndxf>
        <numFmt numFmtId="14" formatCode="0.00%"/>
      </ndxf>
    </rcc>
    <rcc rId="0" sId="5" dxf="1">
      <nc r="BW182">
        <f>BV182/BL182</f>
      </nc>
      <ndxf>
        <numFmt numFmtId="14" formatCode="0.00%"/>
      </ndxf>
    </rcc>
    <rcc rId="0" sId="5" dxf="1">
      <nc r="BW183">
        <f>BV183/BL183</f>
      </nc>
      <ndxf>
        <numFmt numFmtId="14" formatCode="0.00%"/>
      </ndxf>
    </rcc>
    <rcc rId="0" sId="5" dxf="1">
      <nc r="BW184">
        <f>BV184/BL184</f>
      </nc>
      <ndxf>
        <numFmt numFmtId="14" formatCode="0.00%"/>
      </ndxf>
    </rcc>
    <rcc rId="0" sId="5" dxf="1">
      <nc r="BW185">
        <f>BV185/BL185</f>
      </nc>
      <ndxf>
        <numFmt numFmtId="14" formatCode="0.00%"/>
      </ndxf>
    </rcc>
    <rfmt sheetId="5" sqref="BW186" start="0" length="0">
      <dxf>
        <numFmt numFmtId="14" formatCode="0.00%"/>
      </dxf>
    </rfmt>
    <rcc rId="0" sId="5" dxf="1">
      <nc r="BW187">
        <f>BV187/BL187</f>
      </nc>
      <ndxf>
        <numFmt numFmtId="14" formatCode="0.00%"/>
        <border outline="0">
          <bottom style="medium">
            <color indexed="64"/>
          </bottom>
        </border>
      </ndxf>
    </rcc>
    <rcc rId="0" sId="5" dxf="1">
      <nc r="BW188">
        <f>BV188/BL188</f>
      </nc>
      <ndxf>
        <font>
          <b/>
        </font>
        <numFmt numFmtId="14" formatCode="0.00%"/>
      </ndxf>
    </rcc>
    <rfmt sheetId="5" sqref="BW189" start="0" length="0">
      <dxf>
        <font/>
        <numFmt numFmtId="14" formatCode="0.00%"/>
      </dxf>
    </rfmt>
    <rfmt sheetId="5" sqref="BW190" start="0" length="0">
      <dxf>
        <font/>
        <numFmt numFmtId="14" formatCode="0.00%"/>
      </dxf>
    </rfmt>
    <rfmt sheetId="5" sqref="BW191" start="0" length="0">
      <dxf>
        <numFmt numFmtId="14" formatCode="0.00%"/>
      </dxf>
    </rfmt>
    <rfmt sheetId="5" sqref="BW192" start="0" length="0">
      <dxf>
        <numFmt numFmtId="14" formatCode="0.00%"/>
      </dxf>
    </rfmt>
    <rfmt sheetId="5" sqref="BW193" start="0" length="0">
      <dxf>
        <numFmt numFmtId="14" formatCode="0.00%"/>
      </dxf>
    </rfmt>
    <rfmt sheetId="5" sqref="BW194" start="0" length="0">
      <dxf>
        <numFmt numFmtId="14" formatCode="0.00%"/>
      </dxf>
    </rfmt>
    <rfmt sheetId="5" sqref="BW195" start="0" length="0">
      <dxf>
        <numFmt numFmtId="14" formatCode="0.00%"/>
      </dxf>
    </rfmt>
    <rfmt sheetId="5" sqref="BW196" start="0" length="0">
      <dxf>
        <numFmt numFmtId="14" formatCode="0.00%"/>
      </dxf>
    </rfmt>
    <rfmt sheetId="5" sqref="BW197" start="0" length="0">
      <dxf>
        <numFmt numFmtId="14" formatCode="0.00%"/>
        <fill>
          <patternFill patternType="solid">
            <bgColor theme="0" tint="-0.249977111117893"/>
          </patternFill>
        </fill>
      </dxf>
    </rfmt>
    <rcc rId="0" sId="5" dxf="1">
      <nc r="BW198">
        <f>BV198/BL198</f>
      </nc>
      <ndxf>
        <numFmt numFmtId="14" formatCode="0.00%"/>
      </ndxf>
    </rcc>
    <rcc rId="0" sId="5" dxf="1">
      <nc r="BW199">
        <f>BV199/BL199</f>
      </nc>
      <ndxf>
        <numFmt numFmtId="14" formatCode="0.00%"/>
      </ndxf>
    </rcc>
    <rcc rId="0" sId="5" dxf="1">
      <nc r="BW200">
        <f>BV200/BL200</f>
      </nc>
      <ndxf>
        <numFmt numFmtId="14" formatCode="0.00%"/>
      </ndxf>
    </rcc>
    <rcc rId="0" sId="5" dxf="1">
      <nc r="BW201">
        <f>BV201/BL201</f>
      </nc>
      <ndxf>
        <numFmt numFmtId="14" formatCode="0.00%"/>
      </ndxf>
    </rcc>
    <rcc rId="0" sId="5" dxf="1">
      <nc r="BW202">
        <f>BV202/BL202</f>
      </nc>
      <ndxf>
        <numFmt numFmtId="14" formatCode="0.00%"/>
      </ndxf>
    </rcc>
    <rcc rId="0" sId="5" dxf="1">
      <nc r="BW203">
        <f>BV203/BL203</f>
      </nc>
      <ndxf>
        <numFmt numFmtId="14" formatCode="0.00%"/>
      </ndxf>
    </rcc>
    <rcc rId="0" sId="5" dxf="1">
      <nc r="BW204">
        <f>BV204/BL204</f>
      </nc>
      <ndxf>
        <numFmt numFmtId="14" formatCode="0.00%"/>
      </ndxf>
    </rcc>
    <rcc rId="0" sId="5" dxf="1">
      <nc r="BW205">
        <f>BV205/BL205</f>
      </nc>
      <ndxf>
        <numFmt numFmtId="14" formatCode="0.00%"/>
      </ndxf>
    </rcc>
    <rcc rId="0" sId="5" dxf="1">
      <nc r="BW206">
        <f>BV206/BL206</f>
      </nc>
      <ndxf>
        <numFmt numFmtId="14" formatCode="0.00%"/>
      </ndxf>
    </rcc>
    <rcc rId="0" sId="5" dxf="1">
      <nc r="BW207">
        <f>BV207/BL207</f>
      </nc>
      <ndxf>
        <numFmt numFmtId="14" formatCode="0.00%"/>
      </ndxf>
    </rcc>
    <rcc rId="0" sId="5" dxf="1">
      <nc r="BW208">
        <f>BV208/BL208</f>
      </nc>
      <ndxf>
        <numFmt numFmtId="14" formatCode="0.00%"/>
      </ndxf>
    </rcc>
    <rcc rId="0" sId="5" dxf="1">
      <nc r="BW209">
        <f>BV209/BL209</f>
      </nc>
      <ndxf>
        <numFmt numFmtId="14" formatCode="0.00%"/>
      </ndxf>
    </rcc>
    <rcc rId="0" sId="5" dxf="1">
      <nc r="BW210">
        <f>BV210/BL210</f>
      </nc>
      <ndxf>
        <numFmt numFmtId="14" formatCode="0.00%"/>
      </ndxf>
    </rcc>
    <rcc rId="0" sId="5" dxf="1">
      <nc r="BW211">
        <f>BV211/BL211</f>
      </nc>
      <ndxf>
        <numFmt numFmtId="14" formatCode="0.00%"/>
      </ndxf>
    </rcc>
    <rcc rId="0" sId="5" dxf="1">
      <nc r="BW212">
        <f>BV212/BL212</f>
      </nc>
      <ndxf>
        <numFmt numFmtId="14" formatCode="0.00%"/>
      </ndxf>
    </rcc>
    <rcc rId="0" sId="5" dxf="1">
      <nc r="BW213">
        <f>BV213/BL213</f>
      </nc>
      <ndxf>
        <numFmt numFmtId="14" formatCode="0.00%"/>
      </ndxf>
    </rcc>
    <rcc rId="0" sId="5" dxf="1">
      <nc r="BW214">
        <f>BV214/BL214</f>
      </nc>
      <ndxf>
        <numFmt numFmtId="14" formatCode="0.00%"/>
      </ndxf>
    </rcc>
    <rcc rId="0" sId="5" dxf="1">
      <nc r="BW215">
        <f>BV215/BL215</f>
      </nc>
      <ndxf>
        <numFmt numFmtId="14" formatCode="0.00%"/>
      </ndxf>
    </rcc>
    <rcc rId="0" sId="5" dxf="1">
      <nc r="BW216">
        <f>BV216/BL216</f>
      </nc>
      <ndxf>
        <numFmt numFmtId="14" formatCode="0.00%"/>
      </ndxf>
    </rcc>
    <rcc rId="0" sId="5" dxf="1">
      <nc r="BW217">
        <f>BV217/BL217</f>
      </nc>
      <ndxf>
        <numFmt numFmtId="14" formatCode="0.00%"/>
      </ndxf>
    </rcc>
    <rcc rId="0" sId="5" dxf="1">
      <nc r="BW218">
        <f>BV218/BL218</f>
      </nc>
      <ndxf>
        <numFmt numFmtId="14" formatCode="0.00%"/>
      </ndxf>
    </rcc>
    <rcc rId="0" sId="5" dxf="1">
      <nc r="BW219">
        <f>BV219/BL219</f>
      </nc>
      <ndxf>
        <numFmt numFmtId="14" formatCode="0.00%"/>
      </ndxf>
    </rcc>
    <rcc rId="0" sId="5" dxf="1">
      <nc r="BW220">
        <f>BV220/BL220</f>
      </nc>
      <ndxf>
        <numFmt numFmtId="14" formatCode="0.00%"/>
      </ndxf>
    </rcc>
    <rcc rId="0" sId="5" dxf="1">
      <nc r="BW221">
        <f>BV221/BL221</f>
      </nc>
      <ndxf>
        <numFmt numFmtId="14" formatCode="0.00%"/>
        <border outline="0">
          <bottom style="medium">
            <color indexed="64"/>
          </bottom>
        </border>
      </ndxf>
    </rcc>
    <rcc rId="0" sId="5" dxf="1">
      <nc r="BW222">
        <f>BV222/BL222</f>
      </nc>
      <ndxf>
        <font>
          <b/>
        </font>
        <numFmt numFmtId="14" formatCode="0.00%"/>
      </ndxf>
    </rcc>
    <rfmt sheetId="5" sqref="BW223" start="0" length="0">
      <dxf>
        <font/>
        <numFmt numFmtId="14" formatCode="0.00%"/>
      </dxf>
    </rfmt>
    <rfmt sheetId="5" sqref="BW224" start="0" length="0">
      <dxf>
        <numFmt numFmtId="14" formatCode="0.00%"/>
      </dxf>
    </rfmt>
    <rfmt sheetId="5" sqref="BW225" start="0" length="0">
      <dxf>
        <numFmt numFmtId="14" formatCode="0.00%"/>
      </dxf>
    </rfmt>
    <rfmt sheetId="5" sqref="BW226" start="0" length="0">
      <dxf>
        <numFmt numFmtId="14" formatCode="0.00%"/>
      </dxf>
    </rfmt>
    <rfmt sheetId="5" sqref="BW227" start="0" length="0">
      <dxf>
        <numFmt numFmtId="14" formatCode="0.00%"/>
        <border outline="0">
          <bottom style="medium">
            <color indexed="64"/>
          </bottom>
        </border>
      </dxf>
    </rfmt>
    <rcc rId="0" sId="5" dxf="1">
      <nc r="BW228">
        <f>BV228/BL228</f>
      </nc>
      <ndxf>
        <numFmt numFmtId="14" formatCode="0.00%"/>
      </ndxf>
    </rcc>
    <rcc rId="0" sId="5" dxf="1">
      <nc r="BW229">
        <f>BV229/BL229</f>
      </nc>
      <ndxf>
        <numFmt numFmtId="14" formatCode="0.00%"/>
      </ndxf>
    </rcc>
    <rcc rId="0" sId="5" dxf="1">
      <nc r="BW230">
        <f>BV230/BL230</f>
      </nc>
      <ndxf>
        <numFmt numFmtId="14" formatCode="0.00%"/>
      </ndxf>
    </rcc>
    <rcc rId="0" sId="5" dxf="1">
      <nc r="BW231">
        <f>BV231/BL231</f>
      </nc>
      <ndxf>
        <numFmt numFmtId="14" formatCode="0.00%"/>
      </ndxf>
    </rcc>
    <rcc rId="0" sId="5" dxf="1">
      <nc r="BW232">
        <f>BV232/BL232</f>
      </nc>
      <ndxf>
        <numFmt numFmtId="14" formatCode="0.00%"/>
      </ndxf>
    </rcc>
    <rcc rId="0" sId="5" dxf="1">
      <nc r="BW233">
        <f>BV233/BL233</f>
      </nc>
      <ndxf>
        <numFmt numFmtId="14" formatCode="0.00%"/>
      </ndxf>
    </rcc>
    <rcc rId="0" sId="5" dxf="1">
      <nc r="BW234">
        <f>BV234/BL234</f>
      </nc>
      <ndxf>
        <numFmt numFmtId="14" formatCode="0.00%"/>
      </ndxf>
    </rcc>
    <rcc rId="0" sId="5" dxf="1">
      <nc r="BW235">
        <f>BV235/BL235</f>
      </nc>
      <ndxf>
        <numFmt numFmtId="14" formatCode="0.00%"/>
      </ndxf>
    </rcc>
    <rcc rId="0" sId="5" dxf="1">
      <nc r="BW236">
        <f>BV236/BL236</f>
      </nc>
      <ndxf>
        <numFmt numFmtId="14" formatCode="0.00%"/>
      </ndxf>
    </rcc>
    <rcc rId="0" sId="5" dxf="1">
      <nc r="BW237">
        <f>BV237/BL237</f>
      </nc>
      <ndxf>
        <numFmt numFmtId="14" formatCode="0.00%"/>
      </ndxf>
    </rcc>
    <rcc rId="0" sId="5" dxf="1">
      <nc r="BW238">
        <f>BV238/BL238</f>
      </nc>
      <ndxf>
        <numFmt numFmtId="14" formatCode="0.00%"/>
      </ndxf>
    </rcc>
    <rcc rId="0" sId="5" dxf="1">
      <nc r="BW239">
        <f>BV239/BL239</f>
      </nc>
      <ndxf>
        <numFmt numFmtId="14" formatCode="0.00%"/>
      </ndxf>
    </rcc>
    <rcc rId="0" sId="5" dxf="1">
      <nc r="BW240">
        <f>BV240/BL240</f>
      </nc>
      <ndxf>
        <numFmt numFmtId="14" formatCode="0.00%"/>
      </ndxf>
    </rcc>
    <rcc rId="0" sId="5" dxf="1">
      <nc r="BW241">
        <f>BV241/BL241</f>
      </nc>
      <ndxf>
        <numFmt numFmtId="14" formatCode="0.00%"/>
      </ndxf>
    </rcc>
    <rcc rId="0" sId="5" dxf="1">
      <nc r="BW242">
        <f>BV242/BL242</f>
      </nc>
      <ndxf>
        <numFmt numFmtId="14" formatCode="0.00%"/>
      </ndxf>
    </rcc>
    <rfmt sheetId="5" sqref="BW243" start="0" length="0">
      <dxf>
        <numFmt numFmtId="14" formatCode="0.00%"/>
      </dxf>
    </rfmt>
    <rcc rId="0" sId="5" dxf="1">
      <nc r="BW244">
        <f>BV244/BL244</f>
      </nc>
      <ndxf>
        <font>
          <b/>
        </font>
        <numFmt numFmtId="14" formatCode="0.00%"/>
        <fill>
          <patternFill patternType="solid">
            <bgColor theme="0" tint="-0.249977111117893"/>
          </patternFill>
        </fill>
      </ndxf>
    </rcc>
    <rfmt sheetId="5" sqref="BW246" start="0" length="0">
      <dxf>
        <numFmt numFmtId="14" formatCode="0.00%"/>
      </dxf>
    </rfmt>
  </rm>
  <rcc rId="42714" sId="2">
    <oc r="AK10" t="inlineStr">
      <is>
        <t>Proposed</t>
      </is>
    </oc>
    <nc r="AK10" t="inlineStr">
      <is>
        <t>Approved</t>
      </is>
    </nc>
  </rcc>
  <rcc rId="42715" sId="2">
    <oc r="AK11">
      <f>'FY 2013 by Agency'!BL41</f>
    </oc>
    <nc r="AK11">
      <f>'FY 2013 by Agency'!BE41</f>
    </nc>
  </rcc>
  <rcc rId="42716" sId="2">
    <oc r="AK12">
      <f>'FY 2013 by Agency'!BL74</f>
    </oc>
    <nc r="AK12">
      <f>'FY 2013 by Agency'!BE74</f>
    </nc>
  </rcc>
  <rcc rId="42717" sId="2">
    <oc r="AK13">
      <f>'FY 2013 by Agency'!BL109</f>
    </oc>
    <nc r="AK13">
      <f>'FY 2013 by Agency'!BE109</f>
    </nc>
  </rcc>
  <rcc rId="42718" sId="2">
    <oc r="AK14">
      <f>'FY 2013 by Agency'!BL133</f>
    </oc>
    <nc r="AK14">
      <f>'FY 2013 by Agency'!BE133</f>
    </nc>
  </rcc>
  <rcc rId="42719" sId="2">
    <oc r="AK15">
      <f>'FY 2013 by Agency'!BL166</f>
    </oc>
    <nc r="AK15">
      <f>'FY 2013 by Agency'!BE166</f>
    </nc>
  </rcc>
  <rcc rId="42720" sId="2">
    <oc r="AK16">
      <f>'FY 2013 by Agency'!BL188</f>
    </oc>
    <nc r="AK16">
      <f>'FY 2013 by Agency'!BE188</f>
    </nc>
  </rcc>
  <rcc rId="42721" sId="2">
    <oc r="AK17">
      <f>'FY 2013 by Agency'!BL222</f>
    </oc>
    <nc r="AK17">
      <f>'FY 2013 by Agency'!BE222</f>
    </nc>
  </rcc>
  <rcc rId="42722" sId="2">
    <oc r="AK18">
      <f>'FY 2013 by Agency'!BL242</f>
    </oc>
    <nc r="AK18">
      <f>'FY 2013 by Agency'!BE242</f>
    </nc>
  </rcc>
  <rcc rId="42723" sId="2">
    <oc r="AN11">
      <f>'FY 2013 by Agency'!BT41</f>
    </oc>
    <nc r="AN11">
      <f>'FY 2013 by Agency'!BO41</f>
    </nc>
  </rcc>
  <rcc rId="42724" sId="2">
    <oc r="AN12">
      <f>'FY 2013 by Agency'!BT74</f>
    </oc>
    <nc r="AN12">
      <f>'FY 2013 by Agency'!BO74</f>
    </nc>
  </rcc>
  <rcc rId="42725" sId="2">
    <oc r="AN13">
      <f>'FY 2013 by Agency'!BT109</f>
    </oc>
    <nc r="AN13">
      <f>'FY 2013 by Agency'!BO109</f>
    </nc>
  </rcc>
  <rcc rId="42726" sId="2">
    <oc r="AN14">
      <f>'FY 2013 by Agency'!BT133</f>
    </oc>
    <nc r="AN14">
      <f>'FY 2013 by Agency'!BO133</f>
    </nc>
  </rcc>
  <rcc rId="42727" sId="2">
    <oc r="AN15">
      <f>'FY 2013 by Agency'!BT166</f>
    </oc>
    <nc r="AN15">
      <f>'FY 2013 by Agency'!BO166</f>
    </nc>
  </rcc>
  <rcc rId="42728" sId="2">
    <oc r="AN16">
      <f>'FY 2013 by Agency'!BT188</f>
    </oc>
    <nc r="AN16">
      <f>'FY 2013 by Agency'!BO188</f>
    </nc>
  </rcc>
  <rcc rId="42729" sId="2">
    <oc r="AN17">
      <f>'FY 2013 by Agency'!BT222</f>
    </oc>
    <nc r="AN17">
      <f>'FY 2013 by Agency'!BO222</f>
    </nc>
  </rcc>
  <rcc rId="42730" sId="2">
    <oc r="AN18">
      <f>'FY 2013 by Agency'!BT242</f>
    </oc>
    <nc r="AN18">
      <f>'FY 2013 by Agency'!BO242</f>
    </nc>
  </rcc>
  <rcc rId="42731" sId="3">
    <oc r="AK10" t="inlineStr">
      <is>
        <t>Proposed</t>
      </is>
    </oc>
    <nc r="AK10" t="inlineStr">
      <is>
        <t>Approved</t>
      </is>
    </nc>
  </rcc>
  <rfmt sheetId="3" sqref="AM12:AP12">
    <dxf>
      <fill>
        <patternFill>
          <bgColor theme="0" tint="-0.249977111117893"/>
        </patternFill>
      </fill>
    </dxf>
  </rfmt>
  <rfmt sheetId="3" sqref="AN14:AP14">
    <dxf>
      <fill>
        <patternFill patternType="solid">
          <bgColor theme="0" tint="-0.249977111117893"/>
        </patternFill>
      </fill>
    </dxf>
  </rfmt>
  <rfmt sheetId="3" sqref="AN16:AP16">
    <dxf>
      <fill>
        <patternFill patternType="solid">
          <bgColor theme="0" tint="-0.249977111117893"/>
        </patternFill>
      </fill>
    </dxf>
  </rfmt>
  <rfmt sheetId="3" sqref="AN18:AP18">
    <dxf>
      <fill>
        <patternFill patternType="solid">
          <bgColor theme="0" tint="-0.249977111117893"/>
        </patternFill>
      </fill>
    </dxf>
  </rfmt>
  <rrc rId="42732" sId="4" ref="BN1:BN1048576" action="insertCol">
    <undo index="2" exp="area" ref3D="1" dr="$A$227:$XFD$241" dn="Z_F784130D_F647_4ABA_8943_C79CA5B0FDC4_.wvu.Rows" sId="4"/>
    <undo index="1" exp="area" ref3D="1" dr="$A$1:$XFD$3" dn="Z_F784130D_F647_4ABA_8943_C79CA5B0FDC4_.wvu.Rows" sId="4"/>
    <undo index="2" exp="area" ref3D="1" dr="$A$227:$XFD$241" dn="Z_E81D05A4_5B21_42D3_A8D3_906ABCABC0F4_.wvu.Rows" sId="4"/>
    <undo index="1" exp="area" ref3D="1" dr="$A$1:$XFD$3" dn="Z_E81D05A4_5B21_42D3_A8D3_906ABCABC0F4_.wvu.Rows" sId="4"/>
    <undo index="24" exp="area" ref3D="1" dr="$BM$1:$BN$1048576" dn="Z_E81D05A4_5B21_42D3_A8D3_906ABCABC0F4_.wvu.Cols" sId="4"/>
    <undo index="2" exp="area" ref3D="1" dr="$A$227:$XFD$241" dn="Z_E44F5FE1_54FC_4AB3_84F9_7D65ACF2DDE7_.wvu.Rows" sId="4"/>
    <undo index="1" exp="area" ref3D="1" dr="$A$1:$XFD$3" dn="Z_E44F5FE1_54FC_4AB3_84F9_7D65ACF2DDE7_.wvu.Rows" sId="4"/>
    <undo index="2" exp="area" ref3D="1" dr="$A$227:$XFD$241" dn="Z_AEFEB150_9213_45F5_A178_7AC71E46DB11_.wvu.Rows" sId="4"/>
    <undo index="1" exp="area" ref3D="1" dr="$A$1:$XFD$3" dn="Z_AEFEB150_9213_45F5_A178_7AC71E46DB11_.wvu.Rows" sId="4"/>
    <undo index="2" exp="area" ref3D="1" dr="$A$227:$XFD$241" dn="Z_A2518DB3_3A80_4035_9307_EC50A7C923F2_.wvu.Rows" sId="4"/>
    <undo index="1" exp="area" ref3D="1" dr="$A$1:$XFD$3" dn="Z_A2518DB3_3A80_4035_9307_EC50A7C923F2_.wvu.Rows" sId="4"/>
    <undo index="2" exp="area" ref3D="1" dr="$A$227:$XFD$241" dn="Z_9D4F0482_B164_4671_805A_E0D2D4DD4720_.wvu.Rows" sId="4"/>
    <undo index="1" exp="area" ref3D="1" dr="$A$1:$XFD$3" dn="Z_9D4F0482_B164_4671_805A_E0D2D4DD4720_.wvu.Rows" sId="4"/>
    <undo index="2" exp="area" ref3D="1" dr="$A$227:$XFD$241" dn="Z_94DA13B6_7351_40F3_8CF7_A4211EC439DA_.wvu.Rows" sId="4"/>
    <undo index="1" exp="area" ref3D="1" dr="$A$1:$XFD$3" dn="Z_94DA13B6_7351_40F3_8CF7_A4211EC439DA_.wvu.Rows" sId="4"/>
    <undo index="2" exp="area" ref3D="1" dr="$A$227:$XFD$241" dn="Z_8F508F4D_4777_42BE_9707_8CB9355F7BDB_.wvu.Rows" sId="4"/>
    <undo index="1" exp="area" ref3D="1" dr="$A$1:$XFD$3" dn="Z_8F508F4D_4777_42BE_9707_8CB9355F7BDB_.wvu.Rows" sId="4"/>
    <undo index="2" exp="area" ref3D="1" dr="$A$227:$XFD$241" dn="Z_78CA186D_B240_44D5_8A24_D241DE0B0FD9_.wvu.Rows" sId="4"/>
    <undo index="1" exp="area" ref3D="1" dr="$A$1:$XFD$3" dn="Z_78CA186D_B240_44D5_8A24_D241DE0B0FD9_.wvu.Rows" sId="4"/>
    <undo index="24" exp="area" ref3D="1" dr="$BM$1:$BN$1048576" dn="Z_78CA186D_B240_44D5_8A24_D241DE0B0FD9_.wvu.Cols" sId="4"/>
    <undo index="2" exp="area" ref3D="1" dr="$A$227:$XFD$241" dn="Z_567C3053_2D8E_4705_8DC7_18896C5303CA_.wvu.Rows" sId="4"/>
    <undo index="1" exp="area" ref3D="1" dr="$A$1:$XFD$3" dn="Z_567C3053_2D8E_4705_8DC7_18896C5303CA_.wvu.Rows" sId="4"/>
    <undo index="2" exp="area" ref3D="1" dr="$BF$1:$BN$1048576" dn="Z_567C3053_2D8E_4705_8DC7_18896C5303CA_.wvu.Cols" sId="4"/>
    <undo index="2" exp="area" ref3D="1" dr="$A$227:$XFD$241" dn="Z_50528D02_548E_47E0_94D7_D1E79CD3569C_.wvu.Rows" sId="4"/>
    <undo index="1" exp="area" ref3D="1" dr="$A$1:$XFD$3" dn="Z_50528D02_548E_47E0_94D7_D1E79CD3569C_.wvu.Rows" sId="4"/>
    <undo index="2" exp="area" ref3D="1" dr="$A$227:$XFD$241" dn="Z_455630F5_40FC_47DB_8AD4_712C20B8FB91_.wvu.Rows" sId="4"/>
    <undo index="1" exp="area" ref3D="1" dr="$A$1:$XFD$3" dn="Z_455630F5_40FC_47DB_8AD4_712C20B8FB91_.wvu.Rows" sId="4"/>
    <undo index="2" exp="area" ref3D="1" dr="$A$227:$XFD$241" dn="Z_1E5198E1_BA46_4CE0_8628_4F695B0D7A3B_.wvu.Rows" sId="4"/>
    <undo index="1" exp="area" ref3D="1" dr="$A$1:$XFD$3" dn="Z_1E5198E1_BA46_4CE0_8628_4F695B0D7A3B_.wvu.Rows" sId="4"/>
  </rrc>
  <rrc rId="42733" sId="4" ref="BN1:BN1048576" action="insertCol">
    <undo index="2" exp="area" ref3D="1" dr="$A$227:$XFD$241" dn="Z_F784130D_F647_4ABA_8943_C79CA5B0FDC4_.wvu.Rows" sId="4"/>
    <undo index="1" exp="area" ref3D="1" dr="$A$1:$XFD$3" dn="Z_F784130D_F647_4ABA_8943_C79CA5B0FDC4_.wvu.Rows" sId="4"/>
    <undo index="2" exp="area" ref3D="1" dr="$A$227:$XFD$241" dn="Z_E81D05A4_5B21_42D3_A8D3_906ABCABC0F4_.wvu.Rows" sId="4"/>
    <undo index="1" exp="area" ref3D="1" dr="$A$1:$XFD$3" dn="Z_E81D05A4_5B21_42D3_A8D3_906ABCABC0F4_.wvu.Rows" sId="4"/>
    <undo index="24" exp="area" ref3D="1" dr="$BM$1:$BO$1048576" dn="Z_E81D05A4_5B21_42D3_A8D3_906ABCABC0F4_.wvu.Cols" sId="4"/>
    <undo index="2" exp="area" ref3D="1" dr="$A$227:$XFD$241" dn="Z_E44F5FE1_54FC_4AB3_84F9_7D65ACF2DDE7_.wvu.Rows" sId="4"/>
    <undo index="1" exp="area" ref3D="1" dr="$A$1:$XFD$3" dn="Z_E44F5FE1_54FC_4AB3_84F9_7D65ACF2DDE7_.wvu.Rows" sId="4"/>
    <undo index="2" exp="area" ref3D="1" dr="$A$227:$XFD$241" dn="Z_AEFEB150_9213_45F5_A178_7AC71E46DB11_.wvu.Rows" sId="4"/>
    <undo index="1" exp="area" ref3D="1" dr="$A$1:$XFD$3" dn="Z_AEFEB150_9213_45F5_A178_7AC71E46DB11_.wvu.Rows" sId="4"/>
    <undo index="2" exp="area" ref3D="1" dr="$A$227:$XFD$241" dn="Z_A2518DB3_3A80_4035_9307_EC50A7C923F2_.wvu.Rows" sId="4"/>
    <undo index="1" exp="area" ref3D="1" dr="$A$1:$XFD$3" dn="Z_A2518DB3_3A80_4035_9307_EC50A7C923F2_.wvu.Rows" sId="4"/>
    <undo index="2" exp="area" ref3D="1" dr="$A$227:$XFD$241" dn="Z_9D4F0482_B164_4671_805A_E0D2D4DD4720_.wvu.Rows" sId="4"/>
    <undo index="1" exp="area" ref3D="1" dr="$A$1:$XFD$3" dn="Z_9D4F0482_B164_4671_805A_E0D2D4DD4720_.wvu.Rows" sId="4"/>
    <undo index="2" exp="area" ref3D="1" dr="$A$227:$XFD$241" dn="Z_94DA13B6_7351_40F3_8CF7_A4211EC439DA_.wvu.Rows" sId="4"/>
    <undo index="1" exp="area" ref3D="1" dr="$A$1:$XFD$3" dn="Z_94DA13B6_7351_40F3_8CF7_A4211EC439DA_.wvu.Rows" sId="4"/>
    <undo index="2" exp="area" ref3D="1" dr="$A$227:$XFD$241" dn="Z_8F508F4D_4777_42BE_9707_8CB9355F7BDB_.wvu.Rows" sId="4"/>
    <undo index="1" exp="area" ref3D="1" dr="$A$1:$XFD$3" dn="Z_8F508F4D_4777_42BE_9707_8CB9355F7BDB_.wvu.Rows" sId="4"/>
    <undo index="2" exp="area" ref3D="1" dr="$A$227:$XFD$241" dn="Z_78CA186D_B240_44D5_8A24_D241DE0B0FD9_.wvu.Rows" sId="4"/>
    <undo index="1" exp="area" ref3D="1" dr="$A$1:$XFD$3" dn="Z_78CA186D_B240_44D5_8A24_D241DE0B0FD9_.wvu.Rows" sId="4"/>
    <undo index="24" exp="area" ref3D="1" dr="$BM$1:$BO$1048576" dn="Z_78CA186D_B240_44D5_8A24_D241DE0B0FD9_.wvu.Cols" sId="4"/>
    <undo index="2" exp="area" ref3D="1" dr="$A$227:$XFD$241" dn="Z_567C3053_2D8E_4705_8DC7_18896C5303CA_.wvu.Rows" sId="4"/>
    <undo index="1" exp="area" ref3D="1" dr="$A$1:$XFD$3" dn="Z_567C3053_2D8E_4705_8DC7_18896C5303CA_.wvu.Rows" sId="4"/>
    <undo index="2" exp="area" ref3D="1" dr="$BF$1:$BO$1048576" dn="Z_567C3053_2D8E_4705_8DC7_18896C5303CA_.wvu.Cols" sId="4"/>
    <undo index="2" exp="area" ref3D="1" dr="$A$227:$XFD$241" dn="Z_50528D02_548E_47E0_94D7_D1E79CD3569C_.wvu.Rows" sId="4"/>
    <undo index="1" exp="area" ref3D="1" dr="$A$1:$XFD$3" dn="Z_50528D02_548E_47E0_94D7_D1E79CD3569C_.wvu.Rows" sId="4"/>
    <undo index="2" exp="area" ref3D="1" dr="$A$227:$XFD$241" dn="Z_455630F5_40FC_47DB_8AD4_712C20B8FB91_.wvu.Rows" sId="4"/>
    <undo index="1" exp="area" ref3D="1" dr="$A$1:$XFD$3" dn="Z_455630F5_40FC_47DB_8AD4_712C20B8FB91_.wvu.Rows" sId="4"/>
    <undo index="2" exp="area" ref3D="1" dr="$A$227:$XFD$241" dn="Z_1E5198E1_BA46_4CE0_8628_4F695B0D7A3B_.wvu.Rows" sId="4"/>
    <undo index="1" exp="area" ref3D="1" dr="$A$1:$XFD$3" dn="Z_1E5198E1_BA46_4CE0_8628_4F695B0D7A3B_.wvu.Rows" sId="4"/>
  </rrc>
  <rm rId="42734" sheetId="4" source="BQ4:BQ258" destination="BN4:BN258" sourceSheetId="4">
    <rfmt sheetId="4" sqref="BN4" start="0" length="0">
      <dxf>
        <font>
          <b/>
          <sz val="10"/>
          <color auto="1"/>
          <name val="Arial"/>
          <scheme val="none"/>
        </font>
        <fill>
          <patternFill patternType="solid">
            <bgColor theme="5" tint="0.59999389629810485"/>
          </patternFill>
        </fill>
        <border outline="0">
          <bottom style="medium">
            <color indexed="64"/>
          </bottom>
        </border>
      </dxf>
    </rfmt>
    <rfmt sheetId="4" sqref="BN5" start="0" length="0">
      <dxf>
        <font>
          <b/>
          <sz val="10"/>
          <color auto="1"/>
          <name val="Arial"/>
          <scheme val="none"/>
        </font>
        <fill>
          <patternFill patternType="solid">
            <bgColor theme="5" tint="0.59999389629810485"/>
          </patternFill>
        </fill>
        <alignment horizontal="center" vertical="top" readingOrder="0"/>
        <border outline="0">
          <top style="medium">
            <color indexed="64"/>
          </top>
          <bottom style="medium">
            <color indexed="64"/>
          </bottom>
        </border>
      </dxf>
    </rfmt>
    <rfmt sheetId="4" sqref="BN6" start="0" length="0">
      <dxf>
        <font>
          <sz val="10"/>
          <color auto="1"/>
          <name val="Arial"/>
          <scheme val="none"/>
        </font>
        <fill>
          <patternFill patternType="solid">
            <bgColor theme="0" tint="-0.249977111117893"/>
          </patternFill>
        </fill>
      </dxf>
    </rfmt>
    <rfmt sheetId="4" sqref="BN7" start="0" length="0">
      <dxf>
        <font>
          <sz val="10"/>
          <color auto="1"/>
          <name val="Arial"/>
          <scheme val="none"/>
        </font>
        <numFmt numFmtId="165" formatCode="&quot;$&quot;#,##0"/>
      </dxf>
    </rfmt>
    <rfmt sheetId="4" sqref="BN8" start="0" length="0">
      <dxf>
        <font>
          <sz val="10"/>
          <color auto="1"/>
          <name val="Arial"/>
          <scheme val="none"/>
        </font>
        <numFmt numFmtId="165" formatCode="&quot;$&quot;#,##0"/>
      </dxf>
    </rfmt>
    <rfmt sheetId="4" sqref="BN9" start="0" length="0">
      <dxf>
        <font>
          <sz val="10"/>
          <color auto="1"/>
          <name val="Arial"/>
          <scheme val="none"/>
        </font>
        <numFmt numFmtId="165" formatCode="&quot;$&quot;#,##0"/>
      </dxf>
    </rfmt>
    <rfmt sheetId="4" sqref="BN10" start="0" length="0">
      <dxf>
        <font>
          <sz val="10"/>
          <color auto="1"/>
          <name val="Arial"/>
          <scheme val="none"/>
        </font>
        <numFmt numFmtId="165" formatCode="&quot;$&quot;#,##0"/>
      </dxf>
    </rfmt>
    <rfmt sheetId="4" sqref="BN11" start="0" length="0">
      <dxf>
        <font>
          <sz val="10"/>
          <color auto="1"/>
          <name val="Arial"/>
          <scheme val="none"/>
        </font>
        <numFmt numFmtId="165" formatCode="&quot;$&quot;#,##0"/>
      </dxf>
    </rfmt>
    <rfmt sheetId="4" sqref="BN12" start="0" length="0">
      <dxf>
        <font>
          <sz val="10"/>
          <color auto="1"/>
          <name val="Arial"/>
          <scheme val="none"/>
        </font>
        <numFmt numFmtId="165" formatCode="&quot;$&quot;#,##0"/>
      </dxf>
    </rfmt>
    <rfmt sheetId="4" sqref="BN13" start="0" length="0">
      <dxf>
        <font>
          <sz val="10"/>
          <color auto="1"/>
          <name val="Arial"/>
          <scheme val="none"/>
        </font>
        <numFmt numFmtId="165" formatCode="&quot;$&quot;#,##0"/>
      </dxf>
    </rfmt>
    <rfmt sheetId="4" sqref="BN14" start="0" length="0">
      <dxf>
        <font>
          <sz val="10"/>
          <color auto="1"/>
          <name val="Arial"/>
          <scheme val="none"/>
        </font>
        <numFmt numFmtId="165" formatCode="&quot;$&quot;#,##0"/>
      </dxf>
    </rfmt>
    <rfmt sheetId="4" sqref="BN15" start="0" length="0">
      <dxf>
        <font>
          <sz val="10"/>
          <color auto="1"/>
          <name val="Arial"/>
          <scheme val="none"/>
        </font>
        <numFmt numFmtId="165" formatCode="&quot;$&quot;#,##0"/>
      </dxf>
    </rfmt>
    <rfmt sheetId="4" sqref="BN16" start="0" length="0">
      <dxf>
        <font>
          <sz val="10"/>
          <color auto="1"/>
          <name val="Arial"/>
          <scheme val="none"/>
        </font>
        <numFmt numFmtId="165" formatCode="&quot;$&quot;#,##0"/>
      </dxf>
    </rfmt>
    <rfmt sheetId="4" sqref="BN17" start="0" length="0">
      <dxf>
        <font>
          <sz val="10"/>
          <color auto="1"/>
          <name val="Arial"/>
          <scheme val="none"/>
        </font>
        <numFmt numFmtId="165" formatCode="&quot;$&quot;#,##0"/>
      </dxf>
    </rfmt>
    <rfmt sheetId="4" sqref="BN18" start="0" length="0">
      <dxf>
        <font>
          <sz val="10"/>
          <color auto="1"/>
          <name val="Arial"/>
          <scheme val="none"/>
        </font>
        <numFmt numFmtId="165" formatCode="&quot;$&quot;#,##0"/>
      </dxf>
    </rfmt>
    <rfmt sheetId="4" sqref="BN19" start="0" length="0">
      <dxf>
        <font>
          <sz val="10"/>
          <color auto="1"/>
          <name val="Arial"/>
          <scheme val="none"/>
        </font>
        <numFmt numFmtId="165" formatCode="&quot;$&quot;#,##0"/>
      </dxf>
    </rfmt>
    <rfmt sheetId="4" sqref="BN20" start="0" length="0">
      <dxf>
        <font>
          <sz val="10"/>
          <color auto="1"/>
          <name val="Arial"/>
          <scheme val="none"/>
        </font>
        <numFmt numFmtId="165" formatCode="&quot;$&quot;#,##0"/>
      </dxf>
    </rfmt>
    <rfmt sheetId="4" sqref="BN21" start="0" length="0">
      <dxf>
        <font>
          <sz val="10"/>
          <color auto="1"/>
          <name val="Arial"/>
          <scheme val="none"/>
        </font>
        <numFmt numFmtId="165" formatCode="&quot;$&quot;#,##0"/>
      </dxf>
    </rfmt>
    <rfmt sheetId="4" sqref="BN22" start="0" length="0">
      <dxf>
        <font>
          <sz val="10"/>
          <color auto="1"/>
          <name val="Arial"/>
          <scheme val="none"/>
        </font>
        <numFmt numFmtId="165" formatCode="&quot;$&quot;#,##0"/>
      </dxf>
    </rfmt>
    <rfmt sheetId="4" sqref="BN23" start="0" length="0">
      <dxf>
        <font>
          <sz val="10"/>
          <color auto="1"/>
          <name val="Arial"/>
          <scheme val="none"/>
        </font>
        <numFmt numFmtId="165" formatCode="&quot;$&quot;#,##0"/>
      </dxf>
    </rfmt>
    <rfmt sheetId="4" sqref="BN24" start="0" length="0">
      <dxf>
        <font>
          <sz val="10"/>
          <color auto="1"/>
          <name val="Arial"/>
          <scheme val="none"/>
        </font>
        <numFmt numFmtId="165" formatCode="&quot;$&quot;#,##0"/>
      </dxf>
    </rfmt>
    <rfmt sheetId="4" sqref="BN25" start="0" length="0">
      <dxf>
        <font>
          <sz val="10"/>
          <color auto="1"/>
          <name val="Arial"/>
          <scheme val="none"/>
        </font>
        <numFmt numFmtId="165" formatCode="&quot;$&quot;#,##0"/>
      </dxf>
    </rfmt>
    <rfmt sheetId="4" sqref="BN26" start="0" length="0">
      <dxf>
        <font>
          <sz val="10"/>
          <color auto="1"/>
          <name val="Arial"/>
          <scheme val="none"/>
        </font>
        <numFmt numFmtId="165" formatCode="&quot;$&quot;#,##0"/>
      </dxf>
    </rfmt>
    <rfmt sheetId="4" sqref="BN27" start="0" length="0">
      <dxf>
        <font>
          <sz val="10"/>
          <color auto="1"/>
          <name val="Arial"/>
          <scheme val="none"/>
        </font>
        <numFmt numFmtId="165" formatCode="&quot;$&quot;#,##0"/>
      </dxf>
    </rfmt>
    <rfmt sheetId="4" sqref="BN28" start="0" length="0">
      <dxf>
        <font>
          <sz val="10"/>
          <color auto="1"/>
          <name val="Arial"/>
          <scheme val="none"/>
        </font>
        <numFmt numFmtId="165" formatCode="&quot;$&quot;#,##0"/>
      </dxf>
    </rfmt>
    <rfmt sheetId="4" sqref="BN29" start="0" length="0">
      <dxf>
        <font>
          <sz val="10"/>
          <color auto="1"/>
          <name val="Arial"/>
          <scheme val="none"/>
        </font>
        <numFmt numFmtId="165" formatCode="&quot;$&quot;#,##0"/>
      </dxf>
    </rfmt>
    <rfmt sheetId="4" sqref="BN30" start="0" length="0">
      <dxf>
        <font>
          <sz val="10"/>
          <color auto="1"/>
          <name val="Arial"/>
          <scheme val="none"/>
        </font>
        <numFmt numFmtId="165" formatCode="&quot;$&quot;#,##0"/>
      </dxf>
    </rfmt>
    <rfmt sheetId="4" sqref="BN31" start="0" length="0">
      <dxf>
        <font>
          <sz val="10"/>
          <color auto="1"/>
          <name val="Arial"/>
          <scheme val="none"/>
        </font>
        <numFmt numFmtId="165" formatCode="&quot;$&quot;#,##0"/>
      </dxf>
    </rfmt>
    <rfmt sheetId="4" sqref="BN32" start="0" length="0">
      <dxf>
        <font>
          <sz val="10"/>
          <color auto="1"/>
          <name val="Arial"/>
          <scheme val="none"/>
        </font>
        <numFmt numFmtId="165" formatCode="&quot;$&quot;#,##0"/>
      </dxf>
    </rfmt>
    <rfmt sheetId="4" sqref="BN33" start="0" length="0">
      <dxf>
        <font>
          <sz val="10"/>
          <color auto="1"/>
          <name val="Arial"/>
          <scheme val="none"/>
        </font>
        <numFmt numFmtId="165" formatCode="&quot;$&quot;#,##0"/>
      </dxf>
    </rfmt>
    <rfmt sheetId="4" sqref="BN34" start="0" length="0">
      <dxf>
        <font>
          <sz val="10"/>
          <color auto="1"/>
          <name val="Arial"/>
          <scheme val="none"/>
        </font>
        <numFmt numFmtId="165" formatCode="&quot;$&quot;#,##0"/>
      </dxf>
    </rfmt>
    <rfmt sheetId="4" sqref="BN35" start="0" length="0">
      <dxf>
        <font>
          <sz val="10"/>
          <color auto="1"/>
          <name val="Arial"/>
          <scheme val="none"/>
        </font>
        <numFmt numFmtId="165" formatCode="&quot;$&quot;#,##0"/>
      </dxf>
    </rfmt>
    <rfmt sheetId="4" sqref="BN36" start="0" length="0">
      <dxf>
        <font>
          <sz val="10"/>
          <color auto="1"/>
          <name val="Arial"/>
          <scheme val="none"/>
        </font>
        <numFmt numFmtId="165" formatCode="&quot;$&quot;#,##0"/>
      </dxf>
    </rfmt>
    <rfmt sheetId="4" sqref="BN37" start="0" length="0">
      <dxf>
        <font>
          <sz val="10"/>
          <color auto="1"/>
          <name val="Arial"/>
          <scheme val="none"/>
        </font>
        <numFmt numFmtId="165" formatCode="&quot;$&quot;#,##0"/>
      </dxf>
    </rfmt>
    <rfmt sheetId="4" sqref="BN38" start="0" length="0">
      <dxf>
        <font>
          <sz val="10"/>
          <color auto="1"/>
          <name val="Arial"/>
          <scheme val="none"/>
        </font>
        <numFmt numFmtId="165" formatCode="&quot;$&quot;#,##0"/>
      </dxf>
    </rfmt>
    <rfmt sheetId="4" sqref="BN39" start="0" length="0">
      <dxf>
        <font>
          <sz val="10"/>
          <color auto="1"/>
          <name val="Arial"/>
          <scheme val="none"/>
        </font>
        <numFmt numFmtId="165" formatCode="&quot;$&quot;#,##0"/>
      </dxf>
    </rfmt>
    <rfmt sheetId="4" sqref="BN40" start="0" length="0">
      <dxf>
        <font>
          <sz val="10"/>
          <color auto="1"/>
          <name val="Arial"/>
          <scheme val="none"/>
        </font>
        <numFmt numFmtId="165" formatCode="&quot;$&quot;#,##0"/>
        <border outline="0">
          <bottom style="medium">
            <color indexed="64"/>
          </bottom>
        </border>
      </dxf>
    </rfmt>
    <rfmt sheetId="4" sqref="BN41" start="0" length="0">
      <dxf>
        <font>
          <sz val="10"/>
          <color auto="1"/>
          <name val="Arial"/>
          <scheme val="none"/>
        </font>
        <numFmt numFmtId="165" formatCode="&quot;$&quot;#,##0"/>
      </dxf>
    </rfmt>
    <rfmt sheetId="4" sqref="BN42" start="0" length="0">
      <dxf>
        <font>
          <sz val="10"/>
          <color auto="1"/>
          <name val="Arial"/>
          <scheme val="none"/>
        </font>
        <numFmt numFmtId="165" formatCode="&quot;$&quot;#,##0"/>
      </dxf>
    </rfmt>
    <rfmt sheetId="4" sqref="BN43" start="0" length="0">
      <dxf>
        <font>
          <sz val="10"/>
          <color auto="1"/>
          <name val="Arial"/>
          <scheme val="none"/>
        </font>
        <numFmt numFmtId="165" formatCode="&quot;$&quot;#,##0"/>
      </dxf>
    </rfmt>
    <rfmt sheetId="4" sqref="BN44" start="0" length="0">
      <dxf>
        <font>
          <sz val="10"/>
          <color auto="1"/>
          <name val="Arial"/>
          <scheme val="none"/>
        </font>
        <numFmt numFmtId="165" formatCode="&quot;$&quot;#,##0"/>
      </dxf>
    </rfmt>
    <rfmt sheetId="4" sqref="BN45" start="0" length="0">
      <dxf>
        <font>
          <sz val="10"/>
          <color auto="1"/>
          <name val="Arial"/>
          <scheme val="none"/>
        </font>
        <numFmt numFmtId="165" formatCode="&quot;$&quot;#,##0"/>
      </dxf>
    </rfmt>
    <rfmt sheetId="4" sqref="BN46" start="0" length="0">
      <dxf>
        <font>
          <sz val="10"/>
          <color auto="1"/>
          <name val="Arial"/>
          <scheme val="none"/>
        </font>
        <numFmt numFmtId="165" formatCode="&quot;$&quot;#,##0"/>
      </dxf>
    </rfmt>
    <rfmt sheetId="4" sqref="BN47" start="0" length="0">
      <dxf>
        <font>
          <sz val="10"/>
          <color auto="1"/>
          <name val="Arial"/>
          <scheme val="none"/>
        </font>
        <numFmt numFmtId="165" formatCode="&quot;$&quot;#,##0"/>
      </dxf>
    </rfmt>
    <rfmt sheetId="4" sqref="BN48" start="0" length="0">
      <dxf>
        <font>
          <sz val="10"/>
          <color auto="1"/>
          <name val="Arial"/>
          <scheme val="none"/>
        </font>
        <numFmt numFmtId="165" formatCode="&quot;$&quot;#,##0"/>
      </dxf>
    </rfmt>
    <rfmt sheetId="4" sqref="BN49" start="0" length="0">
      <dxf>
        <font>
          <sz val="10"/>
          <color auto="1"/>
          <name val="Arial"/>
          <scheme val="none"/>
        </font>
        <numFmt numFmtId="165" formatCode="&quot;$&quot;#,##0"/>
      </dxf>
    </rfmt>
    <rfmt sheetId="4" sqref="BN50" start="0" length="0">
      <dxf>
        <font>
          <sz val="10"/>
          <color auto="1"/>
          <name val="Arial"/>
          <scheme val="none"/>
        </font>
        <numFmt numFmtId="165" formatCode="&quot;$&quot;#,##0"/>
        <fill>
          <patternFill patternType="solid">
            <bgColor theme="0" tint="-0.249977111117893"/>
          </patternFill>
        </fill>
      </dxf>
    </rfmt>
    <rfmt sheetId="4" sqref="BN51" start="0" length="0">
      <dxf>
        <font>
          <sz val="10"/>
          <color auto="1"/>
          <name val="Arial"/>
          <scheme val="none"/>
        </font>
        <numFmt numFmtId="165" formatCode="&quot;$&quot;#,##0"/>
      </dxf>
    </rfmt>
    <rfmt sheetId="4" sqref="BN52" start="0" length="0">
      <dxf>
        <font>
          <sz val="10"/>
          <color auto="1"/>
          <name val="Arial"/>
          <scheme val="none"/>
        </font>
        <numFmt numFmtId="165" formatCode="&quot;$&quot;#,##0"/>
      </dxf>
    </rfmt>
    <rfmt sheetId="4" sqref="BN53" start="0" length="0">
      <dxf>
        <font>
          <sz val="10"/>
          <color auto="1"/>
          <name val="Arial"/>
          <scheme val="none"/>
        </font>
        <numFmt numFmtId="165" formatCode="&quot;$&quot;#,##0"/>
      </dxf>
    </rfmt>
    <rfmt sheetId="4" sqref="BN54" start="0" length="0">
      <dxf>
        <font>
          <sz val="10"/>
          <color auto="1"/>
          <name val="Arial"/>
          <scheme val="none"/>
        </font>
        <numFmt numFmtId="165" formatCode="&quot;$&quot;#,##0"/>
      </dxf>
    </rfmt>
    <rfmt sheetId="4" sqref="BN55" start="0" length="0">
      <dxf>
        <font>
          <sz val="10"/>
          <color auto="1"/>
          <name val="Arial"/>
          <scheme val="none"/>
        </font>
        <numFmt numFmtId="165" formatCode="&quot;$&quot;#,##0"/>
      </dxf>
    </rfmt>
    <rfmt sheetId="4" sqref="BN56" start="0" length="0">
      <dxf>
        <font>
          <sz val="10"/>
          <color auto="1"/>
          <name val="Arial"/>
          <scheme val="none"/>
        </font>
        <numFmt numFmtId="165" formatCode="&quot;$&quot;#,##0"/>
      </dxf>
    </rfmt>
    <rfmt sheetId="4" sqref="BN57" start="0" length="0">
      <dxf>
        <font>
          <sz val="10"/>
          <color auto="1"/>
          <name val="Arial"/>
          <scheme val="none"/>
        </font>
        <numFmt numFmtId="165" formatCode="&quot;$&quot;#,##0"/>
      </dxf>
    </rfmt>
    <rfmt sheetId="4" sqref="BN58" start="0" length="0">
      <dxf>
        <font>
          <sz val="10"/>
          <color auto="1"/>
          <name val="Arial"/>
          <scheme val="none"/>
        </font>
        <numFmt numFmtId="165" formatCode="&quot;$&quot;#,##0"/>
      </dxf>
    </rfmt>
    <rfmt sheetId="4" sqref="BN59" start="0" length="0">
      <dxf>
        <font>
          <sz val="10"/>
          <color auto="1"/>
          <name val="Arial"/>
          <scheme val="none"/>
        </font>
        <numFmt numFmtId="165" formatCode="&quot;$&quot;#,##0"/>
      </dxf>
    </rfmt>
    <rfmt sheetId="4" sqref="BN60" start="0" length="0">
      <dxf>
        <font>
          <sz val="10"/>
          <color auto="1"/>
          <name val="Arial"/>
          <scheme val="none"/>
        </font>
        <numFmt numFmtId="165" formatCode="&quot;$&quot;#,##0"/>
      </dxf>
    </rfmt>
    <rfmt sheetId="4" sqref="BN61" start="0" length="0">
      <dxf>
        <font>
          <sz val="10"/>
          <color auto="1"/>
          <name val="Arial"/>
          <scheme val="none"/>
        </font>
        <numFmt numFmtId="165" formatCode="&quot;$&quot;#,##0"/>
      </dxf>
    </rfmt>
    <rfmt sheetId="4" sqref="BN62" start="0" length="0">
      <dxf>
        <font>
          <sz val="10"/>
          <color auto="1"/>
          <name val="Arial"/>
          <scheme val="none"/>
        </font>
        <numFmt numFmtId="165" formatCode="&quot;$&quot;#,##0"/>
      </dxf>
    </rfmt>
    <rfmt sheetId="4" sqref="BN63" start="0" length="0">
      <dxf>
        <font>
          <sz val="10"/>
          <color auto="1"/>
          <name val="Arial"/>
          <scheme val="none"/>
        </font>
        <numFmt numFmtId="165" formatCode="&quot;$&quot;#,##0"/>
      </dxf>
    </rfmt>
    <rfmt sheetId="4" sqref="BN64" start="0" length="0">
      <dxf>
        <font>
          <sz val="10"/>
          <color auto="1"/>
          <name val="Arial"/>
          <scheme val="none"/>
        </font>
        <numFmt numFmtId="165" formatCode="&quot;$&quot;#,##0"/>
      </dxf>
    </rfmt>
    <rfmt sheetId="4" sqref="BN65" start="0" length="0">
      <dxf>
        <font>
          <sz val="10"/>
          <color auto="1"/>
          <name val="Arial"/>
          <scheme val="none"/>
        </font>
        <numFmt numFmtId="165" formatCode="&quot;$&quot;#,##0"/>
      </dxf>
    </rfmt>
    <rfmt sheetId="4" sqref="BN66" start="0" length="0">
      <dxf>
        <font>
          <sz val="10"/>
          <color auto="1"/>
          <name val="Arial"/>
          <scheme val="none"/>
        </font>
        <numFmt numFmtId="165" formatCode="&quot;$&quot;#,##0"/>
      </dxf>
    </rfmt>
    <rfmt sheetId="4" sqref="BN67" start="0" length="0">
      <dxf>
        <font>
          <sz val="10"/>
          <color auto="1"/>
          <name val="Arial"/>
          <scheme val="none"/>
        </font>
        <numFmt numFmtId="165" formatCode="&quot;$&quot;#,##0"/>
      </dxf>
    </rfmt>
    <rfmt sheetId="4" sqref="BN68" start="0" length="0">
      <dxf>
        <font>
          <sz val="10"/>
          <color auto="1"/>
          <name val="Arial"/>
          <scheme val="none"/>
        </font>
        <numFmt numFmtId="165" formatCode="&quot;$&quot;#,##0"/>
      </dxf>
    </rfmt>
    <rfmt sheetId="4" sqref="BN69" start="0" length="0">
      <dxf>
        <font>
          <sz val="10"/>
          <color auto="1"/>
          <name val="Arial"/>
          <scheme val="none"/>
        </font>
        <numFmt numFmtId="165" formatCode="&quot;$&quot;#,##0"/>
      </dxf>
    </rfmt>
    <rfmt sheetId="4" sqref="BN70" start="0" length="0">
      <dxf>
        <font>
          <sz val="10"/>
          <color auto="1"/>
          <name val="Arial"/>
          <scheme val="none"/>
        </font>
        <numFmt numFmtId="165" formatCode="&quot;$&quot;#,##0"/>
      </dxf>
    </rfmt>
    <rfmt sheetId="4" sqref="BN71" start="0" length="0">
      <dxf>
        <font>
          <sz val="10"/>
          <color auto="1"/>
          <name val="Arial"/>
          <scheme val="none"/>
        </font>
        <numFmt numFmtId="165" formatCode="&quot;$&quot;#,##0"/>
      </dxf>
    </rfmt>
    <rfmt sheetId="4" sqref="BN72" start="0" length="0">
      <dxf>
        <font>
          <sz val="10"/>
          <color auto="1"/>
          <name val="Arial"/>
          <scheme val="none"/>
        </font>
        <numFmt numFmtId="165" formatCode="&quot;$&quot;#,##0"/>
      </dxf>
    </rfmt>
    <rfmt sheetId="4" sqref="BN73" start="0" length="0">
      <dxf>
        <font>
          <sz val="10"/>
          <color auto="1"/>
          <name val="Arial"/>
          <scheme val="none"/>
        </font>
        <numFmt numFmtId="165" formatCode="&quot;$&quot;#,##0"/>
        <border outline="0">
          <bottom style="medium">
            <color indexed="64"/>
          </bottom>
        </border>
      </dxf>
    </rfmt>
    <rfmt sheetId="4" sqref="BN74" start="0" length="0">
      <dxf>
        <font>
          <sz val="10"/>
          <color auto="1"/>
          <name val="Arial"/>
          <scheme val="none"/>
        </font>
        <numFmt numFmtId="165" formatCode="&quot;$&quot;#,##0"/>
      </dxf>
    </rfmt>
    <rfmt sheetId="4" sqref="BN75" start="0" length="0">
      <dxf>
        <font>
          <sz val="10"/>
          <color auto="1"/>
          <name val="Arial"/>
          <scheme val="none"/>
        </font>
        <numFmt numFmtId="165" formatCode="&quot;$&quot;#,##0"/>
      </dxf>
    </rfmt>
    <rfmt sheetId="4" sqref="BN76" start="0" length="0">
      <dxf>
        <font>
          <sz val="10"/>
          <color auto="1"/>
          <name val="Arial"/>
          <scheme val="none"/>
        </font>
        <numFmt numFmtId="165" formatCode="&quot;$&quot;#,##0"/>
      </dxf>
    </rfmt>
    <rfmt sheetId="4" sqref="BN77" start="0" length="0">
      <dxf>
        <font>
          <sz val="10"/>
          <color auto="1"/>
          <name val="Arial"/>
          <scheme val="none"/>
        </font>
        <numFmt numFmtId="165" formatCode="&quot;$&quot;#,##0"/>
      </dxf>
    </rfmt>
    <rfmt sheetId="4" sqref="BN78" start="0" length="0">
      <dxf>
        <font>
          <sz val="10"/>
          <color auto="1"/>
          <name val="Arial"/>
          <scheme val="none"/>
        </font>
        <numFmt numFmtId="165" formatCode="&quot;$&quot;#,##0"/>
      </dxf>
    </rfmt>
    <rfmt sheetId="4" sqref="BN79" start="0" length="0">
      <dxf>
        <font>
          <sz val="10"/>
          <color auto="1"/>
          <name val="Arial"/>
          <scheme val="none"/>
        </font>
        <numFmt numFmtId="165" formatCode="&quot;$&quot;#,##0"/>
      </dxf>
    </rfmt>
    <rfmt sheetId="4" sqref="BN80" start="0" length="0">
      <dxf>
        <font>
          <sz val="10"/>
          <color auto="1"/>
          <name val="Arial"/>
          <scheme val="none"/>
        </font>
        <numFmt numFmtId="165" formatCode="&quot;$&quot;#,##0"/>
      </dxf>
    </rfmt>
    <rfmt sheetId="4" sqref="BN81" start="0" length="0">
      <dxf>
        <font>
          <sz val="10"/>
          <color auto="1"/>
          <name val="Arial"/>
          <scheme val="none"/>
        </font>
        <numFmt numFmtId="165" formatCode="&quot;$&quot;#,##0"/>
      </dxf>
    </rfmt>
    <rfmt sheetId="4" sqref="BN82" start="0" length="0">
      <dxf>
        <font>
          <sz val="10"/>
          <color auto="1"/>
          <name val="Arial"/>
          <scheme val="none"/>
        </font>
        <numFmt numFmtId="165" formatCode="&quot;$&quot;#,##0"/>
      </dxf>
    </rfmt>
    <rfmt sheetId="4" sqref="BN83" start="0" length="0">
      <dxf>
        <font>
          <sz val="10"/>
          <color auto="1"/>
          <name val="Arial"/>
          <scheme val="none"/>
        </font>
        <numFmt numFmtId="165" formatCode="&quot;$&quot;#,##0"/>
      </dxf>
    </rfmt>
    <rfmt sheetId="4" sqref="BN84" start="0" length="0">
      <dxf>
        <font>
          <sz val="10"/>
          <color auto="1"/>
          <name val="Arial"/>
          <scheme val="none"/>
        </font>
        <numFmt numFmtId="165" formatCode="&quot;$&quot;#,##0"/>
        <fill>
          <patternFill patternType="solid">
            <bgColor theme="0" tint="-0.249977111117893"/>
          </patternFill>
        </fill>
      </dxf>
    </rfmt>
    <rfmt sheetId="4" sqref="BN85" start="0" length="0">
      <dxf>
        <font>
          <sz val="10"/>
          <color auto="1"/>
          <name val="Arial"/>
          <scheme val="none"/>
        </font>
        <numFmt numFmtId="165" formatCode="&quot;$&quot;#,##0"/>
      </dxf>
    </rfmt>
    <rfmt sheetId="4" sqref="BN86" start="0" length="0">
      <dxf>
        <font>
          <sz val="10"/>
          <color auto="1"/>
          <name val="Arial"/>
          <scheme val="none"/>
        </font>
        <numFmt numFmtId="165" formatCode="&quot;$&quot;#,##0"/>
      </dxf>
    </rfmt>
    <rfmt sheetId="4" sqref="BN87" start="0" length="0">
      <dxf>
        <font>
          <sz val="10"/>
          <color auto="1"/>
          <name val="Arial"/>
          <scheme val="none"/>
        </font>
        <numFmt numFmtId="165" formatCode="&quot;$&quot;#,##0"/>
      </dxf>
    </rfmt>
    <rfmt sheetId="4" sqref="BN88" start="0" length="0">
      <dxf>
        <font>
          <sz val="10"/>
          <color auto="1"/>
          <name val="Arial"/>
          <scheme val="none"/>
        </font>
        <numFmt numFmtId="165" formatCode="&quot;$&quot;#,##0"/>
      </dxf>
    </rfmt>
    <rfmt sheetId="4" sqref="BN89" start="0" length="0">
      <dxf>
        <font>
          <sz val="10"/>
          <color auto="1"/>
          <name val="Arial"/>
          <scheme val="none"/>
        </font>
        <numFmt numFmtId="165" formatCode="&quot;$&quot;#,##0"/>
      </dxf>
    </rfmt>
    <rfmt sheetId="4" sqref="BN90" start="0" length="0">
      <dxf>
        <font>
          <sz val="10"/>
          <color auto="1"/>
          <name val="Arial"/>
          <scheme val="none"/>
        </font>
        <numFmt numFmtId="165" formatCode="&quot;$&quot;#,##0"/>
      </dxf>
    </rfmt>
    <rfmt sheetId="4" sqref="BN91" start="0" length="0">
      <dxf>
        <font>
          <sz val="10"/>
          <color auto="1"/>
          <name val="Arial"/>
          <scheme val="none"/>
        </font>
        <numFmt numFmtId="165" formatCode="&quot;$&quot;#,##0"/>
      </dxf>
    </rfmt>
    <rfmt sheetId="4" sqref="BN92" start="0" length="0">
      <dxf>
        <font>
          <sz val="10"/>
          <color auto="1"/>
          <name val="Arial"/>
          <scheme val="none"/>
        </font>
        <numFmt numFmtId="165" formatCode="&quot;$&quot;#,##0"/>
      </dxf>
    </rfmt>
    <rfmt sheetId="4" sqref="BN93" start="0" length="0">
      <dxf>
        <font>
          <sz val="10"/>
          <color auto="1"/>
          <name val="Arial"/>
          <scheme val="none"/>
        </font>
        <numFmt numFmtId="165" formatCode="&quot;$&quot;#,##0"/>
      </dxf>
    </rfmt>
    <rfmt sheetId="4" sqref="BN94" start="0" length="0">
      <dxf>
        <font>
          <sz val="10"/>
          <color auto="1"/>
          <name val="Arial"/>
          <scheme val="none"/>
        </font>
        <numFmt numFmtId="165" formatCode="&quot;$&quot;#,##0"/>
      </dxf>
    </rfmt>
    <rfmt sheetId="4" sqref="BN95" start="0" length="0">
      <dxf>
        <font>
          <sz val="10"/>
          <color auto="1"/>
          <name val="Arial"/>
          <scheme val="none"/>
        </font>
        <numFmt numFmtId="165" formatCode="&quot;$&quot;#,##0"/>
      </dxf>
    </rfmt>
    <rfmt sheetId="4" sqref="BN96" start="0" length="0">
      <dxf>
        <font>
          <sz val="10"/>
          <color auto="1"/>
          <name val="Arial"/>
          <scheme val="none"/>
        </font>
        <numFmt numFmtId="165" formatCode="&quot;$&quot;#,##0"/>
      </dxf>
    </rfmt>
    <rfmt sheetId="4" sqref="BN97" start="0" length="0">
      <dxf>
        <font>
          <sz val="10"/>
          <color auto="1"/>
          <name val="Arial"/>
          <scheme val="none"/>
        </font>
        <numFmt numFmtId="165" formatCode="&quot;$&quot;#,##0"/>
      </dxf>
    </rfmt>
    <rfmt sheetId="4" sqref="BN98" start="0" length="0">
      <dxf>
        <font>
          <sz val="10"/>
          <color auto="1"/>
          <name val="Arial"/>
          <scheme val="none"/>
        </font>
        <numFmt numFmtId="165" formatCode="&quot;$&quot;#,##0"/>
      </dxf>
    </rfmt>
    <rfmt sheetId="4" sqref="BN99" start="0" length="0">
      <dxf>
        <font>
          <sz val="10"/>
          <color auto="1"/>
          <name val="Arial"/>
          <scheme val="none"/>
        </font>
        <numFmt numFmtId="165" formatCode="&quot;$&quot;#,##0"/>
      </dxf>
    </rfmt>
    <rfmt sheetId="4" sqref="BN100" start="0" length="0">
      <dxf>
        <font>
          <sz val="10"/>
          <color auto="1"/>
          <name val="Arial"/>
          <scheme val="none"/>
        </font>
        <numFmt numFmtId="165" formatCode="&quot;$&quot;#,##0"/>
      </dxf>
    </rfmt>
    <rfmt sheetId="4" sqref="BN101" start="0" length="0">
      <dxf>
        <font>
          <sz val="10"/>
          <color auto="1"/>
          <name val="Arial"/>
          <scheme val="none"/>
        </font>
        <numFmt numFmtId="165" formatCode="&quot;$&quot;#,##0"/>
      </dxf>
    </rfmt>
    <rfmt sheetId="4" sqref="BN102" start="0" length="0">
      <dxf>
        <font>
          <sz val="10"/>
          <color auto="1"/>
          <name val="Arial"/>
          <scheme val="none"/>
        </font>
        <numFmt numFmtId="165" formatCode="&quot;$&quot;#,##0"/>
      </dxf>
    </rfmt>
    <rfmt sheetId="4" sqref="BN103" start="0" length="0">
      <dxf>
        <font>
          <sz val="10"/>
          <color auto="1"/>
          <name val="Arial"/>
          <scheme val="none"/>
        </font>
        <numFmt numFmtId="165" formatCode="&quot;$&quot;#,##0"/>
      </dxf>
    </rfmt>
    <rfmt sheetId="4" sqref="BN104" start="0" length="0">
      <dxf>
        <font>
          <sz val="10"/>
          <color auto="1"/>
          <name val="Arial"/>
          <scheme val="none"/>
        </font>
        <numFmt numFmtId="165" formatCode="&quot;$&quot;#,##0"/>
      </dxf>
    </rfmt>
    <rfmt sheetId="4" sqref="BN105" start="0" length="0">
      <dxf>
        <font>
          <sz val="10"/>
          <color auto="1"/>
          <name val="Arial"/>
          <scheme val="none"/>
        </font>
        <numFmt numFmtId="165" formatCode="&quot;$&quot;#,##0"/>
      </dxf>
    </rfmt>
    <rfmt sheetId="4" sqref="BN106" start="0" length="0">
      <dxf>
        <font>
          <sz val="10"/>
          <color auto="1"/>
          <name val="Arial"/>
          <scheme val="none"/>
        </font>
        <numFmt numFmtId="165" formatCode="&quot;$&quot;#,##0"/>
      </dxf>
    </rfmt>
    <rfmt sheetId="4" sqref="BN107" start="0" length="0">
      <dxf>
        <font>
          <sz val="10"/>
          <color auto="1"/>
          <name val="Arial"/>
          <scheme val="none"/>
        </font>
        <numFmt numFmtId="165" formatCode="&quot;$&quot;#,##0"/>
      </dxf>
    </rfmt>
    <rfmt sheetId="4" sqref="BN108" start="0" length="0">
      <dxf>
        <font>
          <sz val="10"/>
          <color auto="1"/>
          <name val="Arial"/>
          <scheme val="none"/>
        </font>
        <numFmt numFmtId="165" formatCode="&quot;$&quot;#,##0"/>
        <border outline="0">
          <bottom style="medium">
            <color indexed="64"/>
          </bottom>
        </border>
      </dxf>
    </rfmt>
    <rfmt sheetId="4" sqref="BN109" start="0" length="0">
      <dxf>
        <font>
          <sz val="10"/>
          <color auto="1"/>
          <name val="Arial"/>
          <scheme val="none"/>
        </font>
        <numFmt numFmtId="165" formatCode="&quot;$&quot;#,##0"/>
      </dxf>
    </rfmt>
    <rfmt sheetId="4" sqref="BN110" start="0" length="0">
      <dxf>
        <font>
          <sz val="10"/>
          <color auto="1"/>
          <name val="Arial"/>
          <scheme val="none"/>
        </font>
        <numFmt numFmtId="165" formatCode="&quot;$&quot;#,##0"/>
      </dxf>
    </rfmt>
    <rfmt sheetId="4" sqref="BN111" start="0" length="0">
      <dxf>
        <font>
          <sz val="10"/>
          <color auto="1"/>
          <name val="Arial"/>
          <scheme val="none"/>
        </font>
        <numFmt numFmtId="165" formatCode="&quot;$&quot;#,##0"/>
      </dxf>
    </rfmt>
    <rfmt sheetId="4" sqref="BN112" start="0" length="0">
      <dxf>
        <font>
          <sz val="10"/>
          <color auto="1"/>
          <name val="Arial"/>
          <scheme val="none"/>
        </font>
        <numFmt numFmtId="165" formatCode="&quot;$&quot;#,##0"/>
      </dxf>
    </rfmt>
    <rfmt sheetId="4" sqref="BN113" start="0" length="0">
      <dxf>
        <font>
          <sz val="10"/>
          <color auto="1"/>
          <name val="Arial"/>
          <scheme val="none"/>
        </font>
        <numFmt numFmtId="165" formatCode="&quot;$&quot;#,##0"/>
      </dxf>
    </rfmt>
    <rfmt sheetId="4" sqref="BN114" start="0" length="0">
      <dxf>
        <font>
          <sz val="10"/>
          <color auto="1"/>
          <name val="Arial"/>
          <scheme val="none"/>
        </font>
        <numFmt numFmtId="165" formatCode="&quot;$&quot;#,##0"/>
      </dxf>
    </rfmt>
    <rfmt sheetId="4" sqref="BN115" start="0" length="0">
      <dxf>
        <font>
          <sz val="10"/>
          <color auto="1"/>
          <name val="Arial"/>
          <scheme val="none"/>
        </font>
        <numFmt numFmtId="165" formatCode="&quot;$&quot;#,##0"/>
      </dxf>
    </rfmt>
    <rfmt sheetId="4" sqref="BN116" start="0" length="0">
      <dxf>
        <font>
          <sz val="10"/>
          <color auto="1"/>
          <name val="Arial"/>
          <scheme val="none"/>
        </font>
        <numFmt numFmtId="165" formatCode="&quot;$&quot;#,##0"/>
      </dxf>
    </rfmt>
    <rfmt sheetId="4" sqref="BN117" start="0" length="0">
      <dxf>
        <font>
          <sz val="10"/>
          <color auto="1"/>
          <name val="Arial"/>
          <scheme val="none"/>
        </font>
        <numFmt numFmtId="165" formatCode="&quot;$&quot;#,##0"/>
      </dxf>
    </rfmt>
    <rfmt sheetId="4" sqref="BN118" start="0" length="0">
      <dxf>
        <font>
          <sz val="10"/>
          <color auto="1"/>
          <name val="Arial"/>
          <scheme val="none"/>
        </font>
        <numFmt numFmtId="165" formatCode="&quot;$&quot;#,##0"/>
      </dxf>
    </rfmt>
    <rfmt sheetId="4" sqref="BN119" start="0" length="0">
      <dxf>
        <font>
          <sz val="10"/>
          <color auto="1"/>
          <name val="Arial"/>
          <scheme val="none"/>
        </font>
        <numFmt numFmtId="165" formatCode="&quot;$&quot;#,##0"/>
        <fill>
          <patternFill patternType="solid">
            <bgColor theme="0" tint="-0.249977111117893"/>
          </patternFill>
        </fill>
      </dxf>
    </rfmt>
    <rfmt sheetId="4" sqref="BN120" start="0" length="0">
      <dxf>
        <font>
          <sz val="10"/>
          <color auto="1"/>
          <name val="Arial"/>
          <scheme val="none"/>
        </font>
        <numFmt numFmtId="165" formatCode="&quot;$&quot;#,##0"/>
        <fill>
          <patternFill patternType="solid">
            <bgColor rgb="FFFFFF00"/>
          </patternFill>
        </fill>
      </dxf>
    </rfmt>
    <rfmt sheetId="4" sqref="BN121" start="0" length="0">
      <dxf>
        <font>
          <sz val="10"/>
          <color auto="1"/>
          <name val="Arial"/>
          <scheme val="none"/>
        </font>
        <numFmt numFmtId="165" formatCode="&quot;$&quot;#,##0"/>
        <fill>
          <patternFill patternType="solid">
            <bgColor rgb="FFFFFF00"/>
          </patternFill>
        </fill>
      </dxf>
    </rfmt>
    <rfmt sheetId="4" sqref="BN122" start="0" length="0">
      <dxf>
        <font>
          <sz val="10"/>
          <color auto="1"/>
          <name val="Arial"/>
          <scheme val="none"/>
        </font>
        <numFmt numFmtId="165" formatCode="&quot;$&quot;#,##0"/>
        <fill>
          <patternFill patternType="solid">
            <bgColor rgb="FFFFFF00"/>
          </patternFill>
        </fill>
      </dxf>
    </rfmt>
    <rfmt sheetId="4" sqref="BN123" start="0" length="0">
      <dxf>
        <font>
          <sz val="10"/>
          <color auto="1"/>
          <name val="Arial"/>
          <scheme val="none"/>
        </font>
        <numFmt numFmtId="165" formatCode="&quot;$&quot;#,##0"/>
        <fill>
          <patternFill patternType="solid">
            <bgColor rgb="FFFFFF00"/>
          </patternFill>
        </fill>
      </dxf>
    </rfmt>
    <rfmt sheetId="4" sqref="BN124" start="0" length="0">
      <dxf>
        <font>
          <sz val="10"/>
          <color auto="1"/>
          <name val="Arial"/>
          <scheme val="none"/>
        </font>
        <numFmt numFmtId="165" formatCode="&quot;$&quot;#,##0"/>
        <fill>
          <patternFill patternType="solid">
            <bgColor rgb="FFFFFF00"/>
          </patternFill>
        </fill>
      </dxf>
    </rfmt>
    <rfmt sheetId="4" sqref="BN125" start="0" length="0">
      <dxf>
        <font>
          <sz val="10"/>
          <color auto="1"/>
          <name val="Arial"/>
          <scheme val="none"/>
        </font>
        <numFmt numFmtId="165" formatCode="&quot;$&quot;#,##0"/>
        <fill>
          <patternFill patternType="solid">
            <bgColor rgb="FFFFFF00"/>
          </patternFill>
        </fill>
      </dxf>
    </rfmt>
    <rfmt sheetId="4" sqref="BN126" start="0" length="0">
      <dxf>
        <font>
          <sz val="10"/>
          <color auto="1"/>
          <name val="Arial"/>
          <scheme val="none"/>
        </font>
        <numFmt numFmtId="165" formatCode="&quot;$&quot;#,##0"/>
        <fill>
          <patternFill patternType="solid">
            <bgColor rgb="FFFFFF00"/>
          </patternFill>
        </fill>
      </dxf>
    </rfmt>
    <rfmt sheetId="4" sqref="BN127" start="0" length="0">
      <dxf>
        <font>
          <sz val="10"/>
          <color auto="1"/>
          <name val="Arial"/>
          <scheme val="none"/>
        </font>
        <numFmt numFmtId="165" formatCode="&quot;$&quot;#,##0"/>
        <fill>
          <patternFill patternType="solid">
            <bgColor rgb="FFFFFF00"/>
          </patternFill>
        </fill>
      </dxf>
    </rfmt>
    <rfmt sheetId="4" sqref="BN128" start="0" length="0">
      <dxf>
        <font>
          <sz val="10"/>
          <color auto="1"/>
          <name val="Arial"/>
          <scheme val="none"/>
        </font>
        <numFmt numFmtId="165" formatCode="&quot;$&quot;#,##0"/>
      </dxf>
    </rfmt>
    <rfmt sheetId="4" sqref="BN129" start="0" length="0">
      <dxf>
        <font>
          <sz val="10"/>
          <color auto="1"/>
          <name val="Arial"/>
          <scheme val="none"/>
        </font>
        <numFmt numFmtId="165" formatCode="&quot;$&quot;#,##0"/>
        <fill>
          <patternFill patternType="solid">
            <bgColor rgb="FFFFFF00"/>
          </patternFill>
        </fill>
      </dxf>
    </rfmt>
    <rfmt sheetId="4" sqref="BN130" start="0" length="0">
      <dxf>
        <font>
          <sz val="10"/>
          <color auto="1"/>
          <name val="Arial"/>
          <scheme val="none"/>
        </font>
        <numFmt numFmtId="165" formatCode="&quot;$&quot;#,##0"/>
        <fill>
          <patternFill patternType="solid">
            <bgColor rgb="FFFFFF00"/>
          </patternFill>
        </fill>
      </dxf>
    </rfmt>
    <rfmt sheetId="4" sqref="BN131" start="0" length="0">
      <dxf>
        <font>
          <sz val="10"/>
          <color auto="1"/>
          <name val="Arial"/>
          <scheme val="none"/>
        </font>
        <numFmt numFmtId="165" formatCode="&quot;$&quot;#,##0"/>
        <fill>
          <patternFill patternType="solid">
            <bgColor rgb="FFFFFF00"/>
          </patternFill>
        </fill>
      </dxf>
    </rfmt>
    <rfmt sheetId="4" sqref="BN132" start="0" length="0">
      <dxf>
        <font>
          <sz val="10"/>
          <color auto="1"/>
          <name val="Arial"/>
          <scheme val="none"/>
        </font>
        <numFmt numFmtId="165" formatCode="&quot;$&quot;#,##0"/>
        <fill>
          <patternFill patternType="solid">
            <bgColor rgb="FFFFFF00"/>
          </patternFill>
        </fill>
        <border outline="0">
          <bottom style="medium">
            <color indexed="64"/>
          </bottom>
        </border>
      </dxf>
    </rfmt>
    <rfmt sheetId="4" sqref="BN133" start="0" length="0">
      <dxf>
        <font>
          <sz val="10"/>
          <color auto="1"/>
          <name val="Arial"/>
          <scheme val="none"/>
        </font>
        <numFmt numFmtId="165" formatCode="&quot;$&quot;#,##0"/>
      </dxf>
    </rfmt>
    <rfmt sheetId="4" sqref="BN134" start="0" length="0">
      <dxf>
        <font>
          <sz val="10"/>
          <color auto="1"/>
          <name val="Arial"/>
          <scheme val="none"/>
        </font>
        <numFmt numFmtId="165" formatCode="&quot;$&quot;#,##0"/>
      </dxf>
    </rfmt>
    <rfmt sheetId="4" sqref="BN135" start="0" length="0">
      <dxf>
        <font>
          <sz val="10"/>
          <color auto="1"/>
          <name val="Arial"/>
          <scheme val="none"/>
        </font>
        <numFmt numFmtId="165" formatCode="&quot;$&quot;#,##0"/>
      </dxf>
    </rfmt>
    <rfmt sheetId="4" sqref="BN136" start="0" length="0">
      <dxf>
        <font>
          <sz val="10"/>
          <color auto="1"/>
          <name val="Arial"/>
          <scheme val="none"/>
        </font>
        <numFmt numFmtId="165" formatCode="&quot;$&quot;#,##0"/>
      </dxf>
    </rfmt>
    <rfmt sheetId="4" sqref="BN137" start="0" length="0">
      <dxf>
        <font>
          <sz val="10"/>
          <color auto="1"/>
          <name val="Arial"/>
          <scheme val="none"/>
        </font>
        <numFmt numFmtId="165" formatCode="&quot;$&quot;#,##0"/>
      </dxf>
    </rfmt>
    <rfmt sheetId="4" sqref="BN138" start="0" length="0">
      <dxf>
        <font>
          <sz val="10"/>
          <color auto="1"/>
          <name val="Arial"/>
          <scheme val="none"/>
        </font>
        <numFmt numFmtId="165" formatCode="&quot;$&quot;#,##0"/>
      </dxf>
    </rfmt>
    <rfmt sheetId="4" sqref="BN139" start="0" length="0">
      <dxf>
        <font>
          <sz val="10"/>
          <color auto="1"/>
          <name val="Arial"/>
          <scheme val="none"/>
        </font>
        <numFmt numFmtId="165" formatCode="&quot;$&quot;#,##0"/>
      </dxf>
    </rfmt>
    <rfmt sheetId="4" sqref="BN140" start="0" length="0">
      <dxf>
        <font>
          <sz val="10"/>
          <color auto="1"/>
          <name val="Arial"/>
          <scheme val="none"/>
        </font>
        <numFmt numFmtId="165" formatCode="&quot;$&quot;#,##0"/>
      </dxf>
    </rfmt>
    <rfmt sheetId="4" sqref="BN141" start="0" length="0">
      <dxf>
        <font>
          <sz val="10"/>
          <color auto="1"/>
          <name val="Arial"/>
          <scheme val="none"/>
        </font>
        <numFmt numFmtId="165" formatCode="&quot;$&quot;#,##0"/>
      </dxf>
    </rfmt>
    <rfmt sheetId="4" sqref="BN142" start="0" length="0">
      <dxf>
        <font>
          <sz val="10"/>
          <color auto="1"/>
          <name val="Arial"/>
          <scheme val="none"/>
        </font>
        <numFmt numFmtId="165" formatCode="&quot;$&quot;#,##0"/>
      </dxf>
    </rfmt>
    <rfmt sheetId="4" sqref="BN143" start="0" length="0">
      <dxf>
        <font>
          <sz val="10"/>
          <color auto="1"/>
          <name val="Arial"/>
          <scheme val="none"/>
        </font>
        <numFmt numFmtId="165" formatCode="&quot;$&quot;#,##0"/>
      </dxf>
    </rfmt>
    <rfmt sheetId="4" sqref="BN144" start="0" length="0">
      <dxf>
        <font>
          <sz val="10"/>
          <color auto="1"/>
          <name val="Arial"/>
          <scheme val="none"/>
        </font>
        <numFmt numFmtId="165" formatCode="&quot;$&quot;#,##0"/>
      </dxf>
    </rfmt>
    <rfmt sheetId="4" sqref="BN145" start="0" length="0">
      <dxf>
        <font>
          <sz val="10"/>
          <color auto="1"/>
          <name val="Arial"/>
          <scheme val="none"/>
        </font>
        <numFmt numFmtId="165" formatCode="&quot;$&quot;#,##0"/>
        <fill>
          <patternFill patternType="solid">
            <bgColor theme="0" tint="-0.249977111117893"/>
          </patternFill>
        </fill>
      </dxf>
    </rfmt>
    <rfmt sheetId="4" sqref="BN146" start="0" length="0">
      <dxf>
        <font>
          <sz val="10"/>
          <color auto="1"/>
          <name val="Arial"/>
          <scheme val="none"/>
        </font>
        <numFmt numFmtId="165" formatCode="&quot;$&quot;#,##0"/>
      </dxf>
    </rfmt>
    <rfmt sheetId="4" sqref="BN147" start="0" length="0">
      <dxf>
        <font>
          <sz val="10"/>
          <color auto="1"/>
          <name val="Arial"/>
          <scheme val="none"/>
        </font>
        <numFmt numFmtId="165" formatCode="&quot;$&quot;#,##0"/>
      </dxf>
    </rfmt>
    <rfmt sheetId="4" sqref="BN148" start="0" length="0">
      <dxf>
        <font>
          <sz val="10"/>
          <color auto="1"/>
          <name val="Arial"/>
          <scheme val="none"/>
        </font>
        <numFmt numFmtId="165" formatCode="&quot;$&quot;#,##0"/>
      </dxf>
    </rfmt>
    <rfmt sheetId="4" sqref="BN149" start="0" length="0">
      <dxf>
        <font>
          <sz val="10"/>
          <color auto="1"/>
          <name val="Arial"/>
          <scheme val="none"/>
        </font>
        <numFmt numFmtId="165" formatCode="&quot;$&quot;#,##0"/>
      </dxf>
    </rfmt>
    <rfmt sheetId="4" sqref="BN150" start="0" length="0">
      <dxf>
        <font>
          <sz val="10"/>
          <color auto="1"/>
          <name val="Arial"/>
          <scheme val="none"/>
        </font>
        <numFmt numFmtId="165" formatCode="&quot;$&quot;#,##0"/>
      </dxf>
    </rfmt>
    <rfmt sheetId="4" sqref="BN151" start="0" length="0">
      <dxf>
        <font>
          <sz val="10"/>
          <color auto="1"/>
          <name val="Arial"/>
          <scheme val="none"/>
        </font>
        <numFmt numFmtId="165" formatCode="&quot;$&quot;#,##0"/>
      </dxf>
    </rfmt>
    <rfmt sheetId="4" sqref="BN152" start="0" length="0">
      <dxf>
        <font>
          <sz val="10"/>
          <color auto="1"/>
          <name val="Arial"/>
          <scheme val="none"/>
        </font>
        <numFmt numFmtId="165" formatCode="&quot;$&quot;#,##0"/>
      </dxf>
    </rfmt>
    <rfmt sheetId="4" sqref="BN153" start="0" length="0">
      <dxf>
        <font>
          <sz val="10"/>
          <color auto="1"/>
          <name val="Arial"/>
          <scheme val="none"/>
        </font>
        <numFmt numFmtId="165" formatCode="&quot;$&quot;#,##0"/>
      </dxf>
    </rfmt>
    <rfmt sheetId="4" sqref="BN154" start="0" length="0">
      <dxf>
        <font>
          <sz val="10"/>
          <color auto="1"/>
          <name val="Arial"/>
          <scheme val="none"/>
        </font>
        <numFmt numFmtId="165" formatCode="&quot;$&quot;#,##0"/>
      </dxf>
    </rfmt>
    <rfmt sheetId="4" sqref="BN155" start="0" length="0">
      <dxf>
        <font>
          <sz val="10"/>
          <color auto="1"/>
          <name val="Arial"/>
          <scheme val="none"/>
        </font>
        <numFmt numFmtId="165" formatCode="&quot;$&quot;#,##0"/>
      </dxf>
    </rfmt>
    <rfmt sheetId="4" sqref="BN156" start="0" length="0">
      <dxf>
        <font>
          <sz val="10"/>
          <color auto="1"/>
          <name val="Arial"/>
          <scheme val="none"/>
        </font>
        <numFmt numFmtId="165" formatCode="&quot;$&quot;#,##0"/>
      </dxf>
    </rfmt>
    <rfmt sheetId="4" sqref="BN157" start="0" length="0">
      <dxf>
        <font>
          <sz val="10"/>
          <color auto="1"/>
          <name val="Arial"/>
          <scheme val="none"/>
        </font>
        <numFmt numFmtId="165" formatCode="&quot;$&quot;#,##0"/>
      </dxf>
    </rfmt>
    <rfmt sheetId="4" sqref="BN158" start="0" length="0">
      <dxf>
        <font>
          <sz val="10"/>
          <color auto="1"/>
          <name val="Arial"/>
          <scheme val="none"/>
        </font>
        <numFmt numFmtId="165" formatCode="&quot;$&quot;#,##0"/>
      </dxf>
    </rfmt>
    <rfmt sheetId="4" sqref="BN159" start="0" length="0">
      <dxf>
        <font>
          <sz val="10"/>
          <color auto="1"/>
          <name val="Arial"/>
          <scheme val="none"/>
        </font>
        <numFmt numFmtId="165" formatCode="&quot;$&quot;#,##0"/>
      </dxf>
    </rfmt>
    <rfmt sheetId="4" sqref="BN160" start="0" length="0">
      <dxf>
        <font>
          <sz val="10"/>
          <color auto="1"/>
          <name val="Arial"/>
          <scheme val="none"/>
        </font>
        <numFmt numFmtId="165" formatCode="&quot;$&quot;#,##0"/>
      </dxf>
    </rfmt>
    <rfmt sheetId="4" sqref="BN161" start="0" length="0">
      <dxf>
        <font>
          <sz val="10"/>
          <color auto="1"/>
          <name val="Arial"/>
          <scheme val="none"/>
        </font>
        <numFmt numFmtId="165" formatCode="&quot;$&quot;#,##0"/>
      </dxf>
    </rfmt>
    <rfmt sheetId="4" sqref="BN162" start="0" length="0">
      <dxf>
        <font>
          <sz val="10"/>
          <color auto="1"/>
          <name val="Arial"/>
          <scheme val="none"/>
        </font>
        <numFmt numFmtId="165" formatCode="&quot;$&quot;#,##0"/>
      </dxf>
    </rfmt>
    <rfmt sheetId="4" sqref="BN163" start="0" length="0">
      <dxf>
        <font>
          <sz val="10"/>
          <color auto="1"/>
          <name val="Arial"/>
          <scheme val="none"/>
        </font>
        <numFmt numFmtId="165" formatCode="&quot;$&quot;#,##0"/>
      </dxf>
    </rfmt>
    <rfmt sheetId="4" sqref="BN164" start="0" length="0">
      <dxf>
        <font>
          <sz val="10"/>
          <color auto="1"/>
          <name val="Arial"/>
          <scheme val="none"/>
        </font>
        <numFmt numFmtId="165" formatCode="&quot;$&quot;#,##0"/>
      </dxf>
    </rfmt>
    <rfmt sheetId="4" sqref="BN165" start="0" length="0">
      <dxf>
        <font>
          <sz val="10"/>
          <color auto="1"/>
          <name val="Arial"/>
          <scheme val="none"/>
        </font>
        <numFmt numFmtId="165" formatCode="&quot;$&quot;#,##0"/>
        <border outline="0">
          <bottom style="medium">
            <color indexed="64"/>
          </bottom>
        </border>
      </dxf>
    </rfmt>
    <rfmt sheetId="4" sqref="BN166" start="0" length="0">
      <dxf>
        <font>
          <sz val="10"/>
          <color auto="1"/>
          <name val="Arial"/>
          <scheme val="none"/>
        </font>
        <numFmt numFmtId="165" formatCode="&quot;$&quot;#,##0"/>
      </dxf>
    </rfmt>
    <rfmt sheetId="4" sqref="BN167" start="0" length="0">
      <dxf>
        <font>
          <sz val="10"/>
          <color auto="1"/>
          <name val="Arial"/>
          <scheme val="none"/>
        </font>
        <numFmt numFmtId="165" formatCode="&quot;$&quot;#,##0"/>
      </dxf>
    </rfmt>
    <rfmt sheetId="4" sqref="BN168" start="0" length="0">
      <dxf>
        <font>
          <sz val="10"/>
          <color auto="1"/>
          <name val="Arial"/>
          <scheme val="none"/>
        </font>
        <numFmt numFmtId="165" formatCode="&quot;$&quot;#,##0"/>
      </dxf>
    </rfmt>
    <rfmt sheetId="4" sqref="BN169" start="0" length="0">
      <dxf>
        <font>
          <sz val="10"/>
          <color auto="1"/>
          <name val="Arial"/>
          <scheme val="none"/>
        </font>
        <numFmt numFmtId="165" formatCode="&quot;$&quot;#,##0"/>
      </dxf>
    </rfmt>
    <rfmt sheetId="4" sqref="BN170" start="0" length="0">
      <dxf>
        <font>
          <sz val="10"/>
          <color auto="1"/>
          <name val="Arial"/>
          <scheme val="none"/>
        </font>
        <numFmt numFmtId="165" formatCode="&quot;$&quot;#,##0"/>
      </dxf>
    </rfmt>
    <rfmt sheetId="4" sqref="BN171" start="0" length="0">
      <dxf>
        <font>
          <sz val="10"/>
          <color auto="1"/>
          <name val="Arial"/>
          <scheme val="none"/>
        </font>
        <numFmt numFmtId="165" formatCode="&quot;$&quot;#,##0"/>
      </dxf>
    </rfmt>
    <rfmt sheetId="4" sqref="BN172" start="0" length="0">
      <dxf>
        <font>
          <sz val="10"/>
          <color auto="1"/>
          <name val="Arial"/>
          <scheme val="none"/>
        </font>
        <numFmt numFmtId="165" formatCode="&quot;$&quot;#,##0"/>
      </dxf>
    </rfmt>
    <rfmt sheetId="4" sqref="BN173" start="0" length="0">
      <dxf>
        <font>
          <sz val="10"/>
          <color auto="1"/>
          <name val="Arial"/>
          <scheme val="none"/>
        </font>
        <numFmt numFmtId="165" formatCode="&quot;$&quot;#,##0"/>
      </dxf>
    </rfmt>
    <rfmt sheetId="4" sqref="BN174" start="0" length="0">
      <dxf>
        <font>
          <sz val="10"/>
          <color auto="1"/>
          <name val="Arial"/>
          <scheme val="none"/>
        </font>
        <numFmt numFmtId="165" formatCode="&quot;$&quot;#,##0"/>
      </dxf>
    </rfmt>
    <rfmt sheetId="4" sqref="BN175" start="0" length="0">
      <dxf>
        <font>
          <sz val="10"/>
          <color auto="1"/>
          <name val="Arial"/>
          <scheme val="none"/>
        </font>
        <numFmt numFmtId="165" formatCode="&quot;$&quot;#,##0"/>
      </dxf>
    </rfmt>
    <rfmt sheetId="4" sqref="BN176" start="0" length="0">
      <dxf>
        <font>
          <sz val="10"/>
          <color auto="1"/>
          <name val="Arial"/>
          <scheme val="none"/>
        </font>
        <numFmt numFmtId="165" formatCode="&quot;$&quot;#,##0"/>
      </dxf>
    </rfmt>
    <rfmt sheetId="4" sqref="BN177" start="0" length="0">
      <dxf>
        <font>
          <sz val="10"/>
          <color auto="1"/>
          <name val="Arial"/>
          <scheme val="none"/>
        </font>
        <numFmt numFmtId="165" formatCode="&quot;$&quot;#,##0"/>
      </dxf>
    </rfmt>
    <rfmt sheetId="4" sqref="BN178" start="0" length="0">
      <dxf>
        <font>
          <sz val="10"/>
          <color auto="1"/>
          <name val="Arial"/>
          <scheme val="none"/>
        </font>
        <numFmt numFmtId="165" formatCode="&quot;$&quot;#,##0"/>
        <fill>
          <patternFill patternType="solid">
            <bgColor theme="0" tint="-0.249977111117893"/>
          </patternFill>
        </fill>
      </dxf>
    </rfmt>
    <rfmt sheetId="4" sqref="BN179" start="0" length="0">
      <dxf>
        <font>
          <sz val="10"/>
          <color auto="1"/>
          <name val="Arial"/>
          <scheme val="none"/>
        </font>
        <numFmt numFmtId="165" formatCode="&quot;$&quot;#,##0"/>
      </dxf>
    </rfmt>
    <rfmt sheetId="4" sqref="BN180" start="0" length="0">
      <dxf>
        <font>
          <sz val="10"/>
          <color auto="1"/>
          <name val="Arial"/>
          <scheme val="none"/>
        </font>
        <numFmt numFmtId="165" formatCode="&quot;$&quot;#,##0"/>
      </dxf>
    </rfmt>
    <rfmt sheetId="4" sqref="BN181" start="0" length="0">
      <dxf>
        <font>
          <sz val="10"/>
          <color auto="1"/>
          <name val="Arial"/>
          <scheme val="none"/>
        </font>
        <numFmt numFmtId="165" formatCode="&quot;$&quot;#,##0"/>
      </dxf>
    </rfmt>
    <rfmt sheetId="4" sqref="BN182" start="0" length="0">
      <dxf>
        <font>
          <sz val="10"/>
          <color auto="1"/>
          <name val="Arial"/>
          <scheme val="none"/>
        </font>
        <numFmt numFmtId="165" formatCode="&quot;$&quot;#,##0"/>
      </dxf>
    </rfmt>
    <rfmt sheetId="4" sqref="BN183" start="0" length="0">
      <dxf>
        <font>
          <sz val="10"/>
          <color auto="1"/>
          <name val="Arial"/>
          <scheme val="none"/>
        </font>
        <numFmt numFmtId="165" formatCode="&quot;$&quot;#,##0"/>
      </dxf>
    </rfmt>
    <rfmt sheetId="4" sqref="BN184" start="0" length="0">
      <dxf>
        <font>
          <sz val="10"/>
          <color auto="1"/>
          <name val="Arial"/>
          <scheme val="none"/>
        </font>
        <numFmt numFmtId="165" formatCode="&quot;$&quot;#,##0"/>
      </dxf>
    </rfmt>
    <rfmt sheetId="4" sqref="BN185" start="0" length="0">
      <dxf>
        <font>
          <sz val="10"/>
          <color auto="1"/>
          <name val="Arial"/>
          <scheme val="none"/>
        </font>
        <numFmt numFmtId="165" formatCode="&quot;$&quot;#,##0"/>
      </dxf>
    </rfmt>
    <rfmt sheetId="4" sqref="BN186" start="0" length="0">
      <dxf>
        <font>
          <sz val="10"/>
          <color auto="1"/>
          <name val="Arial"/>
          <scheme val="none"/>
        </font>
        <numFmt numFmtId="165" formatCode="&quot;$&quot;#,##0"/>
      </dxf>
    </rfmt>
    <rfmt sheetId="4" sqref="BN187" start="0" length="0">
      <dxf>
        <font>
          <sz val="10"/>
          <color auto="1"/>
          <name val="Arial"/>
          <scheme val="none"/>
        </font>
        <numFmt numFmtId="165" formatCode="&quot;$&quot;#,##0"/>
        <border outline="0">
          <bottom style="medium">
            <color indexed="64"/>
          </bottom>
        </border>
      </dxf>
    </rfmt>
    <rfmt sheetId="4" sqref="BN188" start="0" length="0">
      <dxf>
        <font>
          <sz val="10"/>
          <color auto="1"/>
          <name val="Arial"/>
          <scheme val="none"/>
        </font>
        <numFmt numFmtId="165" formatCode="&quot;$&quot;#,##0"/>
      </dxf>
    </rfmt>
    <rfmt sheetId="4" sqref="BN189" start="0" length="0">
      <dxf>
        <font>
          <sz val="10"/>
          <color auto="1"/>
          <name val="Arial"/>
          <scheme val="none"/>
        </font>
        <numFmt numFmtId="165" formatCode="&quot;$&quot;#,##0"/>
      </dxf>
    </rfmt>
    <rfmt sheetId="4" sqref="BN190" start="0" length="0">
      <dxf>
        <font>
          <sz val="10"/>
          <color auto="1"/>
          <name val="Arial"/>
          <scheme val="none"/>
        </font>
        <numFmt numFmtId="165" formatCode="&quot;$&quot;#,##0"/>
      </dxf>
    </rfmt>
    <rfmt sheetId="4" sqref="BN191" start="0" length="0">
      <dxf>
        <font>
          <sz val="10"/>
          <color auto="1"/>
          <name val="Arial"/>
          <scheme val="none"/>
        </font>
        <numFmt numFmtId="165" formatCode="&quot;$&quot;#,##0"/>
      </dxf>
    </rfmt>
    <rfmt sheetId="4" sqref="BN192" start="0" length="0">
      <dxf>
        <font>
          <sz val="10"/>
          <color auto="1"/>
          <name val="Arial"/>
          <scheme val="none"/>
        </font>
        <numFmt numFmtId="165" formatCode="&quot;$&quot;#,##0"/>
      </dxf>
    </rfmt>
    <rfmt sheetId="4" sqref="BN193" start="0" length="0">
      <dxf>
        <font>
          <sz val="10"/>
          <color auto="1"/>
          <name val="Arial"/>
          <scheme val="none"/>
        </font>
        <numFmt numFmtId="165" formatCode="&quot;$&quot;#,##0"/>
      </dxf>
    </rfmt>
    <rfmt sheetId="4" sqref="BN194" start="0" length="0">
      <dxf>
        <font>
          <sz val="10"/>
          <color auto="1"/>
          <name val="Arial"/>
          <scheme val="none"/>
        </font>
        <numFmt numFmtId="165" formatCode="&quot;$&quot;#,##0"/>
      </dxf>
    </rfmt>
    <rfmt sheetId="4" sqref="BN195" start="0" length="0">
      <dxf>
        <font>
          <sz val="10"/>
          <color auto="1"/>
          <name val="Arial"/>
          <scheme val="none"/>
        </font>
        <numFmt numFmtId="165" formatCode="&quot;$&quot;#,##0"/>
      </dxf>
    </rfmt>
    <rfmt sheetId="4" sqref="BN196" start="0" length="0">
      <dxf>
        <font>
          <sz val="10"/>
          <color auto="1"/>
          <name val="Arial"/>
          <scheme val="none"/>
        </font>
        <numFmt numFmtId="165" formatCode="&quot;$&quot;#,##0"/>
      </dxf>
    </rfmt>
    <rfmt sheetId="4" sqref="BN197" start="0" length="0">
      <dxf>
        <font>
          <sz val="10"/>
          <color auto="1"/>
          <name val="Arial"/>
          <scheme val="none"/>
        </font>
        <numFmt numFmtId="165" formatCode="&quot;$&quot;#,##0"/>
        <fill>
          <patternFill patternType="solid">
            <bgColor theme="0" tint="-0.249977111117893"/>
          </patternFill>
        </fill>
      </dxf>
    </rfmt>
    <rfmt sheetId="4" sqref="BN198" start="0" length="0">
      <dxf>
        <font>
          <sz val="10"/>
          <color auto="1"/>
          <name val="Arial"/>
          <scheme val="none"/>
        </font>
        <numFmt numFmtId="165" formatCode="&quot;$&quot;#,##0"/>
      </dxf>
    </rfmt>
    <rfmt sheetId="4" sqref="BN199" start="0" length="0">
      <dxf>
        <font>
          <sz val="10"/>
          <color auto="1"/>
          <name val="Arial"/>
          <scheme val="none"/>
        </font>
        <numFmt numFmtId="165" formatCode="&quot;$&quot;#,##0"/>
      </dxf>
    </rfmt>
    <rfmt sheetId="4" sqref="BN200" start="0" length="0">
      <dxf>
        <font>
          <sz val="10"/>
          <color auto="1"/>
          <name val="Arial"/>
          <scheme val="none"/>
        </font>
        <numFmt numFmtId="165" formatCode="&quot;$&quot;#,##0"/>
      </dxf>
    </rfmt>
    <rfmt sheetId="4" sqref="BN201" start="0" length="0">
      <dxf>
        <font>
          <sz val="10"/>
          <color auto="1"/>
          <name val="Arial"/>
          <scheme val="none"/>
        </font>
        <numFmt numFmtId="165" formatCode="&quot;$&quot;#,##0"/>
      </dxf>
    </rfmt>
    <rfmt sheetId="4" sqref="BN202" start="0" length="0">
      <dxf>
        <font>
          <sz val="10"/>
          <color auto="1"/>
          <name val="Arial"/>
          <scheme val="none"/>
        </font>
        <numFmt numFmtId="165" formatCode="&quot;$&quot;#,##0"/>
      </dxf>
    </rfmt>
    <rfmt sheetId="4" sqref="BN203" start="0" length="0">
      <dxf>
        <font>
          <sz val="10"/>
          <color auto="1"/>
          <name val="Arial"/>
          <scheme val="none"/>
        </font>
        <numFmt numFmtId="165" formatCode="&quot;$&quot;#,##0"/>
      </dxf>
    </rfmt>
    <rfmt sheetId="4" sqref="BN204" start="0" length="0">
      <dxf>
        <font>
          <sz val="10"/>
          <color auto="1"/>
          <name val="Arial"/>
          <scheme val="none"/>
        </font>
        <numFmt numFmtId="165" formatCode="&quot;$&quot;#,##0"/>
      </dxf>
    </rfmt>
    <rfmt sheetId="4" sqref="BN205" start="0" length="0">
      <dxf>
        <font>
          <sz val="10"/>
          <color auto="1"/>
          <name val="Arial"/>
          <scheme val="none"/>
        </font>
        <numFmt numFmtId="165" formatCode="&quot;$&quot;#,##0"/>
      </dxf>
    </rfmt>
    <rfmt sheetId="4" sqref="BN206" start="0" length="0">
      <dxf>
        <font>
          <sz val="10"/>
          <color auto="1"/>
          <name val="Arial"/>
          <scheme val="none"/>
        </font>
        <numFmt numFmtId="165" formatCode="&quot;$&quot;#,##0"/>
      </dxf>
    </rfmt>
    <rfmt sheetId="4" sqref="BN207" start="0" length="0">
      <dxf>
        <font>
          <sz val="10"/>
          <color auto="1"/>
          <name val="Arial"/>
          <scheme val="none"/>
        </font>
        <numFmt numFmtId="165" formatCode="&quot;$&quot;#,##0"/>
      </dxf>
    </rfmt>
    <rfmt sheetId="4" sqref="BN208" start="0" length="0">
      <dxf>
        <font>
          <sz val="10"/>
          <color auto="1"/>
          <name val="Arial"/>
          <scheme val="none"/>
        </font>
        <numFmt numFmtId="165" formatCode="&quot;$&quot;#,##0"/>
      </dxf>
    </rfmt>
    <rfmt sheetId="4" sqref="BN209" start="0" length="0">
      <dxf>
        <font>
          <sz val="10"/>
          <color auto="1"/>
          <name val="Arial"/>
          <scheme val="none"/>
        </font>
        <numFmt numFmtId="165" formatCode="&quot;$&quot;#,##0"/>
      </dxf>
    </rfmt>
    <rfmt sheetId="4" sqref="BN210" start="0" length="0">
      <dxf>
        <font>
          <sz val="10"/>
          <color auto="1"/>
          <name val="Arial"/>
          <scheme val="none"/>
        </font>
        <numFmt numFmtId="165" formatCode="&quot;$&quot;#,##0"/>
      </dxf>
    </rfmt>
    <rfmt sheetId="4" sqref="BN211" start="0" length="0">
      <dxf>
        <font>
          <sz val="10"/>
          <color auto="1"/>
          <name val="Arial"/>
          <scheme val="none"/>
        </font>
        <numFmt numFmtId="165" formatCode="&quot;$&quot;#,##0"/>
      </dxf>
    </rfmt>
    <rfmt sheetId="4" sqref="BN212" start="0" length="0">
      <dxf>
        <font>
          <sz val="10"/>
          <color auto="1"/>
          <name val="Arial"/>
          <scheme val="none"/>
        </font>
        <numFmt numFmtId="165" formatCode="&quot;$&quot;#,##0"/>
      </dxf>
    </rfmt>
    <rfmt sheetId="4" sqref="BN213" start="0" length="0">
      <dxf>
        <font>
          <sz val="10"/>
          <color auto="1"/>
          <name val="Arial"/>
          <scheme val="none"/>
        </font>
        <numFmt numFmtId="165" formatCode="&quot;$&quot;#,##0"/>
      </dxf>
    </rfmt>
    <rfmt sheetId="4" sqref="BN214" start="0" length="0">
      <dxf>
        <font>
          <sz val="10"/>
          <color auto="1"/>
          <name val="Arial"/>
          <scheme val="none"/>
        </font>
        <numFmt numFmtId="165" formatCode="&quot;$&quot;#,##0"/>
      </dxf>
    </rfmt>
    <rfmt sheetId="4" sqref="BN215" start="0" length="0">
      <dxf>
        <font>
          <sz val="10"/>
          <color auto="1"/>
          <name val="Arial"/>
          <scheme val="none"/>
        </font>
        <numFmt numFmtId="165" formatCode="&quot;$&quot;#,##0"/>
      </dxf>
    </rfmt>
    <rfmt sheetId="4" sqref="BN216" start="0" length="0">
      <dxf>
        <font>
          <sz val="10"/>
          <color auto="1"/>
          <name val="Arial"/>
          <scheme val="none"/>
        </font>
        <numFmt numFmtId="165" formatCode="&quot;$&quot;#,##0"/>
      </dxf>
    </rfmt>
    <rfmt sheetId="4" sqref="BN217" start="0" length="0">
      <dxf>
        <font>
          <sz val="10"/>
          <color auto="1"/>
          <name val="Arial"/>
          <scheme val="none"/>
        </font>
        <numFmt numFmtId="165" formatCode="&quot;$&quot;#,##0"/>
      </dxf>
    </rfmt>
    <rfmt sheetId="4" sqref="BN218" start="0" length="0">
      <dxf>
        <font>
          <sz val="10"/>
          <color auto="1"/>
          <name val="Arial"/>
          <scheme val="none"/>
        </font>
        <numFmt numFmtId="165" formatCode="&quot;$&quot;#,##0"/>
      </dxf>
    </rfmt>
    <rfmt sheetId="4" sqref="BN219" start="0" length="0">
      <dxf>
        <font>
          <sz val="10"/>
          <color auto="1"/>
          <name val="Arial"/>
          <scheme val="none"/>
        </font>
        <numFmt numFmtId="165" formatCode="&quot;$&quot;#,##0"/>
      </dxf>
    </rfmt>
    <rfmt sheetId="4" sqref="BN220" start="0" length="0">
      <dxf>
        <font>
          <sz val="10"/>
          <color auto="1"/>
          <name val="Arial"/>
          <scheme val="none"/>
        </font>
        <numFmt numFmtId="165" formatCode="&quot;$&quot;#,##0"/>
      </dxf>
    </rfmt>
    <rfmt sheetId="4" sqref="BN221" start="0" length="0">
      <dxf>
        <font>
          <sz val="10"/>
          <color auto="1"/>
          <name val="Arial"/>
          <scheme val="none"/>
        </font>
        <numFmt numFmtId="165" formatCode="&quot;$&quot;#,##0"/>
        <border outline="0">
          <bottom style="medium">
            <color indexed="64"/>
          </bottom>
        </border>
      </dxf>
    </rfmt>
    <rfmt sheetId="4" sqref="BN222" start="0" length="0">
      <dxf>
        <font>
          <sz val="10"/>
          <color auto="1"/>
          <name val="Arial"/>
          <scheme val="none"/>
        </font>
        <numFmt numFmtId="165" formatCode="&quot;$&quot;#,##0"/>
      </dxf>
    </rfmt>
    <rfmt sheetId="4" sqref="BN223" start="0" length="0">
      <dxf>
        <font>
          <sz val="10"/>
          <color auto="1"/>
          <name val="Arial"/>
          <scheme val="none"/>
        </font>
        <numFmt numFmtId="165" formatCode="&quot;$&quot;#,##0"/>
      </dxf>
    </rfmt>
    <rfmt sheetId="4" sqref="BN224" start="0" length="0">
      <dxf>
        <font>
          <sz val="10"/>
          <color auto="1"/>
          <name val="Arial"/>
          <scheme val="none"/>
        </font>
        <numFmt numFmtId="165" formatCode="&quot;$&quot;#,##0"/>
      </dxf>
    </rfmt>
    <rfmt sheetId="4" sqref="BN225" start="0" length="0">
      <dxf>
        <font>
          <sz val="10"/>
          <color auto="1"/>
          <name val="Arial"/>
          <scheme val="none"/>
        </font>
        <numFmt numFmtId="165" formatCode="&quot;$&quot;#,##0"/>
      </dxf>
    </rfmt>
    <rfmt sheetId="4" sqref="BN226" start="0" length="0">
      <dxf>
        <font>
          <sz val="10"/>
          <color auto="1"/>
          <name val="Arial"/>
          <scheme val="none"/>
        </font>
        <numFmt numFmtId="165" formatCode="&quot;$&quot;#,##0"/>
        <border outline="0">
          <bottom style="medium">
            <color indexed="64"/>
          </bottom>
        </border>
      </dxf>
    </rfmt>
    <rfmt sheetId="4" sqref="BN227" start="0" length="0">
      <dxf>
        <font>
          <sz val="10"/>
          <color auto="1"/>
          <name val="Arial"/>
          <scheme val="none"/>
        </font>
        <numFmt numFmtId="165" formatCode="&quot;$&quot;#,##0"/>
      </dxf>
    </rfmt>
    <rfmt sheetId="4" sqref="BN228" start="0" length="0">
      <dxf>
        <font>
          <sz val="10"/>
          <color auto="1"/>
          <name val="Arial"/>
          <scheme val="none"/>
        </font>
        <numFmt numFmtId="165" formatCode="&quot;$&quot;#,##0"/>
      </dxf>
    </rfmt>
    <rfmt sheetId="4" sqref="BN229" start="0" length="0">
      <dxf>
        <font>
          <sz val="10"/>
          <color auto="1"/>
          <name val="Arial"/>
          <scheme val="none"/>
        </font>
        <numFmt numFmtId="165" formatCode="&quot;$&quot;#,##0"/>
      </dxf>
    </rfmt>
    <rfmt sheetId="4" sqref="BN230" start="0" length="0">
      <dxf>
        <font>
          <sz val="10"/>
          <color auto="1"/>
          <name val="Arial"/>
          <scheme val="none"/>
        </font>
        <numFmt numFmtId="165" formatCode="&quot;$&quot;#,##0"/>
      </dxf>
    </rfmt>
    <rfmt sheetId="4" sqref="BN231" start="0" length="0">
      <dxf>
        <font>
          <sz val="10"/>
          <color auto="1"/>
          <name val="Arial"/>
          <scheme val="none"/>
        </font>
        <numFmt numFmtId="165" formatCode="&quot;$&quot;#,##0"/>
      </dxf>
    </rfmt>
    <rfmt sheetId="4" sqref="BN232" start="0" length="0">
      <dxf>
        <font>
          <sz val="10"/>
          <color auto="1"/>
          <name val="Arial"/>
          <scheme val="none"/>
        </font>
        <numFmt numFmtId="165" formatCode="&quot;$&quot;#,##0"/>
      </dxf>
    </rfmt>
    <rfmt sheetId="4" sqref="BN233" start="0" length="0">
      <dxf>
        <font>
          <sz val="10"/>
          <color auto="1"/>
          <name val="Arial"/>
          <scheme val="none"/>
        </font>
        <numFmt numFmtId="165" formatCode="&quot;$&quot;#,##0"/>
      </dxf>
    </rfmt>
    <rfmt sheetId="4" sqref="BN234" start="0" length="0">
      <dxf>
        <font>
          <sz val="10"/>
          <color auto="1"/>
          <name val="Arial"/>
          <scheme val="none"/>
        </font>
        <numFmt numFmtId="165" formatCode="&quot;$&quot;#,##0"/>
      </dxf>
    </rfmt>
    <rfmt sheetId="4" sqref="BN235" start="0" length="0">
      <dxf>
        <font>
          <sz val="10"/>
          <color auto="1"/>
          <name val="Arial"/>
          <scheme val="none"/>
        </font>
        <numFmt numFmtId="165" formatCode="&quot;$&quot;#,##0"/>
      </dxf>
    </rfmt>
    <rfmt sheetId="4" sqref="BN236" start="0" length="0">
      <dxf>
        <font>
          <sz val="10"/>
          <color auto="1"/>
          <name val="Arial"/>
          <scheme val="none"/>
        </font>
        <numFmt numFmtId="165" formatCode="&quot;$&quot;#,##0"/>
      </dxf>
    </rfmt>
    <rfmt sheetId="4" sqref="BN237" start="0" length="0">
      <dxf>
        <font>
          <sz val="10"/>
          <color auto="1"/>
          <name val="Arial"/>
          <scheme val="none"/>
        </font>
        <numFmt numFmtId="165" formatCode="&quot;$&quot;#,##0"/>
      </dxf>
    </rfmt>
    <rfmt sheetId="4" sqref="BN238" start="0" length="0">
      <dxf>
        <font>
          <sz val="10"/>
          <color auto="1"/>
          <name val="Arial"/>
          <scheme val="none"/>
        </font>
        <numFmt numFmtId="165" formatCode="&quot;$&quot;#,##0"/>
      </dxf>
    </rfmt>
    <rfmt sheetId="4" sqref="BN239" start="0" length="0">
      <dxf>
        <font>
          <sz val="10"/>
          <color auto="1"/>
          <name val="Arial"/>
          <scheme val="none"/>
        </font>
        <numFmt numFmtId="165" formatCode="&quot;$&quot;#,##0"/>
      </dxf>
    </rfmt>
    <rfmt sheetId="4" sqref="BN240" start="0" length="0">
      <dxf>
        <font>
          <sz val="10"/>
          <color auto="1"/>
          <name val="Arial"/>
          <scheme val="none"/>
        </font>
        <numFmt numFmtId="165" formatCode="&quot;$&quot;#,##0"/>
      </dxf>
    </rfmt>
    <rfmt sheetId="4" sqref="BN241" start="0" length="0">
      <dxf>
        <font>
          <sz val="10"/>
          <color auto="1"/>
          <name val="Arial"/>
          <scheme val="none"/>
        </font>
        <numFmt numFmtId="165" formatCode="&quot;$&quot;#,##0"/>
      </dxf>
    </rfmt>
    <rfmt sheetId="4" sqref="BN242" start="0" length="0">
      <dxf>
        <font>
          <sz val="10"/>
          <color auto="1"/>
          <name val="Arial"/>
          <scheme val="none"/>
        </font>
        <numFmt numFmtId="165" formatCode="&quot;$&quot;#,##0"/>
        <fill>
          <patternFill patternType="solid">
            <bgColor theme="0" tint="-0.249977111117893"/>
          </patternFill>
        </fill>
      </dxf>
    </rfmt>
    <rfmt sheetId="4" sqref="BN243" start="0" length="0">
      <dxf>
        <font>
          <sz val="10"/>
          <color auto="1"/>
          <name val="Arial"/>
          <scheme val="none"/>
        </font>
      </dxf>
    </rfmt>
    <rfmt sheetId="4" sqref="BN244" start="0" length="0">
      <dxf>
        <font>
          <sz val="10"/>
          <color auto="1"/>
          <name val="Arial"/>
          <scheme val="none"/>
        </font>
      </dxf>
    </rfmt>
    <rfmt sheetId="4" sqref="BN245" start="0" length="0">
      <dxf>
        <font>
          <sz val="10"/>
          <color auto="1"/>
          <name val="Arial"/>
          <scheme val="none"/>
        </font>
      </dxf>
    </rfmt>
    <rfmt sheetId="4" sqref="BN246" start="0" length="0">
      <dxf>
        <font>
          <sz val="10"/>
          <color auto="1"/>
          <name val="Arial"/>
          <scheme val="none"/>
        </font>
      </dxf>
    </rfmt>
    <rfmt sheetId="4" sqref="BN247" start="0" length="0">
      <dxf>
        <font>
          <sz val="10"/>
          <color auto="1"/>
          <name val="Arial"/>
          <scheme val="none"/>
        </font>
      </dxf>
    </rfmt>
    <rfmt sheetId="4" sqref="BN248" start="0" length="0">
      <dxf>
        <font>
          <sz val="10"/>
          <color auto="1"/>
          <name val="Arial"/>
          <scheme val="none"/>
        </font>
      </dxf>
    </rfmt>
    <rfmt sheetId="4" sqref="BN249" start="0" length="0">
      <dxf>
        <font>
          <sz val="10"/>
          <color auto="1"/>
          <name val="Arial"/>
          <scheme val="none"/>
        </font>
      </dxf>
    </rfmt>
    <rfmt sheetId="4" sqref="BN250" start="0" length="0">
      <dxf>
        <font>
          <sz val="10"/>
          <color auto="1"/>
          <name val="Arial"/>
          <scheme val="none"/>
        </font>
      </dxf>
    </rfmt>
    <rfmt sheetId="4" sqref="BN251" start="0" length="0">
      <dxf>
        <font>
          <sz val="10"/>
          <color auto="1"/>
          <name val="Arial"/>
          <scheme val="none"/>
        </font>
      </dxf>
    </rfmt>
    <rfmt sheetId="4" sqref="BN252" start="0" length="0">
      <dxf>
        <font>
          <sz val="10"/>
          <color auto="1"/>
          <name val="Arial"/>
          <scheme val="none"/>
        </font>
      </dxf>
    </rfmt>
    <rfmt sheetId="4" sqref="BN253" start="0" length="0">
      <dxf>
        <font>
          <sz val="10"/>
          <color auto="1"/>
          <name val="Arial"/>
          <scheme val="none"/>
        </font>
      </dxf>
    </rfmt>
    <rfmt sheetId="4" sqref="BN254" start="0" length="0">
      <dxf>
        <font>
          <sz val="10"/>
          <color auto="1"/>
          <name val="Arial"/>
          <scheme val="none"/>
        </font>
      </dxf>
    </rfmt>
    <rfmt sheetId="4" sqref="BN255" start="0" length="0">
      <dxf>
        <font>
          <sz val="10"/>
          <color auto="1"/>
          <name val="Arial"/>
          <scheme val="none"/>
        </font>
      </dxf>
    </rfmt>
    <rfmt sheetId="4" sqref="BN256" start="0" length="0">
      <dxf>
        <font>
          <sz val="10"/>
          <color auto="1"/>
          <name val="Arial"/>
          <scheme val="none"/>
        </font>
      </dxf>
    </rfmt>
    <rfmt sheetId="4" sqref="BN257" start="0" length="0">
      <dxf>
        <font>
          <sz val="10"/>
          <color auto="1"/>
          <name val="Arial"/>
          <scheme val="none"/>
        </font>
      </dxf>
    </rfmt>
    <rfmt sheetId="4" sqref="BN258" start="0" length="0">
      <dxf>
        <font>
          <sz val="10"/>
          <color auto="1"/>
          <name val="Arial"/>
          <scheme val="none"/>
        </font>
      </dxf>
    </rfmt>
  </rm>
  <rfmt sheetId="3" sqref="AN11">
    <dxf>
      <numFmt numFmtId="34" formatCode="_(&quot;$&quot;* #,##0.00_);_(&quot;$&quot;* \(#,##0.00\);_(&quot;$&quot;* &quot;-&quot;??_);_(@_)"/>
    </dxf>
  </rfmt>
  <rfmt sheetId="3" sqref="AN11">
    <dxf>
      <numFmt numFmtId="173" formatCode="_(&quot;$&quot;* #,##0.000_);_(&quot;$&quot;* \(#,##0.000\);_(&quot;$&quot;* &quot;-&quot;??_);_(@_)"/>
    </dxf>
  </rfmt>
  <rfmt sheetId="3" sqref="AN11">
    <dxf>
      <numFmt numFmtId="34" formatCode="_(&quot;$&quot;* #,##0.00_);_(&quot;$&quot;* \(#,##0.00\);_(&quot;$&quot;* &quot;-&quot;??_);_(@_)"/>
    </dxf>
  </rfmt>
  <rfmt sheetId="3" sqref="AN11">
    <dxf>
      <numFmt numFmtId="174" formatCode="_(&quot;$&quot;* #,##0.0_);_(&quot;$&quot;* \(#,##0.0\);_(&quot;$&quot;* &quot;-&quot;??_);_(@_)"/>
    </dxf>
  </rfmt>
  <rfmt sheetId="3" sqref="AN11">
    <dxf>
      <numFmt numFmtId="175" formatCode="_(&quot;$&quot;* #,##0_);_(&quot;$&quot;* \(#,##0\);_(&quot;$&quot;* &quot;-&quot;??_);_(@_)"/>
    </dxf>
  </rfmt>
  <rfmt sheetId="3" sqref="AN11:AN18">
    <dxf>
      <numFmt numFmtId="34" formatCode="_(&quot;$&quot;* #,##0.00_);_(&quot;$&quot;* \(#,##0.00\);_(&quot;$&quot;* &quot;-&quot;??_);_(@_)"/>
    </dxf>
  </rfmt>
  <rfmt sheetId="3" sqref="AN11:AN18">
    <dxf>
      <numFmt numFmtId="174" formatCode="_(&quot;$&quot;* #,##0.0_);_(&quot;$&quot;* \(#,##0.0\);_(&quot;$&quot;* &quot;-&quot;??_);_(@_)"/>
    </dxf>
  </rfmt>
  <rfmt sheetId="3" sqref="AN11:AN18">
    <dxf>
      <numFmt numFmtId="175" formatCode="_(&quot;$&quot;* #,##0_);_(&quot;$&quot;* \(#,##0\);_(&quot;$&quot;* &quot;-&quot;??_);_(@_)"/>
    </dxf>
  </rfmt>
  <rcc rId="42735" sId="4">
    <nc r="BO4" t="inlineStr">
      <is>
        <t>Change FYA12-FY13P</t>
      </is>
    </nc>
  </rcc>
  <rcc rId="42736" sId="4">
    <nc r="BO5" t="inlineStr">
      <is>
        <t>$</t>
      </is>
    </nc>
  </rcc>
  <rcc rId="42737" sId="4" odxf="1" dxf="1">
    <nc r="BQ5" t="inlineStr">
      <is>
        <t>%</t>
      </is>
    </nc>
    <odxf>
      <font/>
    </odxf>
    <ndxf>
      <font/>
    </ndxf>
  </rcc>
  <rcc rId="42738" sId="4">
    <nc r="BO7">
      <f>BN7-BE7</f>
    </nc>
  </rcc>
  <rcc rId="42739" sId="4">
    <nc r="BO8">
      <f>BN8-BE8</f>
    </nc>
  </rcc>
  <rcc rId="42740" sId="4">
    <nc r="BO9">
      <f>BN9-BE9</f>
    </nc>
  </rcc>
  <rcc rId="42741" sId="4" odxf="1">
    <nc r="BO10">
      <f>BN10-BE10</f>
    </nc>
    <odxf/>
  </rcc>
  <rcc rId="42742" sId="4" odxf="1">
    <nc r="BO11">
      <f>BN11-BE11</f>
    </nc>
    <odxf/>
  </rcc>
  <rcc rId="42743" sId="4" odxf="1">
    <nc r="BO12">
      <f>BN12-BE12</f>
    </nc>
    <odxf/>
  </rcc>
  <rcc rId="42744" sId="4" odxf="1">
    <nc r="BO13">
      <f>BN13-BE13</f>
    </nc>
    <odxf/>
  </rcc>
  <rcc rId="42745" sId="4">
    <nc r="BO14">
      <f>BN14-BE14</f>
    </nc>
  </rcc>
  <rcc rId="42746" sId="4" odxf="1">
    <nc r="BO15">
      <f>BN15-BE15</f>
    </nc>
    <odxf/>
  </rcc>
  <rcc rId="42747" sId="4" odxf="1">
    <nc r="BO16">
      <f>BN16-BE16</f>
    </nc>
    <odxf/>
  </rcc>
  <rcc rId="42748" sId="4">
    <nc r="BO17">
      <f>BN17-BE17</f>
    </nc>
  </rcc>
  <rcc rId="42749" sId="4" odxf="1">
    <nc r="BO18">
      <f>BN18-BE18</f>
    </nc>
    <odxf/>
  </rcc>
  <rcc rId="42750" sId="4">
    <nc r="BO19">
      <f>BN19-BE19</f>
    </nc>
  </rcc>
  <rcc rId="42751" sId="4" odxf="1">
    <nc r="BO20">
      <f>BN20-BE20</f>
    </nc>
    <odxf/>
  </rcc>
  <rcc rId="42752" sId="4" odxf="1">
    <nc r="BO21">
      <f>BN21-BE21</f>
    </nc>
    <odxf/>
  </rcc>
  <rcc rId="42753" sId="4">
    <nc r="BO22">
      <f>BN22-BE22</f>
    </nc>
  </rcc>
  <rcc rId="42754" sId="4" odxf="1">
    <nc r="BO23">
      <f>BN23-BE23</f>
    </nc>
    <odxf/>
  </rcc>
  <rcc rId="42755" sId="4" odxf="1">
    <nc r="BO24">
      <f>BN24-BE24</f>
    </nc>
    <odxf/>
  </rcc>
  <rcc rId="42756" sId="4" odxf="1">
    <nc r="BO25">
      <f>BN25-BE25</f>
    </nc>
    <odxf/>
  </rcc>
  <rcc rId="42757" sId="4" odxf="1">
    <nc r="BO26">
      <f>BN26-BE26</f>
    </nc>
    <odxf/>
  </rcc>
  <rcc rId="42758" sId="4" odxf="1">
    <nc r="BO27">
      <f>BN27-BE27</f>
    </nc>
    <odxf/>
  </rcc>
  <rcc rId="42759" sId="4" odxf="1">
    <nc r="BO28">
      <f>BN28-BE28</f>
    </nc>
    <odxf/>
  </rcc>
  <rcc rId="42760" sId="4">
    <nc r="BO29">
      <f>BN29-BE29</f>
    </nc>
  </rcc>
  <rcc rId="42761" sId="4">
    <nc r="BO30">
      <f>BN30-BE30</f>
    </nc>
  </rcc>
  <rcc rId="42762" sId="4">
    <nc r="BO31">
      <f>BN31-BE31</f>
    </nc>
  </rcc>
  <rcc rId="42763" sId="4" odxf="1">
    <nc r="BO32">
      <f>BN32-BE32</f>
    </nc>
    <odxf/>
  </rcc>
  <rcc rId="42764" sId="4" odxf="1">
    <nc r="BO33">
      <f>BN33-BE33</f>
    </nc>
    <odxf/>
  </rcc>
  <rcc rId="42765" sId="4" odxf="1">
    <nc r="BO34">
      <f>BN34-BE34</f>
    </nc>
    <odxf/>
  </rcc>
  <rcc rId="42766" sId="4">
    <nc r="BO35">
      <f>BN35-BE35</f>
    </nc>
  </rcc>
  <rcc rId="42767" sId="4">
    <nc r="BO36">
      <f>BN36-BE36</f>
    </nc>
  </rcc>
  <rcc rId="42768" sId="4">
    <nc r="BO37">
      <f>BN37-BE37</f>
    </nc>
  </rcc>
  <rcc rId="42769" sId="4">
    <nc r="BO38">
      <f>BN38-BE38</f>
    </nc>
  </rcc>
  <rcc rId="42770" sId="4">
    <nc r="BO39">
      <f>BN39-BE39</f>
    </nc>
  </rcc>
  <rcc rId="42771" sId="4" odxf="1" dxf="1">
    <nc r="BO40">
      <f>BN40-BE40</f>
    </nc>
    <odxf>
      <border outline="0">
        <bottom style="medium">
          <color indexed="64"/>
        </bottom>
      </border>
    </odxf>
    <ndxf>
      <border outline="0">
        <bottom/>
      </border>
    </ndxf>
  </rcc>
  <rcc rId="42772" sId="4">
    <nc r="BO41">
      <f>BN41-BE41</f>
    </nc>
  </rcc>
  <rcc rId="42773" sId="4">
    <nc r="BO42">
      <f>BN42-BE42</f>
    </nc>
  </rcc>
  <rcc rId="42774" sId="4">
    <nc r="BO43">
      <f>BN43-BE43</f>
    </nc>
  </rcc>
  <rcc rId="42775" sId="4">
    <nc r="BO44">
      <f>BN44-BE44</f>
    </nc>
  </rcc>
  <rcc rId="42776" sId="4">
    <nc r="BO45">
      <f>BN45-BE45</f>
    </nc>
  </rcc>
  <rcc rId="42777" sId="4">
    <nc r="BO46">
      <f>BN46-BE46</f>
    </nc>
  </rcc>
  <rcc rId="42778" sId="4">
    <nc r="BO47">
      <f>BN47-BE47</f>
    </nc>
  </rcc>
  <rcc rId="42779" sId="4">
    <nc r="BO48">
      <f>BN48-BE48</f>
    </nc>
  </rcc>
  <rcc rId="42780" sId="4">
    <nc r="BO49">
      <f>BN49-BE49</f>
    </nc>
  </rcc>
  <rcc rId="42781" sId="4" odxf="1" dxf="1">
    <nc r="BO50">
      <f>BN50-BE50</f>
    </nc>
    <odxf>
      <fill>
        <patternFill patternType="solid">
          <bgColor theme="0" tint="-0.249977111117893"/>
        </patternFill>
      </fill>
    </odxf>
    <ndxf>
      <fill>
        <patternFill patternType="none">
          <bgColor indexed="65"/>
        </patternFill>
      </fill>
    </ndxf>
  </rcc>
  <rcc rId="42782" sId="4" odxf="1">
    <nc r="BO51">
      <f>BN51-BE51</f>
    </nc>
    <odxf/>
  </rcc>
  <rcc rId="42783" sId="4" odxf="1">
    <nc r="BO52">
      <f>BN52-BE52</f>
    </nc>
    <odxf/>
  </rcc>
  <rcc rId="42784" sId="4" odxf="1">
    <nc r="BO53">
      <f>BN53-BE53</f>
    </nc>
    <odxf/>
  </rcc>
  <rcc rId="42785" sId="4" odxf="1">
    <nc r="BO54">
      <f>BN54-BE54</f>
    </nc>
    <odxf/>
  </rcc>
  <rcc rId="42786" sId="4" odxf="1">
    <nc r="BO55">
      <f>BN55-BE55</f>
    </nc>
    <odxf/>
  </rcc>
  <rcc rId="42787" sId="4" odxf="1">
    <nc r="BO56">
      <f>BN56-BE56</f>
    </nc>
    <odxf/>
  </rcc>
  <rcc rId="42788" sId="4">
    <nc r="BO57">
      <f>BN57-BE57</f>
    </nc>
  </rcc>
  <rcc rId="42789" sId="4" odxf="1">
    <nc r="BO58">
      <f>BN58-BE58</f>
    </nc>
    <odxf/>
  </rcc>
  <rcc rId="42790" sId="4">
    <nc r="BO59">
      <f>BN59-BE59</f>
    </nc>
  </rcc>
  <rcc rId="42791" sId="4" odxf="1">
    <nc r="BO60">
      <f>BN60-BE60</f>
    </nc>
    <odxf/>
  </rcc>
  <rcc rId="42792" sId="4" odxf="1">
    <nc r="BO61">
      <f>BN61-BE61</f>
    </nc>
    <odxf/>
  </rcc>
  <rcc rId="42793" sId="4">
    <nc r="BO62">
      <f>BN62-BE62</f>
    </nc>
  </rcc>
  <rcc rId="42794" sId="4" odxf="1">
    <nc r="BO63">
      <f>BN63-BE63</f>
    </nc>
    <odxf/>
  </rcc>
  <rcc rId="42795" sId="4">
    <nc r="BO64">
      <f>BN64-BE64</f>
    </nc>
  </rcc>
  <rcc rId="42796" sId="4">
    <nc r="BO65">
      <f>BN65-BE65</f>
    </nc>
  </rcc>
  <rcc rId="42797" sId="4" odxf="1">
    <nc r="BO66">
      <f>BN66-BE66</f>
    </nc>
    <odxf/>
  </rcc>
  <rcc rId="42798" sId="4">
    <nc r="BO67">
      <f>BN67-BE67</f>
    </nc>
  </rcc>
  <rcc rId="42799" sId="4">
    <nc r="BO68">
      <f>BN68-BE68</f>
    </nc>
  </rcc>
  <rcc rId="42800" sId="4">
    <nc r="BO69">
      <f>BN69-BE69</f>
    </nc>
  </rcc>
  <rcc rId="42801" sId="4">
    <nc r="BO70">
      <f>BN70-BE70</f>
    </nc>
  </rcc>
  <rcc rId="42802" sId="4">
    <nc r="BO71">
      <f>BN71-BE71</f>
    </nc>
  </rcc>
  <rcc rId="42803" sId="4">
    <nc r="BO72">
      <f>BN72-BE72</f>
    </nc>
  </rcc>
  <rcc rId="42804" sId="4" odxf="1" dxf="1">
    <nc r="BO73">
      <f>BN73-BE73</f>
    </nc>
    <odxf>
      <border outline="0">
        <bottom style="medium">
          <color indexed="64"/>
        </bottom>
      </border>
    </odxf>
    <ndxf>
      <border outline="0">
        <bottom/>
      </border>
    </ndxf>
  </rcc>
  <rcc rId="42805" sId="4">
    <nc r="BO74">
      <f>BN74-BE74</f>
    </nc>
  </rcc>
  <rcc rId="42806" sId="4">
    <nc r="BO75">
      <f>BN75-BE75</f>
    </nc>
  </rcc>
  <rcc rId="42807" sId="4">
    <nc r="BO76">
      <f>BN76-BE76</f>
    </nc>
  </rcc>
  <rcc rId="42808" sId="4">
    <nc r="BO77">
      <f>BN77-BE77</f>
    </nc>
  </rcc>
  <rcc rId="42809" sId="4">
    <nc r="BO78">
      <f>BN78-BE78</f>
    </nc>
  </rcc>
  <rcc rId="42810" sId="4">
    <nc r="BO79">
      <f>BN79-BE79</f>
    </nc>
  </rcc>
  <rcc rId="42811" sId="4">
    <nc r="BO80">
      <f>BN80-BE80</f>
    </nc>
  </rcc>
  <rcc rId="42812" sId="4">
    <nc r="BO81">
      <f>BN81-BE81</f>
    </nc>
  </rcc>
  <rcc rId="42813" sId="4">
    <nc r="BO82">
      <f>BN82-BE82</f>
    </nc>
  </rcc>
  <rcc rId="42814" sId="4">
    <nc r="BO83">
      <f>BN83-BE83</f>
    </nc>
  </rcc>
  <rcc rId="42815" sId="4" odxf="1" dxf="1">
    <nc r="BO84">
      <f>BN84-BE84</f>
    </nc>
    <odxf>
      <fill>
        <patternFill patternType="solid">
          <bgColor theme="0" tint="-0.249977111117893"/>
        </patternFill>
      </fill>
    </odxf>
    <ndxf>
      <fill>
        <patternFill patternType="none">
          <bgColor indexed="65"/>
        </patternFill>
      </fill>
    </ndxf>
  </rcc>
  <rcc rId="42816" sId="4" odxf="1">
    <nc r="BO85">
      <f>BN85-BE85</f>
    </nc>
    <odxf/>
  </rcc>
  <rcc rId="42817" sId="4" odxf="1">
    <nc r="BO86">
      <f>BN86-BE86</f>
    </nc>
    <odxf/>
  </rcc>
  <rcc rId="42818" sId="4">
    <nc r="BO87">
      <f>BN87-BE87</f>
    </nc>
  </rcc>
  <rcc rId="42819" sId="4" odxf="1">
    <nc r="BO88">
      <f>BN88-BE88</f>
    </nc>
    <odxf/>
  </rcc>
  <rcc rId="42820" sId="4">
    <nc r="BO89">
      <f>BN89-BE89</f>
    </nc>
  </rcc>
  <rcc rId="42821" sId="4" odxf="1">
    <nc r="BO90">
      <f>BN90-BE90</f>
    </nc>
    <odxf/>
  </rcc>
  <rcc rId="42822" sId="4">
    <nc r="BO91">
      <f>BN91-BE91</f>
    </nc>
  </rcc>
  <rcc rId="42823" sId="4">
    <nc r="BO92">
      <f>BN92-BE92</f>
    </nc>
  </rcc>
  <rcc rId="42824" sId="4">
    <nc r="BO93">
      <f>BN93-BE93</f>
    </nc>
  </rcc>
  <rcc rId="42825" sId="4" odxf="1">
    <nc r="BO94">
      <f>BN94-BE94</f>
    </nc>
    <odxf/>
  </rcc>
  <rcc rId="42826" sId="4" odxf="1">
    <nc r="BO95">
      <f>BN95-BE95</f>
    </nc>
    <odxf/>
  </rcc>
  <rcc rId="42827" sId="4" odxf="1">
    <nc r="BO96">
      <f>BN96-BE96</f>
    </nc>
    <odxf/>
  </rcc>
  <rcc rId="42828" sId="4" odxf="1">
    <nc r="BO97">
      <f>BN97-BE97</f>
    </nc>
    <odxf/>
  </rcc>
  <rcc rId="42829" sId="4">
    <nc r="BO98">
      <f>BN98-BE98</f>
    </nc>
  </rcc>
  <rcc rId="42830" sId="4">
    <nc r="BO99">
      <f>BN99-BE99</f>
    </nc>
  </rcc>
  <rcc rId="42831" sId="4">
    <nc r="BO100">
      <f>BN100-BE100</f>
    </nc>
  </rcc>
  <rcc rId="42832" sId="4">
    <nc r="BO101">
      <f>BN101-BE101</f>
    </nc>
  </rcc>
  <rcc rId="42833" sId="4">
    <nc r="BO102">
      <f>BN102-BE102</f>
    </nc>
  </rcc>
  <rcc rId="42834" sId="4">
    <nc r="BO103">
      <f>BN103-BE103</f>
    </nc>
  </rcc>
  <rcc rId="42835" sId="4" odxf="1">
    <nc r="BO104">
      <f>BN104-BE104</f>
    </nc>
    <odxf/>
  </rcc>
  <rcc rId="42836" sId="4">
    <nc r="BO105">
      <f>BN105-BE105</f>
    </nc>
  </rcc>
  <rcc rId="42837" sId="4">
    <nc r="BO106">
      <f>BN106-BE106</f>
    </nc>
  </rcc>
  <rcc rId="42838" sId="4">
    <nc r="BO107">
      <f>BN107-BE107</f>
    </nc>
  </rcc>
  <rcc rId="42839" sId="4" odxf="1" dxf="1">
    <nc r="BO108">
      <f>BN108-BE108</f>
    </nc>
    <odxf>
      <border outline="0">
        <bottom style="medium">
          <color indexed="64"/>
        </bottom>
      </border>
    </odxf>
    <ndxf>
      <border outline="0">
        <bottom/>
      </border>
    </ndxf>
  </rcc>
  <rcc rId="42840" sId="4">
    <nc r="BO110">
      <f>BN110-BE110</f>
    </nc>
  </rcc>
  <rcc rId="42841" sId="4">
    <nc r="BO111">
      <f>BN111-BE111</f>
    </nc>
  </rcc>
  <rcc rId="42842" sId="4">
    <nc r="BO112">
      <f>BN112-BE112</f>
    </nc>
  </rcc>
  <rcc rId="42843" sId="4">
    <nc r="BO113">
      <f>BN113-BE113</f>
    </nc>
  </rcc>
  <rcc rId="42844" sId="4">
    <nc r="BO114">
      <f>BN114-BE114</f>
    </nc>
  </rcc>
  <rcc rId="42845" sId="4">
    <nc r="BO115">
      <f>BN115-BE115</f>
    </nc>
  </rcc>
  <rcc rId="42846" sId="4">
    <nc r="BO116">
      <f>BN116-BE116</f>
    </nc>
  </rcc>
  <rcc rId="42847" sId="4">
    <nc r="BO117">
      <f>BN117-BE117</f>
    </nc>
  </rcc>
  <rcc rId="42848" sId="4">
    <nc r="BO118">
      <f>BN118-BE118</f>
    </nc>
  </rcc>
  <rcc rId="42849" sId="4" odxf="1" dxf="1">
    <nc r="BO119">
      <f>BN119-BE119</f>
    </nc>
    <odxf>
      <fill>
        <patternFill patternType="solid">
          <bgColor theme="0" tint="-0.249977111117893"/>
        </patternFill>
      </fill>
    </odxf>
    <ndxf>
      <fill>
        <patternFill patternType="none">
          <bgColor indexed="65"/>
        </patternFill>
      </fill>
    </ndxf>
  </rcc>
  <rcc rId="42850" sId="4" odxf="1" dxf="1">
    <nc r="BO120">
      <f>BN120-BE120</f>
    </nc>
    <odxf>
      <fill>
        <patternFill patternType="solid">
          <bgColor rgb="FFFFFF00"/>
        </patternFill>
      </fill>
    </odxf>
    <ndxf>
      <fill>
        <patternFill patternType="none">
          <bgColor indexed="65"/>
        </patternFill>
      </fill>
    </ndxf>
  </rcc>
  <rcc rId="42851" sId="4" odxf="1" dxf="1">
    <nc r="BO121">
      <f>BN121-BE121</f>
    </nc>
    <odxf>
      <fill>
        <patternFill patternType="solid">
          <bgColor rgb="FFFFFF00"/>
        </patternFill>
      </fill>
    </odxf>
    <ndxf>
      <fill>
        <patternFill patternType="none">
          <bgColor indexed="65"/>
        </patternFill>
      </fill>
    </ndxf>
  </rcc>
  <rcc rId="42852" sId="4" odxf="1" dxf="1">
    <nc r="BO122">
      <f>BN122-BE122</f>
    </nc>
    <odxf>
      <fill>
        <patternFill patternType="solid">
          <bgColor rgb="FFFFFF00"/>
        </patternFill>
      </fill>
    </odxf>
    <ndxf>
      <fill>
        <patternFill patternType="none">
          <bgColor indexed="65"/>
        </patternFill>
      </fill>
    </ndxf>
  </rcc>
  <rcc rId="42853" sId="4" odxf="1" dxf="1">
    <nc r="BO123">
      <f>BN123-BE123</f>
    </nc>
    <odxf>
      <fill>
        <patternFill patternType="solid">
          <bgColor rgb="FFFFFF00"/>
        </patternFill>
      </fill>
    </odxf>
    <ndxf>
      <fill>
        <patternFill patternType="none">
          <bgColor indexed="65"/>
        </patternFill>
      </fill>
    </ndxf>
  </rcc>
  <rcc rId="42854" sId="4" odxf="1" dxf="1">
    <nc r="BO124">
      <f>BN124-BE124</f>
    </nc>
    <odxf>
      <fill>
        <patternFill patternType="solid">
          <bgColor rgb="FFFFFF00"/>
        </patternFill>
      </fill>
    </odxf>
    <ndxf>
      <fill>
        <patternFill patternType="none">
          <bgColor indexed="65"/>
        </patternFill>
      </fill>
    </ndxf>
  </rcc>
  <rcc rId="42855" sId="4" odxf="1" dxf="1">
    <nc r="BO125">
      <f>BN125-BE125</f>
    </nc>
    <odxf>
      <fill>
        <patternFill patternType="solid">
          <bgColor rgb="FFFFFF00"/>
        </patternFill>
      </fill>
    </odxf>
    <ndxf>
      <fill>
        <patternFill patternType="none">
          <bgColor indexed="65"/>
        </patternFill>
      </fill>
    </ndxf>
  </rcc>
  <rcc rId="42856" sId="4" odxf="1" dxf="1">
    <nc r="BO126">
      <f>BN126-BE126</f>
    </nc>
    <odxf>
      <fill>
        <patternFill patternType="solid">
          <bgColor rgb="FFFFFF00"/>
        </patternFill>
      </fill>
    </odxf>
    <ndxf>
      <fill>
        <patternFill patternType="none">
          <bgColor indexed="65"/>
        </patternFill>
      </fill>
    </ndxf>
  </rcc>
  <rcc rId="42857" sId="4" odxf="1" dxf="1">
    <nc r="BO127">
      <f>BN127-BE127</f>
    </nc>
    <odxf>
      <fill>
        <patternFill patternType="solid">
          <bgColor rgb="FFFFFF00"/>
        </patternFill>
      </fill>
    </odxf>
    <ndxf>
      <fill>
        <patternFill patternType="none">
          <bgColor indexed="65"/>
        </patternFill>
      </fill>
    </ndxf>
  </rcc>
  <rcc rId="42858" sId="4">
    <nc r="BO128">
      <f>BN128-BE128</f>
    </nc>
  </rcc>
  <rcc rId="42859" sId="4" odxf="1" dxf="1">
    <nc r="BO129">
      <f>BN129-BE129</f>
    </nc>
    <odxf>
      <fill>
        <patternFill patternType="solid">
          <bgColor rgb="FFFFFF00"/>
        </patternFill>
      </fill>
    </odxf>
    <ndxf>
      <fill>
        <patternFill patternType="none">
          <bgColor indexed="65"/>
        </patternFill>
      </fill>
    </ndxf>
  </rcc>
  <rcc rId="42860" sId="4" odxf="1" dxf="1">
    <nc r="BO130">
      <f>BN130-BE130</f>
    </nc>
    <odxf>
      <fill>
        <patternFill patternType="solid">
          <bgColor rgb="FFFFFF00"/>
        </patternFill>
      </fill>
    </odxf>
    <ndxf>
      <fill>
        <patternFill patternType="none">
          <bgColor indexed="65"/>
        </patternFill>
      </fill>
    </ndxf>
  </rcc>
  <rcc rId="42861" sId="4" odxf="1" dxf="1">
    <nc r="BO131">
      <f>BN131-BE131</f>
    </nc>
    <odxf>
      <fill>
        <patternFill patternType="solid">
          <bgColor rgb="FFFFFF00"/>
        </patternFill>
      </fill>
    </odxf>
    <ndxf>
      <fill>
        <patternFill patternType="none">
          <bgColor indexed="65"/>
        </patternFill>
      </fill>
    </ndxf>
  </rcc>
  <rcc rId="42862" sId="4" odxf="1" dxf="1">
    <nc r="BO132">
      <f>BN132-BE132</f>
    </nc>
    <odxf>
      <fill>
        <patternFill patternType="solid">
          <bgColor rgb="FFFFFF00"/>
        </patternFill>
      </fill>
      <border outline="0">
        <bottom style="medium">
          <color indexed="64"/>
        </bottom>
      </border>
    </odxf>
    <ndxf>
      <fill>
        <patternFill patternType="none">
          <bgColor indexed="65"/>
        </patternFill>
      </fill>
      <border outline="0">
        <bottom/>
      </border>
    </ndxf>
  </rcc>
  <rcc rId="42863" sId="4">
    <nc r="BO133">
      <f>BN133-BE133</f>
    </nc>
  </rcc>
  <rcc rId="42864" sId="4">
    <nc r="BO134">
      <f>BN134-BE134</f>
    </nc>
  </rcc>
  <rcc rId="42865" sId="4">
    <nc r="BO135">
      <f>BN135-BE135</f>
    </nc>
  </rcc>
  <rcc rId="42866" sId="4">
    <nc r="BO136">
      <f>BN136-BE136</f>
    </nc>
  </rcc>
  <rcc rId="42867" sId="4">
    <nc r="BO137">
      <f>BN137-BE137</f>
    </nc>
  </rcc>
  <rcc rId="42868" sId="4">
    <nc r="BO138">
      <f>BN138-BE138</f>
    </nc>
  </rcc>
  <rcc rId="42869" sId="4">
    <nc r="BO139">
      <f>BN139-BE139</f>
    </nc>
  </rcc>
  <rcc rId="42870" sId="4">
    <nc r="BO140">
      <f>BN140-BE140</f>
    </nc>
  </rcc>
  <rcc rId="42871" sId="4">
    <nc r="BO141">
      <f>BN141-BE141</f>
    </nc>
  </rcc>
  <rcc rId="42872" sId="4">
    <nc r="BO142">
      <f>BN142-BE142</f>
    </nc>
  </rcc>
  <rcc rId="42873" sId="4">
    <nc r="BO143">
      <f>BN143-BE143</f>
    </nc>
  </rcc>
  <rcc rId="42874" sId="4">
    <nc r="BO144">
      <f>BN144-BE144</f>
    </nc>
  </rcc>
  <rcc rId="42875" sId="4" odxf="1" dxf="1">
    <nc r="BO145">
      <f>BN145-BE145</f>
    </nc>
    <odxf>
      <fill>
        <patternFill patternType="solid">
          <bgColor theme="0" tint="-0.249977111117893"/>
        </patternFill>
      </fill>
    </odxf>
    <ndxf>
      <fill>
        <patternFill patternType="none">
          <bgColor indexed="65"/>
        </patternFill>
      </fill>
    </ndxf>
  </rcc>
  <rcc rId="42876" sId="4">
    <nc r="BO146">
      <f>BN146-BE146</f>
    </nc>
  </rcc>
  <rcc rId="42877" sId="4">
    <nc r="BO147">
      <f>BN147-BE147</f>
    </nc>
  </rcc>
  <rcc rId="42878" sId="4">
    <nc r="BO148">
      <f>BN148-BE148</f>
    </nc>
  </rcc>
  <rcc rId="42879" sId="4">
    <nc r="BO149">
      <f>BN149-BE149</f>
    </nc>
  </rcc>
  <rcc rId="42880" sId="4">
    <nc r="BO150">
      <f>BN150-BE150</f>
    </nc>
  </rcc>
  <rcc rId="42881" sId="4" odxf="1">
    <nc r="BO151">
      <f>BN151-BE151</f>
    </nc>
    <odxf/>
  </rcc>
  <rcc rId="42882" sId="4" odxf="1">
    <nc r="BO152">
      <f>BN152-BE152</f>
    </nc>
    <odxf/>
  </rcc>
  <rcc rId="42883" sId="4">
    <nc r="BO153">
      <f>BN153-BE153</f>
    </nc>
  </rcc>
  <rcc rId="42884" sId="4">
    <nc r="BO154">
      <f>BN154-BE154</f>
    </nc>
  </rcc>
  <rcc rId="42885" sId="4" odxf="1">
    <nc r="BO155">
      <f>BN155-BE155</f>
    </nc>
    <odxf/>
  </rcc>
  <rcc rId="42886" sId="4" odxf="1">
    <nc r="BO156">
      <f>BN156-BE156</f>
    </nc>
    <odxf/>
  </rcc>
  <rcc rId="42887" sId="4">
    <nc r="BO157">
      <f>BN157-BE157</f>
    </nc>
  </rcc>
  <rcc rId="42888" sId="4">
    <nc r="BO158">
      <f>BN158-BE158</f>
    </nc>
  </rcc>
  <rcc rId="42889" sId="4" odxf="1">
    <nc r="BO159">
      <f>BN159-BE159</f>
    </nc>
    <odxf/>
  </rcc>
  <rcc rId="42890" sId="4" odxf="1">
    <nc r="BO160">
      <f>BN160-BE160</f>
    </nc>
    <odxf/>
  </rcc>
  <rcc rId="42891" sId="4" odxf="1">
    <nc r="BO161">
      <f>BN161-BE161</f>
    </nc>
    <odxf/>
  </rcc>
  <rcc rId="42892" sId="4">
    <nc r="BO162">
      <f>BN162-BE162</f>
    </nc>
  </rcc>
  <rcc rId="42893" sId="4">
    <nc r="BO163">
      <f>BN163-BE163</f>
    </nc>
  </rcc>
  <rcc rId="42894" sId="4">
    <nc r="BO164">
      <f>BN164-BE164</f>
    </nc>
  </rcc>
  <rcc rId="42895" sId="4" odxf="1" dxf="1">
    <nc r="BO165">
      <f>BN165-BE165</f>
    </nc>
    <odxf>
      <border outline="0">
        <bottom style="medium">
          <color indexed="64"/>
        </bottom>
      </border>
    </odxf>
    <ndxf>
      <border outline="0">
        <bottom/>
      </border>
    </ndxf>
  </rcc>
  <rcc rId="42896" sId="4">
    <nc r="BO167">
      <f>BN167-BE167</f>
    </nc>
  </rcc>
  <rcc rId="42897" sId="4">
    <nc r="BO168">
      <f>BN168-BE168</f>
    </nc>
  </rcc>
  <rcc rId="42898" sId="4">
    <nc r="BO169">
      <f>BN169-BE169</f>
    </nc>
  </rcc>
  <rcc rId="42899" sId="4">
    <nc r="BO170">
      <f>BN170-BE170</f>
    </nc>
  </rcc>
  <rcc rId="42900" sId="4">
    <nc r="BO171">
      <f>BN171-BE171</f>
    </nc>
  </rcc>
  <rcc rId="42901" sId="4">
    <nc r="BO172">
      <f>BN172-BE172</f>
    </nc>
  </rcc>
  <rcc rId="42902" sId="4">
    <nc r="BO173">
      <f>BN173-BE173</f>
    </nc>
  </rcc>
  <rcc rId="42903" sId="4">
    <nc r="BO174">
      <f>BN174-BE174</f>
    </nc>
  </rcc>
  <rcc rId="42904" sId="4">
    <nc r="BO175">
      <f>BN175-BE175</f>
    </nc>
  </rcc>
  <rcc rId="42905" sId="4">
    <nc r="BO176">
      <f>BN176-BE176</f>
    </nc>
  </rcc>
  <rcc rId="42906" sId="4">
    <nc r="BO177">
      <f>BN177-BE177</f>
    </nc>
  </rcc>
  <rcc rId="42907" sId="4" odxf="1" dxf="1">
    <nc r="BO178">
      <f>BN178-BE178</f>
    </nc>
    <odxf>
      <fill>
        <patternFill patternType="solid">
          <bgColor theme="0" tint="-0.249977111117893"/>
        </patternFill>
      </fill>
    </odxf>
    <ndxf>
      <fill>
        <patternFill patternType="none">
          <bgColor indexed="65"/>
        </patternFill>
      </fill>
    </ndxf>
  </rcc>
  <rcc rId="42908" sId="4" odxf="1">
    <nc r="BO179">
      <f>BN179-BE179</f>
    </nc>
    <odxf/>
  </rcc>
  <rcc rId="42909" sId="4" odxf="1">
    <nc r="BO180">
      <f>BN180-BE180</f>
    </nc>
    <odxf/>
  </rcc>
  <rcc rId="42910" sId="4" odxf="1">
    <nc r="BO181">
      <f>BN181-BE181</f>
    </nc>
    <odxf/>
  </rcc>
  <rcc rId="42911" sId="4" odxf="1">
    <nc r="BO182">
      <f>BN182-BE182</f>
    </nc>
    <odxf/>
  </rcc>
  <rcc rId="42912" sId="4" odxf="1">
    <nc r="BO183">
      <f>BN183-BE183</f>
    </nc>
    <odxf/>
  </rcc>
  <rcc rId="42913" sId="4">
    <nc r="BO184">
      <f>BN184-BE184</f>
    </nc>
  </rcc>
  <rcc rId="42914" sId="4">
    <nc r="BO185">
      <f>BN185-BE185</f>
    </nc>
  </rcc>
  <rcc rId="42915" sId="4">
    <nc r="BO186">
      <f>BN186-BE186</f>
    </nc>
  </rcc>
  <rcc rId="42916" sId="4" odxf="1" dxf="1">
    <nc r="BO187">
      <f>BN187-BE187</f>
    </nc>
    <odxf>
      <border outline="0">
        <bottom style="medium">
          <color indexed="64"/>
        </bottom>
      </border>
    </odxf>
    <ndxf>
      <border outline="0">
        <bottom/>
      </border>
    </ndxf>
  </rcc>
  <rcc rId="42917" sId="4">
    <nc r="BO188">
      <f>BN188-BE188</f>
    </nc>
  </rcc>
  <rcc rId="42918" sId="4">
    <nc r="BO189">
      <f>BN189-BE189</f>
    </nc>
  </rcc>
  <rcc rId="42919" sId="4">
    <nc r="BO190">
      <f>BN190-BE190</f>
    </nc>
  </rcc>
  <rcc rId="42920" sId="4">
    <nc r="BO191">
      <f>BN191-BE191</f>
    </nc>
  </rcc>
  <rcc rId="42921" sId="4">
    <nc r="BO192">
      <f>BN192-BE192</f>
    </nc>
  </rcc>
  <rcc rId="42922" sId="4">
    <nc r="BO193">
      <f>BN193-BE193</f>
    </nc>
  </rcc>
  <rcc rId="42923" sId="4">
    <nc r="BO194">
      <f>BN194-BE194</f>
    </nc>
  </rcc>
  <rcc rId="42924" sId="4">
    <nc r="BO195">
      <f>BN195-BE195</f>
    </nc>
  </rcc>
  <rcc rId="42925" sId="4">
    <nc r="BO196">
      <f>BN196-BE196</f>
    </nc>
  </rcc>
  <rcc rId="42926" sId="4" odxf="1" dxf="1">
    <nc r="BO197">
      <f>BN197-BE197</f>
    </nc>
    <odxf>
      <fill>
        <patternFill patternType="solid">
          <bgColor theme="0" tint="-0.249977111117893"/>
        </patternFill>
      </fill>
    </odxf>
    <ndxf>
      <fill>
        <patternFill patternType="none">
          <bgColor indexed="65"/>
        </patternFill>
      </fill>
    </ndxf>
  </rcc>
  <rcc rId="42927" sId="4">
    <nc r="BO198">
      <f>BN198-BE198</f>
    </nc>
  </rcc>
  <rcc rId="42928" sId="4">
    <nc r="BO199">
      <f>BN199-BE199</f>
    </nc>
  </rcc>
  <rcc rId="42929" sId="4">
    <nc r="BO200">
      <f>BN200-BE200</f>
    </nc>
  </rcc>
  <rcc rId="42930" sId="4">
    <nc r="BO201">
      <f>BN201-BE201</f>
    </nc>
  </rcc>
  <rcc rId="42931" sId="4">
    <nc r="BO202">
      <f>BN202-BE202</f>
    </nc>
  </rcc>
  <rcc rId="42932" sId="4">
    <nc r="BO203">
      <f>BN203-BE203</f>
    </nc>
  </rcc>
  <rcc rId="42933" sId="4">
    <nc r="BO204">
      <f>BN204-BE204</f>
    </nc>
  </rcc>
  <rcc rId="42934" sId="4">
    <nc r="BO205">
      <f>BN205-BE205</f>
    </nc>
  </rcc>
  <rcc rId="42935" sId="4">
    <nc r="BO206">
      <f>BN206-BE206</f>
    </nc>
  </rcc>
  <rcc rId="42936" sId="4">
    <nc r="BO207">
      <f>BN207-BE207</f>
    </nc>
  </rcc>
  <rcc rId="42937" sId="4">
    <nc r="BO208">
      <f>BN208-BE208</f>
    </nc>
  </rcc>
  <rcc rId="42938" sId="4">
    <nc r="BO209">
      <f>BN209-BE209</f>
    </nc>
  </rcc>
  <rcc rId="42939" sId="4">
    <nc r="BO210">
      <f>BN210-BE210</f>
    </nc>
  </rcc>
  <rcc rId="42940" sId="4">
    <nc r="BO211">
      <f>BN211-BE211</f>
    </nc>
  </rcc>
  <rcc rId="42941" sId="4">
    <nc r="BO212">
      <f>BN212-BE212</f>
    </nc>
  </rcc>
  <rcc rId="42942" sId="4">
    <nc r="BO213">
      <f>BN213-BE213</f>
    </nc>
  </rcc>
  <rcc rId="42943" sId="4">
    <nc r="BO214">
      <f>BN214-BE214</f>
    </nc>
  </rcc>
  <rcc rId="42944" sId="4">
    <nc r="BO215">
      <f>BN215-BE215</f>
    </nc>
  </rcc>
  <rcc rId="42945" sId="4">
    <nc r="BO216">
      <f>BN216-BE216</f>
    </nc>
  </rcc>
  <rcc rId="42946" sId="4">
    <nc r="BO217">
      <f>BN217-BE217</f>
    </nc>
  </rcc>
  <rcc rId="42947" sId="4">
    <nc r="BO218">
      <f>BN218-BE218</f>
    </nc>
  </rcc>
  <rcc rId="42948" sId="4">
    <nc r="BO219">
      <f>BN219-BE219</f>
    </nc>
  </rcc>
  <rcc rId="42949" sId="4">
    <nc r="BO220">
      <f>BN220-BE220</f>
    </nc>
  </rcc>
  <rcc rId="42950" sId="4" odxf="1" dxf="1">
    <nc r="BO221">
      <f>BN221-BE221</f>
    </nc>
    <odxf>
      <border outline="0">
        <bottom style="medium">
          <color indexed="64"/>
        </bottom>
      </border>
    </odxf>
    <ndxf>
      <border outline="0">
        <bottom/>
      </border>
    </ndxf>
  </rcc>
  <rcc rId="42951" sId="4">
    <nc r="BO222">
      <f>BN222-BE222</f>
    </nc>
  </rcc>
  <rcc rId="42952" sId="4">
    <nc r="BO223">
      <f>BN223-BE223</f>
    </nc>
  </rcc>
  <rcc rId="42953" sId="4">
    <nc r="BO224">
      <f>BN224-BE224</f>
    </nc>
  </rcc>
  <rcc rId="42954" sId="4">
    <nc r="BO225">
      <f>BN225-BE225</f>
    </nc>
  </rcc>
  <rcc rId="42955" sId="4" odxf="1" dxf="1">
    <nc r="BO226">
      <f>BN226-BE226</f>
    </nc>
    <odxf>
      <border outline="0">
        <bottom style="medium">
          <color indexed="64"/>
        </bottom>
      </border>
    </odxf>
    <ndxf>
      <border outline="0">
        <bottom/>
      </border>
    </ndxf>
  </rcc>
  <rcc rId="42956" sId="4">
    <nc r="BO227">
      <f>BN227-BE227</f>
    </nc>
  </rcc>
  <rcc rId="42957" sId="4">
    <nc r="BO228">
      <f>BN228-BE228</f>
    </nc>
  </rcc>
  <rcc rId="42958" sId="4">
    <nc r="BO229">
      <f>BN229-BE229</f>
    </nc>
  </rcc>
  <rcc rId="42959" sId="4">
    <nc r="BO230">
      <f>BN230-BE230</f>
    </nc>
  </rcc>
  <rcc rId="42960" sId="4">
    <nc r="BO231">
      <f>BN231-BE231</f>
    </nc>
  </rcc>
  <rcc rId="42961" sId="4">
    <nc r="BO232">
      <f>BN232-BE232</f>
    </nc>
  </rcc>
  <rcc rId="42962" sId="4">
    <nc r="BO233">
      <f>BN233-BE233</f>
    </nc>
  </rcc>
  <rcc rId="42963" sId="4">
    <nc r="BO234">
      <f>BN234-BE234</f>
    </nc>
  </rcc>
  <rcc rId="42964" sId="4">
    <nc r="BO235">
      <f>BN235-BE235</f>
    </nc>
  </rcc>
  <rcc rId="42965" sId="4">
    <nc r="BO236">
      <f>BN236-BE236</f>
    </nc>
  </rcc>
  <rcc rId="42966" sId="4">
    <nc r="BO237">
      <f>BN237-BE237</f>
    </nc>
  </rcc>
  <rcc rId="42967" sId="4">
    <nc r="BO238">
      <f>BN238-BE238</f>
    </nc>
  </rcc>
  <rcc rId="42968" sId="4">
    <nc r="BO239">
      <f>BN239-BE239</f>
    </nc>
  </rcc>
  <rcc rId="42969" sId="4">
    <nc r="BO240">
      <f>BN240-BE240</f>
    </nc>
  </rcc>
  <rcc rId="42970" sId="4">
    <nc r="BO241">
      <f>BN241-BE241</f>
    </nc>
  </rcc>
  <rcc rId="42971" sId="4" odxf="1" dxf="1">
    <nc r="BO242">
      <f>BN242-BE242</f>
    </nc>
    <odxf>
      <fill>
        <patternFill patternType="solid">
          <bgColor theme="0" tint="-0.249977111117893"/>
        </patternFill>
      </fill>
    </odxf>
    <ndxf>
      <fill>
        <patternFill patternType="none">
          <bgColor indexed="65"/>
        </patternFill>
      </fill>
    </ndxf>
  </rcc>
  <rcc rId="42972" sId="4" odxf="1" dxf="1">
    <nc r="BO243">
      <f>BN243-BE243</f>
    </nc>
    <odxf>
      <numFmt numFmtId="0" formatCode="General"/>
    </odxf>
    <ndxf>
      <numFmt numFmtId="165" formatCode="&quot;$&quot;#,##0"/>
    </ndxf>
  </rcc>
  <rcc rId="42973" sId="4">
    <nc r="BO109">
      <f>BN110-BE109</f>
    </nc>
  </rcc>
  <rcc rId="42974" sId="4">
    <nc r="BO166">
      <f>BN167-BE166</f>
    </nc>
  </rcc>
  <rcc rId="42975" sId="4">
    <nc r="BQ7">
      <f>BO7/BE7</f>
    </nc>
  </rcc>
  <rfmt sheetId="4" sqref="BQ7">
    <dxf>
      <numFmt numFmtId="34" formatCode="_(&quot;$&quot;* #,##0.00_);_(&quot;$&quot;* \(#,##0.00\);_(&quot;$&quot;* &quot;-&quot;??_);_(@_)"/>
    </dxf>
  </rfmt>
  <rfmt sheetId="4" sqref="BQ7">
    <dxf>
      <numFmt numFmtId="13" formatCode="0%"/>
    </dxf>
  </rfmt>
  <rcc rId="42976" sId="4" odxf="1" dxf="1">
    <nc r="BQ8">
      <f>BO8/BE8</f>
    </nc>
    <odxf>
      <numFmt numFmtId="165" formatCode="&quot;$&quot;#,##0"/>
    </odxf>
    <ndxf>
      <numFmt numFmtId="13" formatCode="0%"/>
    </ndxf>
  </rcc>
  <rcc rId="42977" sId="4" odxf="1" dxf="1">
    <nc r="BQ9">
      <f>BO9/BE9</f>
    </nc>
    <odxf>
      <numFmt numFmtId="165" formatCode="&quot;$&quot;#,##0"/>
    </odxf>
    <ndxf>
      <numFmt numFmtId="13" formatCode="0%"/>
    </ndxf>
  </rcc>
  <rcc rId="42978" sId="4" odxf="1" dxf="1">
    <nc r="BQ10">
      <f>BO10/BE10</f>
    </nc>
    <odxf>
      <numFmt numFmtId="0" formatCode="General"/>
    </odxf>
    <ndxf>
      <numFmt numFmtId="13" formatCode="0%"/>
    </ndxf>
  </rcc>
  <rcc rId="42979" sId="4" odxf="1" dxf="1">
    <nc r="BQ11">
      <f>BO11/BE11</f>
    </nc>
    <odxf>
      <numFmt numFmtId="0" formatCode="General"/>
    </odxf>
    <ndxf>
      <numFmt numFmtId="13" formatCode="0%"/>
    </ndxf>
  </rcc>
  <rcc rId="42980" sId="4" odxf="1" dxf="1">
    <nc r="BQ12">
      <f>BO12/BE12</f>
    </nc>
    <odxf>
      <numFmt numFmtId="0" formatCode="General"/>
    </odxf>
    <ndxf>
      <numFmt numFmtId="13" formatCode="0%"/>
    </ndxf>
  </rcc>
  <rcc rId="42981" sId="4" odxf="1" dxf="1">
    <nc r="BQ13">
      <f>BO13/BE13</f>
    </nc>
    <odxf>
      <numFmt numFmtId="0" formatCode="General"/>
    </odxf>
    <ndxf>
      <numFmt numFmtId="13" formatCode="0%"/>
    </ndxf>
  </rcc>
  <rcc rId="42982" sId="4" odxf="1" dxf="1">
    <nc r="BQ14">
      <f>BO14/BE14</f>
    </nc>
    <odxf>
      <numFmt numFmtId="165" formatCode="&quot;$&quot;#,##0"/>
    </odxf>
    <ndxf>
      <numFmt numFmtId="13" formatCode="0%"/>
    </ndxf>
  </rcc>
  <rcc rId="42983" sId="4" odxf="1" dxf="1">
    <nc r="BQ15">
      <f>BO15/BE15</f>
    </nc>
    <odxf>
      <numFmt numFmtId="0" formatCode="General"/>
    </odxf>
    <ndxf>
      <numFmt numFmtId="13" formatCode="0%"/>
    </ndxf>
  </rcc>
  <rcc rId="42984" sId="4" odxf="1" dxf="1">
    <nc r="BQ16">
      <f>BO16/BE16</f>
    </nc>
    <odxf>
      <numFmt numFmtId="0" formatCode="General"/>
    </odxf>
    <ndxf>
      <numFmt numFmtId="13" formatCode="0%"/>
    </ndxf>
  </rcc>
  <rcc rId="42985" sId="4" odxf="1" dxf="1">
    <nc r="BQ17">
      <f>BO17/BE17</f>
    </nc>
    <odxf>
      <numFmt numFmtId="165" formatCode="&quot;$&quot;#,##0"/>
    </odxf>
    <ndxf>
      <numFmt numFmtId="13" formatCode="0%"/>
    </ndxf>
  </rcc>
  <rcc rId="42986" sId="4" odxf="1" dxf="1">
    <nc r="BQ18">
      <f>BO18/BE18</f>
    </nc>
    <odxf>
      <numFmt numFmtId="0" formatCode="General"/>
    </odxf>
    <ndxf>
      <numFmt numFmtId="13" formatCode="0%"/>
    </ndxf>
  </rcc>
  <rcc rId="42987" sId="4" odxf="1" dxf="1">
    <nc r="BQ19">
      <f>BO19/BE19</f>
    </nc>
    <odxf>
      <numFmt numFmtId="165" formatCode="&quot;$&quot;#,##0"/>
    </odxf>
    <ndxf>
      <numFmt numFmtId="13" formatCode="0%"/>
    </ndxf>
  </rcc>
  <rcc rId="42988" sId="4" odxf="1" dxf="1">
    <nc r="BQ20">
      <f>BO20/BE20</f>
    </nc>
    <odxf>
      <numFmt numFmtId="0" formatCode="General"/>
    </odxf>
    <ndxf>
      <numFmt numFmtId="13" formatCode="0%"/>
    </ndxf>
  </rcc>
  <rcc rId="42989" sId="4" odxf="1" dxf="1">
    <nc r="BQ21">
      <f>BO21/BE21</f>
    </nc>
    <odxf>
      <numFmt numFmtId="0" formatCode="General"/>
    </odxf>
    <ndxf>
      <numFmt numFmtId="13" formatCode="0%"/>
    </ndxf>
  </rcc>
  <rcc rId="42990" sId="4" odxf="1" dxf="1">
    <nc r="BQ22">
      <f>BO22/BE22</f>
    </nc>
    <odxf>
      <numFmt numFmtId="165" formatCode="&quot;$&quot;#,##0"/>
    </odxf>
    <ndxf>
      <numFmt numFmtId="13" formatCode="0%"/>
    </ndxf>
  </rcc>
  <rcc rId="42991" sId="4" odxf="1" dxf="1">
    <nc r="BQ23">
      <f>BO23/BE23</f>
    </nc>
    <odxf>
      <numFmt numFmtId="0" formatCode="General"/>
    </odxf>
    <ndxf>
      <numFmt numFmtId="13" formatCode="0%"/>
    </ndxf>
  </rcc>
  <rcc rId="42992" sId="4" odxf="1" dxf="1">
    <nc r="BQ24">
      <f>BO24/BE24</f>
    </nc>
    <odxf>
      <numFmt numFmtId="0" formatCode="General"/>
    </odxf>
    <ndxf>
      <numFmt numFmtId="13" formatCode="0%"/>
    </ndxf>
  </rcc>
  <rcc rId="42993" sId="4" odxf="1" dxf="1">
    <nc r="BQ25">
      <f>BO25/BE25</f>
    </nc>
    <odxf>
      <numFmt numFmtId="0" formatCode="General"/>
    </odxf>
    <ndxf>
      <numFmt numFmtId="13" formatCode="0%"/>
    </ndxf>
  </rcc>
  <rcc rId="42994" sId="4" odxf="1" dxf="1">
    <nc r="BQ26">
      <f>BO26/BE26</f>
    </nc>
    <odxf>
      <numFmt numFmtId="0" formatCode="General"/>
    </odxf>
    <ndxf>
      <numFmt numFmtId="13" formatCode="0%"/>
    </ndxf>
  </rcc>
  <rcc rId="42995" sId="4" odxf="1" dxf="1">
    <nc r="BQ27">
      <f>BO27/BE27</f>
    </nc>
    <odxf>
      <numFmt numFmtId="0" formatCode="General"/>
    </odxf>
    <ndxf>
      <numFmt numFmtId="13" formatCode="0%"/>
    </ndxf>
  </rcc>
  <rcc rId="42996" sId="4" odxf="1" dxf="1">
    <nc r="BQ28">
      <f>BO28/BE28</f>
    </nc>
    <odxf>
      <numFmt numFmtId="0" formatCode="General"/>
    </odxf>
    <ndxf>
      <numFmt numFmtId="13" formatCode="0%"/>
    </ndxf>
  </rcc>
  <rcc rId="42997" sId="4" odxf="1" dxf="1">
    <nc r="BQ29">
      <f>BO29/BE29</f>
    </nc>
    <odxf>
      <numFmt numFmtId="165" formatCode="&quot;$&quot;#,##0"/>
    </odxf>
    <ndxf>
      <numFmt numFmtId="13" formatCode="0%"/>
    </ndxf>
  </rcc>
  <rcc rId="42998" sId="4" odxf="1" dxf="1">
    <nc r="BQ30">
      <f>BO30/BE30</f>
    </nc>
    <odxf>
      <numFmt numFmtId="165" formatCode="&quot;$&quot;#,##0"/>
    </odxf>
    <ndxf>
      <numFmt numFmtId="13" formatCode="0%"/>
    </ndxf>
  </rcc>
  <rcc rId="42999" sId="4" odxf="1" dxf="1">
    <nc r="BQ31">
      <f>BO31/BE31</f>
    </nc>
    <odxf>
      <numFmt numFmtId="165" formatCode="&quot;$&quot;#,##0"/>
    </odxf>
    <ndxf>
      <numFmt numFmtId="13" formatCode="0%"/>
    </ndxf>
  </rcc>
  <rcc rId="43000" sId="4" odxf="1" dxf="1">
    <nc r="BQ32">
      <f>BO32/BE32</f>
    </nc>
    <odxf>
      <numFmt numFmtId="0" formatCode="General"/>
    </odxf>
    <ndxf>
      <numFmt numFmtId="13" formatCode="0%"/>
    </ndxf>
  </rcc>
  <rcc rId="43001" sId="4" odxf="1" dxf="1">
    <nc r="BQ33">
      <f>BO33/BE33</f>
    </nc>
    <odxf>
      <numFmt numFmtId="0" formatCode="General"/>
    </odxf>
    <ndxf>
      <numFmt numFmtId="13" formatCode="0%"/>
    </ndxf>
  </rcc>
  <rcc rId="43002" sId="4" odxf="1" dxf="1">
    <nc r="BQ34">
      <f>BO34/BE34</f>
    </nc>
    <odxf>
      <numFmt numFmtId="0" formatCode="General"/>
    </odxf>
    <ndxf>
      <numFmt numFmtId="13" formatCode="0%"/>
    </ndxf>
  </rcc>
  <rcc rId="43003" sId="4" odxf="1" dxf="1">
    <nc r="BQ35">
      <f>BO35/BE35</f>
    </nc>
    <odxf>
      <numFmt numFmtId="0" formatCode="General"/>
    </odxf>
    <ndxf>
      <numFmt numFmtId="13" formatCode="0%"/>
    </ndxf>
  </rcc>
  <rcc rId="43004" sId="4" odxf="1" dxf="1">
    <nc r="BQ36">
      <f>BO36/BE36</f>
    </nc>
    <odxf>
      <numFmt numFmtId="0" formatCode="General"/>
    </odxf>
    <ndxf>
      <numFmt numFmtId="13" formatCode="0%"/>
    </ndxf>
  </rcc>
  <rcc rId="43005" sId="4" odxf="1" dxf="1">
    <nc r="BQ37">
      <f>BO37/BE37</f>
    </nc>
    <odxf>
      <numFmt numFmtId="0" formatCode="General"/>
    </odxf>
    <ndxf>
      <numFmt numFmtId="13" formatCode="0%"/>
    </ndxf>
  </rcc>
  <rcc rId="43006" sId="4" odxf="1" dxf="1">
    <nc r="BQ38">
      <f>BO38/BE38</f>
    </nc>
    <odxf>
      <font>
        <i/>
      </font>
      <numFmt numFmtId="0" formatCode="General"/>
    </odxf>
    <ndxf>
      <font>
        <i val="0"/>
      </font>
      <numFmt numFmtId="13" formatCode="0%"/>
    </ndxf>
  </rcc>
  <rcc rId="43007" sId="4" odxf="1" dxf="1">
    <nc r="BQ39">
      <f>BO39/BE39</f>
    </nc>
    <odxf>
      <font>
        <i/>
      </font>
      <numFmt numFmtId="0" formatCode="General"/>
    </odxf>
    <ndxf>
      <font>
        <i val="0"/>
      </font>
      <numFmt numFmtId="13" formatCode="0%"/>
    </ndxf>
  </rcc>
  <rcc rId="43008" sId="4" odxf="1" dxf="1">
    <nc r="BQ40">
      <f>BO40/BE40</f>
    </nc>
    <odxf>
      <numFmt numFmtId="0" formatCode="General"/>
      <border outline="0">
        <bottom style="medium">
          <color indexed="64"/>
        </bottom>
      </border>
    </odxf>
    <ndxf>
      <numFmt numFmtId="13" formatCode="0%"/>
      <border outline="0">
        <bottom/>
      </border>
    </ndxf>
  </rcc>
  <rcc rId="43009" sId="4" odxf="1" dxf="1">
    <nc r="BQ41">
      <f>BO41/BE41</f>
    </nc>
    <odxf>
      <font>
        <b/>
      </font>
      <numFmt numFmtId="0" formatCode="General"/>
    </odxf>
    <ndxf>
      <font>
        <b val="0"/>
      </font>
      <numFmt numFmtId="13" formatCode="0%"/>
    </ndxf>
  </rcc>
  <rcc rId="43010" sId="4" odxf="1" dxf="1">
    <nc r="BQ42">
      <f>BO42/BE42</f>
    </nc>
    <odxf>
      <font>
        <b/>
      </font>
      <numFmt numFmtId="0" formatCode="General"/>
    </odxf>
    <ndxf>
      <font>
        <b val="0"/>
      </font>
      <numFmt numFmtId="13" formatCode="0%"/>
    </ndxf>
  </rcc>
  <rcc rId="43011" sId="4" odxf="1" dxf="1">
    <nc r="BQ43">
      <f>BO43/BE43</f>
    </nc>
    <odxf>
      <font>
        <b/>
      </font>
      <numFmt numFmtId="0" formatCode="General"/>
    </odxf>
    <ndxf>
      <font>
        <b val="0"/>
      </font>
      <numFmt numFmtId="13" formatCode="0%"/>
    </ndxf>
  </rcc>
  <rcc rId="43012" sId="4" odxf="1" dxf="1">
    <nc r="BQ44">
      <f>BO44/BE44</f>
    </nc>
    <odxf>
      <font>
        <b/>
      </font>
      <numFmt numFmtId="0" formatCode="General"/>
    </odxf>
    <ndxf>
      <font>
        <b val="0"/>
      </font>
      <numFmt numFmtId="13" formatCode="0%"/>
    </ndxf>
  </rcc>
  <rcc rId="43013" sId="4" odxf="1" dxf="1">
    <nc r="BQ45">
      <f>BO45/BE45</f>
    </nc>
    <odxf>
      <font>
        <b/>
      </font>
      <numFmt numFmtId="0" formatCode="General"/>
    </odxf>
    <ndxf>
      <font>
        <b val="0"/>
      </font>
      <numFmt numFmtId="13" formatCode="0%"/>
    </ndxf>
  </rcc>
  <rcc rId="43014" sId="4" odxf="1" dxf="1">
    <nc r="BQ46">
      <f>BO46/BE46</f>
    </nc>
    <odxf>
      <font>
        <b/>
      </font>
      <numFmt numFmtId="0" formatCode="General"/>
    </odxf>
    <ndxf>
      <font>
        <b val="0"/>
      </font>
      <numFmt numFmtId="13" formatCode="0%"/>
    </ndxf>
  </rcc>
  <rcc rId="43015" sId="4" odxf="1" dxf="1">
    <nc r="BQ47">
      <f>BO47/BE47</f>
    </nc>
    <odxf>
      <font>
        <b/>
      </font>
      <numFmt numFmtId="0" formatCode="General"/>
    </odxf>
    <ndxf>
      <font>
        <b val="0"/>
      </font>
      <numFmt numFmtId="13" formatCode="0%"/>
    </ndxf>
  </rcc>
  <rcc rId="43016" sId="4" odxf="1" dxf="1">
    <nc r="BQ48">
      <f>BO48/BE48</f>
    </nc>
    <odxf>
      <numFmt numFmtId="165" formatCode="&quot;$&quot;#,##0"/>
    </odxf>
    <ndxf>
      <numFmt numFmtId="13" formatCode="0%"/>
    </ndxf>
  </rcc>
  <rcc rId="43017" sId="4" odxf="1" dxf="1">
    <nc r="BQ49">
      <f>BO49/BE49</f>
    </nc>
    <odxf>
      <numFmt numFmtId="165" formatCode="&quot;$&quot;#,##0"/>
    </odxf>
    <ndxf>
      <numFmt numFmtId="13" formatCode="0%"/>
    </ndxf>
  </rcc>
  <rcc rId="43018" sId="4" odxf="1" dxf="1">
    <nc r="BQ50">
      <f>BO50/BE50</f>
    </nc>
    <odxf>
      <numFmt numFmtId="0" formatCode="General"/>
      <fill>
        <patternFill patternType="solid">
          <bgColor theme="0" tint="-0.249977111117893"/>
        </patternFill>
      </fill>
    </odxf>
    <ndxf>
      <numFmt numFmtId="13" formatCode="0%"/>
      <fill>
        <patternFill patternType="none">
          <bgColor indexed="65"/>
        </patternFill>
      </fill>
    </ndxf>
  </rcc>
  <rcc rId="43019" sId="4" odxf="1" dxf="1">
    <nc r="BQ51">
      <f>BO51/BE51</f>
    </nc>
    <odxf>
      <numFmt numFmtId="0" formatCode="General"/>
    </odxf>
    <ndxf>
      <numFmt numFmtId="13" formatCode="0%"/>
    </ndxf>
  </rcc>
  <rcc rId="43020" sId="4" odxf="1" dxf="1">
    <nc r="BQ52">
      <f>BO52/BE52</f>
    </nc>
    <odxf>
      <numFmt numFmtId="0" formatCode="General"/>
    </odxf>
    <ndxf>
      <numFmt numFmtId="13" formatCode="0%"/>
    </ndxf>
  </rcc>
  <rcc rId="43021" sId="4" odxf="1" dxf="1">
    <nc r="BQ53">
      <f>BO53/BE53</f>
    </nc>
    <odxf>
      <numFmt numFmtId="0" formatCode="General"/>
    </odxf>
    <ndxf>
      <numFmt numFmtId="13" formatCode="0%"/>
    </ndxf>
  </rcc>
  <rcc rId="43022" sId="4" odxf="1" dxf="1">
    <nc r="BQ54">
      <f>BO54/BE54</f>
    </nc>
    <odxf>
      <numFmt numFmtId="0" formatCode="General"/>
    </odxf>
    <ndxf>
      <numFmt numFmtId="13" formatCode="0%"/>
    </ndxf>
  </rcc>
  <rcc rId="43023" sId="4" odxf="1" dxf="1">
    <nc r="BQ55">
      <f>BO55/BE55</f>
    </nc>
    <odxf>
      <numFmt numFmtId="0" formatCode="General"/>
    </odxf>
    <ndxf>
      <numFmt numFmtId="13" formatCode="0%"/>
    </ndxf>
  </rcc>
  <rcc rId="43024" sId="4" odxf="1" dxf="1">
    <nc r="BQ56">
      <f>BO56/BE56</f>
    </nc>
    <odxf>
      <numFmt numFmtId="0" formatCode="General"/>
    </odxf>
    <ndxf>
      <numFmt numFmtId="13" formatCode="0%"/>
    </ndxf>
  </rcc>
  <rcc rId="43025" sId="4" odxf="1" dxf="1">
    <nc r="BQ57">
      <f>BO57/BE57</f>
    </nc>
    <odxf>
      <numFmt numFmtId="165" formatCode="&quot;$&quot;#,##0"/>
    </odxf>
    <ndxf>
      <numFmt numFmtId="13" formatCode="0%"/>
    </ndxf>
  </rcc>
  <rcc rId="43026" sId="4" odxf="1" dxf="1">
    <nc r="BQ58">
      <f>BO58/BE58</f>
    </nc>
    <odxf>
      <numFmt numFmtId="0" formatCode="General"/>
    </odxf>
    <ndxf>
      <numFmt numFmtId="13" formatCode="0%"/>
    </ndxf>
  </rcc>
  <rcc rId="43027" sId="4" odxf="1" dxf="1">
    <nc r="BQ59">
      <f>BO59/BE59</f>
    </nc>
    <odxf>
      <numFmt numFmtId="165" formatCode="&quot;$&quot;#,##0"/>
    </odxf>
    <ndxf>
      <numFmt numFmtId="13" formatCode="0%"/>
    </ndxf>
  </rcc>
  <rcc rId="43028" sId="4" odxf="1" dxf="1">
    <nc r="BQ60">
      <f>BO60/BE60</f>
    </nc>
    <odxf>
      <numFmt numFmtId="0" formatCode="General"/>
    </odxf>
    <ndxf>
      <numFmt numFmtId="13" formatCode="0%"/>
    </ndxf>
  </rcc>
  <rcc rId="43029" sId="4" odxf="1" dxf="1">
    <nc r="BQ61">
      <f>BO61/BE61</f>
    </nc>
    <odxf>
      <numFmt numFmtId="0" formatCode="General"/>
    </odxf>
    <ndxf>
      <numFmt numFmtId="13" formatCode="0%"/>
    </ndxf>
  </rcc>
  <rcc rId="43030" sId="4" odxf="1" dxf="1">
    <nc r="BQ62">
      <f>BO62/BE62</f>
    </nc>
    <odxf>
      <numFmt numFmtId="165" formatCode="&quot;$&quot;#,##0"/>
    </odxf>
    <ndxf>
      <numFmt numFmtId="13" formatCode="0%"/>
    </ndxf>
  </rcc>
  <rcc rId="43031" sId="4" odxf="1" dxf="1">
    <nc r="BQ63">
      <f>BO63/BE63</f>
    </nc>
    <odxf>
      <numFmt numFmtId="0" formatCode="General"/>
    </odxf>
    <ndxf>
      <numFmt numFmtId="13" formatCode="0%"/>
    </ndxf>
  </rcc>
  <rcc rId="43032" sId="4" odxf="1" dxf="1">
    <nc r="BQ64">
      <f>BO64/BE64</f>
    </nc>
    <odxf>
      <numFmt numFmtId="165" formatCode="&quot;$&quot;#,##0"/>
    </odxf>
    <ndxf>
      <numFmt numFmtId="13" formatCode="0%"/>
    </ndxf>
  </rcc>
  <rcc rId="43033" sId="4" odxf="1" dxf="1">
    <nc r="BQ65">
      <f>BO65/BE65</f>
    </nc>
    <odxf>
      <numFmt numFmtId="165" formatCode="&quot;$&quot;#,##0"/>
    </odxf>
    <ndxf>
      <numFmt numFmtId="13" formatCode="0%"/>
    </ndxf>
  </rcc>
  <rcc rId="43034" sId="4" odxf="1" dxf="1">
    <nc r="BQ66">
      <f>BO66/BE66</f>
    </nc>
    <odxf>
      <numFmt numFmtId="0" formatCode="General"/>
    </odxf>
    <ndxf>
      <numFmt numFmtId="13" formatCode="0%"/>
    </ndxf>
  </rcc>
  <rcc rId="43035" sId="4" odxf="1" dxf="1">
    <nc r="BQ67">
      <f>BO67/BE67</f>
    </nc>
    <odxf>
      <numFmt numFmtId="165" formatCode="&quot;$&quot;#,##0"/>
    </odxf>
    <ndxf>
      <numFmt numFmtId="13" formatCode="0%"/>
    </ndxf>
  </rcc>
  <rcc rId="43036" sId="4" odxf="1" dxf="1">
    <nc r="BQ68">
      <f>BO68/BE68</f>
    </nc>
    <odxf>
      <numFmt numFmtId="165" formatCode="&quot;$&quot;#,##0"/>
    </odxf>
    <ndxf>
      <numFmt numFmtId="13" formatCode="0%"/>
    </ndxf>
  </rcc>
  <rcc rId="43037" sId="4" odxf="1" dxf="1">
    <nc r="BQ69">
      <f>BO69/BE69</f>
    </nc>
    <odxf>
      <numFmt numFmtId="165" formatCode="&quot;$&quot;#,##0"/>
    </odxf>
    <ndxf>
      <numFmt numFmtId="13" formatCode="0%"/>
    </ndxf>
  </rcc>
  <rcc rId="43038" sId="4" odxf="1" dxf="1">
    <nc r="BQ70">
      <f>BO70/BE70</f>
    </nc>
    <odxf>
      <numFmt numFmtId="165" formatCode="&quot;$&quot;#,##0"/>
    </odxf>
    <ndxf>
      <numFmt numFmtId="13" formatCode="0%"/>
    </ndxf>
  </rcc>
  <rcc rId="43039" sId="4" odxf="1" dxf="1">
    <nc r="BQ71">
      <f>BO71/BE71</f>
    </nc>
    <odxf>
      <numFmt numFmtId="165" formatCode="&quot;$&quot;#,##0"/>
    </odxf>
    <ndxf>
      <numFmt numFmtId="13" formatCode="0%"/>
    </ndxf>
  </rcc>
  <rcc rId="43040" sId="4" odxf="1" dxf="1">
    <nc r="BQ72">
      <f>BO72/BE72</f>
    </nc>
    <odxf>
      <numFmt numFmtId="0" formatCode="General"/>
    </odxf>
    <ndxf>
      <numFmt numFmtId="13" formatCode="0%"/>
    </ndxf>
  </rcc>
  <rcc rId="43041" sId="4" odxf="1" dxf="1">
    <nc r="BQ73">
      <f>BO73/BE73</f>
    </nc>
    <odxf>
      <numFmt numFmtId="0" formatCode="General"/>
      <border outline="0">
        <bottom style="medium">
          <color indexed="64"/>
        </bottom>
      </border>
    </odxf>
    <ndxf>
      <numFmt numFmtId="13" formatCode="0%"/>
      <border outline="0">
        <bottom/>
      </border>
    </ndxf>
  </rcc>
  <rcc rId="43042" sId="4" odxf="1" dxf="1">
    <nc r="BQ74">
      <f>BO74/BE74</f>
    </nc>
    <odxf>
      <font>
        <b/>
      </font>
      <numFmt numFmtId="0" formatCode="General"/>
    </odxf>
    <ndxf>
      <font>
        <b val="0"/>
      </font>
      <numFmt numFmtId="13" formatCode="0%"/>
    </ndxf>
  </rcc>
  <rcc rId="43043" sId="4" odxf="1" dxf="1">
    <nc r="BQ75">
      <f>BO75/BE75</f>
    </nc>
    <odxf>
      <font>
        <b/>
      </font>
      <numFmt numFmtId="0" formatCode="General"/>
    </odxf>
    <ndxf>
      <font>
        <b val="0"/>
      </font>
      <numFmt numFmtId="13" formatCode="0%"/>
    </ndxf>
  </rcc>
  <rcc rId="43044" sId="4" odxf="1" dxf="1">
    <nc r="BQ76">
      <f>BO76/BE76</f>
    </nc>
    <odxf>
      <font>
        <b/>
      </font>
      <numFmt numFmtId="0" formatCode="General"/>
    </odxf>
    <ndxf>
      <font>
        <b val="0"/>
      </font>
      <numFmt numFmtId="13" formatCode="0%"/>
    </ndxf>
  </rcc>
  <rcc rId="43045" sId="4" odxf="1" dxf="1">
    <nc r="BQ77">
      <f>BO77/BE77</f>
    </nc>
    <odxf>
      <font>
        <b/>
      </font>
      <numFmt numFmtId="0" formatCode="General"/>
    </odxf>
    <ndxf>
      <font>
        <b val="0"/>
      </font>
      <numFmt numFmtId="13" formatCode="0%"/>
    </ndxf>
  </rcc>
  <rcc rId="43046" sId="4" odxf="1" dxf="1">
    <nc r="BQ78">
      <f>BO78/BE78</f>
    </nc>
    <odxf>
      <font>
        <b/>
      </font>
      <numFmt numFmtId="0" formatCode="General"/>
    </odxf>
    <ndxf>
      <font>
        <b val="0"/>
      </font>
      <numFmt numFmtId="13" formatCode="0%"/>
    </ndxf>
  </rcc>
  <rcc rId="43047" sId="4" odxf="1" dxf="1">
    <nc r="BQ79">
      <f>BO79/BE79</f>
    </nc>
    <odxf>
      <font>
        <b/>
      </font>
      <numFmt numFmtId="0" formatCode="General"/>
    </odxf>
    <ndxf>
      <font>
        <b val="0"/>
      </font>
      <numFmt numFmtId="13" formatCode="0%"/>
    </ndxf>
  </rcc>
  <rcc rId="43048" sId="4" odxf="1" dxf="1">
    <nc r="BQ80">
      <f>BO80/BE80</f>
    </nc>
    <odxf>
      <font>
        <b/>
      </font>
      <numFmt numFmtId="0" formatCode="General"/>
    </odxf>
    <ndxf>
      <font>
        <b val="0"/>
      </font>
      <numFmt numFmtId="13" formatCode="0%"/>
    </ndxf>
  </rcc>
  <rcc rId="43049" sId="4" odxf="1" dxf="1">
    <nc r="BQ81">
      <f>BO81/BE81</f>
    </nc>
    <odxf>
      <font>
        <b/>
      </font>
      <numFmt numFmtId="0" formatCode="General"/>
    </odxf>
    <ndxf>
      <font>
        <b val="0"/>
      </font>
      <numFmt numFmtId="13" formatCode="0%"/>
    </ndxf>
  </rcc>
  <rcc rId="43050" sId="4" odxf="1" dxf="1">
    <nc r="BQ82">
      <f>BO82/BE82</f>
    </nc>
    <odxf>
      <font>
        <b/>
      </font>
      <numFmt numFmtId="0" formatCode="General"/>
    </odxf>
    <ndxf>
      <font>
        <b val="0"/>
      </font>
      <numFmt numFmtId="13" formatCode="0%"/>
    </ndxf>
  </rcc>
  <rcc rId="43051" sId="4" odxf="1" dxf="1">
    <nc r="BQ83">
      <f>BO83/BE83</f>
    </nc>
    <odxf>
      <numFmt numFmtId="165" formatCode="&quot;$&quot;#,##0"/>
    </odxf>
    <ndxf>
      <numFmt numFmtId="13" formatCode="0%"/>
    </ndxf>
  </rcc>
  <rcc rId="43052" sId="4" odxf="1" dxf="1">
    <nc r="BQ84">
      <f>BO84/BE84</f>
    </nc>
    <odxf>
      <numFmt numFmtId="0" formatCode="General"/>
      <fill>
        <patternFill patternType="solid">
          <bgColor theme="0" tint="-0.249977111117893"/>
        </patternFill>
      </fill>
    </odxf>
    <ndxf>
      <numFmt numFmtId="13" formatCode="0%"/>
      <fill>
        <patternFill patternType="none">
          <bgColor indexed="65"/>
        </patternFill>
      </fill>
    </ndxf>
  </rcc>
  <rcc rId="43053" sId="4" odxf="1" dxf="1">
    <nc r="BQ85">
      <f>BO85/BE85</f>
    </nc>
    <odxf>
      <numFmt numFmtId="0" formatCode="General"/>
    </odxf>
    <ndxf>
      <numFmt numFmtId="13" formatCode="0%"/>
    </ndxf>
  </rcc>
  <rcc rId="43054" sId="4" odxf="1" dxf="1">
    <nc r="BQ86">
      <f>BO86/BE86</f>
    </nc>
    <odxf>
      <numFmt numFmtId="0" formatCode="General"/>
    </odxf>
    <ndxf>
      <numFmt numFmtId="13" formatCode="0%"/>
    </ndxf>
  </rcc>
  <rcc rId="43055" sId="4" odxf="1" dxf="1">
    <nc r="BQ87">
      <f>BO87/BE87</f>
    </nc>
    <odxf>
      <numFmt numFmtId="165" formatCode="&quot;$&quot;#,##0"/>
    </odxf>
    <ndxf>
      <numFmt numFmtId="13" formatCode="0%"/>
    </ndxf>
  </rcc>
  <rcc rId="43056" sId="4" odxf="1" dxf="1">
    <nc r="BQ88">
      <f>BO88/BE88</f>
    </nc>
    <odxf>
      <numFmt numFmtId="0" formatCode="General"/>
    </odxf>
    <ndxf>
      <numFmt numFmtId="13" formatCode="0%"/>
    </ndxf>
  </rcc>
  <rcc rId="43057" sId="4" odxf="1" dxf="1">
    <nc r="BQ89">
      <f>BO89/BE89</f>
    </nc>
    <odxf>
      <numFmt numFmtId="165" formatCode="&quot;$&quot;#,##0"/>
    </odxf>
    <ndxf>
      <numFmt numFmtId="13" formatCode="0%"/>
    </ndxf>
  </rcc>
  <rcc rId="43058" sId="4" odxf="1" dxf="1">
    <nc r="BQ90">
      <f>BO90/BE90</f>
    </nc>
    <odxf>
      <numFmt numFmtId="0" formatCode="General"/>
    </odxf>
    <ndxf>
      <numFmt numFmtId="13" formatCode="0%"/>
    </ndxf>
  </rcc>
  <rcc rId="43059" sId="4" odxf="1" dxf="1">
    <nc r="BQ91">
      <f>BO91/BE91</f>
    </nc>
    <odxf>
      <numFmt numFmtId="165" formatCode="&quot;$&quot;#,##0"/>
    </odxf>
    <ndxf>
      <numFmt numFmtId="13" formatCode="0%"/>
    </ndxf>
  </rcc>
  <rcc rId="43060" sId="4" odxf="1" dxf="1">
    <nc r="BQ92">
      <f>BO92/BE92</f>
    </nc>
    <odxf>
      <numFmt numFmtId="165" formatCode="&quot;$&quot;#,##0"/>
    </odxf>
    <ndxf>
      <numFmt numFmtId="13" formatCode="0%"/>
    </ndxf>
  </rcc>
  <rcc rId="43061" sId="4" odxf="1" dxf="1">
    <nc r="BQ93">
      <f>BO93/BE93</f>
    </nc>
    <odxf>
      <numFmt numFmtId="165" formatCode="&quot;$&quot;#,##0"/>
    </odxf>
    <ndxf>
      <numFmt numFmtId="13" formatCode="0%"/>
    </ndxf>
  </rcc>
  <rcc rId="43062" sId="4" odxf="1" dxf="1">
    <nc r="BQ94">
      <f>BO94/BE94</f>
    </nc>
    <odxf>
      <numFmt numFmtId="0" formatCode="General"/>
    </odxf>
    <ndxf>
      <numFmt numFmtId="13" formatCode="0%"/>
    </ndxf>
  </rcc>
  <rcc rId="43063" sId="4" odxf="1" dxf="1">
    <nc r="BQ95">
      <f>BO95/BE95</f>
    </nc>
    <odxf>
      <numFmt numFmtId="0" formatCode="General"/>
    </odxf>
    <ndxf>
      <numFmt numFmtId="13" formatCode="0%"/>
    </ndxf>
  </rcc>
  <rcc rId="43064" sId="4" odxf="1" dxf="1">
    <nc r="BQ96">
      <f>BO96/BE96</f>
    </nc>
    <odxf>
      <numFmt numFmtId="0" formatCode="General"/>
    </odxf>
    <ndxf>
      <numFmt numFmtId="13" formatCode="0%"/>
    </ndxf>
  </rcc>
  <rcc rId="43065" sId="4" odxf="1" dxf="1">
    <nc r="BQ97">
      <f>BO97/BE97</f>
    </nc>
    <odxf>
      <numFmt numFmtId="0" formatCode="General"/>
    </odxf>
    <ndxf>
      <numFmt numFmtId="13" formatCode="0%"/>
    </ndxf>
  </rcc>
  <rcc rId="43066" sId="4" odxf="1" dxf="1">
    <nc r="BQ98">
      <f>BO98/BE98</f>
    </nc>
    <odxf>
      <numFmt numFmtId="165" formatCode="&quot;$&quot;#,##0"/>
    </odxf>
    <ndxf>
      <numFmt numFmtId="13" formatCode="0%"/>
    </ndxf>
  </rcc>
  <rcc rId="43067" sId="4" odxf="1" dxf="1">
    <nc r="BQ99">
      <f>BO99/BE99</f>
    </nc>
    <odxf>
      <numFmt numFmtId="165" formatCode="&quot;$&quot;#,##0"/>
    </odxf>
    <ndxf>
      <numFmt numFmtId="13" formatCode="0%"/>
    </ndxf>
  </rcc>
  <rcc rId="43068" sId="4" odxf="1" dxf="1">
    <nc r="BQ100">
      <f>BO100/BE100</f>
    </nc>
    <odxf>
      <numFmt numFmtId="165" formatCode="&quot;$&quot;#,##0"/>
    </odxf>
    <ndxf>
      <numFmt numFmtId="13" formatCode="0%"/>
    </ndxf>
  </rcc>
  <rcc rId="43069" sId="4" odxf="1" dxf="1">
    <nc r="BQ101">
      <f>BO101/BE101</f>
    </nc>
    <odxf>
      <numFmt numFmtId="165" formatCode="&quot;$&quot;#,##0"/>
    </odxf>
    <ndxf>
      <numFmt numFmtId="13" formatCode="0%"/>
    </ndxf>
  </rcc>
  <rcc rId="43070" sId="4" odxf="1" dxf="1">
    <nc r="BQ102">
      <f>BO102/BE102</f>
    </nc>
    <odxf>
      <numFmt numFmtId="165" formatCode="&quot;$&quot;#,##0"/>
    </odxf>
    <ndxf>
      <numFmt numFmtId="13" formatCode="0%"/>
    </ndxf>
  </rcc>
  <rcc rId="43071" sId="4" odxf="1" dxf="1">
    <nc r="BQ103">
      <f>BO103/BE103</f>
    </nc>
    <odxf>
      <numFmt numFmtId="165" formatCode="&quot;$&quot;#,##0"/>
    </odxf>
    <ndxf>
      <numFmt numFmtId="13" formatCode="0%"/>
    </ndxf>
  </rcc>
  <rcc rId="43072" sId="4" odxf="1" dxf="1">
    <nc r="BQ104">
      <f>BO104/BE104</f>
    </nc>
    <odxf>
      <numFmt numFmtId="0" formatCode="General"/>
    </odxf>
    <ndxf>
      <numFmt numFmtId="13" formatCode="0%"/>
    </ndxf>
  </rcc>
  <rcc rId="43073" sId="4" odxf="1" dxf="1">
    <nc r="BQ105">
      <f>BO105/BE105</f>
    </nc>
    <odxf>
      <numFmt numFmtId="165" formatCode="&quot;$&quot;#,##0"/>
    </odxf>
    <ndxf>
      <numFmt numFmtId="13" formatCode="0%"/>
    </ndxf>
  </rcc>
  <rcc rId="43074" sId="4" odxf="1" dxf="1">
    <nc r="BQ106">
      <f>BO106/BE106</f>
    </nc>
    <odxf>
      <numFmt numFmtId="165" formatCode="&quot;$&quot;#,##0"/>
    </odxf>
    <ndxf>
      <numFmt numFmtId="13" formatCode="0%"/>
    </ndxf>
  </rcc>
  <rcc rId="43075" sId="4" odxf="1" dxf="1">
    <nc r="BQ107">
      <f>BO107/BE107</f>
    </nc>
    <odxf>
      <numFmt numFmtId="165" formatCode="&quot;$&quot;#,##0"/>
    </odxf>
    <ndxf>
      <numFmt numFmtId="13" formatCode="0%"/>
    </ndxf>
  </rcc>
  <rcc rId="43076" sId="4" odxf="1" dxf="1">
    <nc r="BQ108">
      <f>BO108/BE108</f>
    </nc>
    <odxf>
      <numFmt numFmtId="0" formatCode="General"/>
      <border outline="0">
        <bottom style="medium">
          <color indexed="64"/>
        </bottom>
      </border>
    </odxf>
    <ndxf>
      <numFmt numFmtId="13" formatCode="0%"/>
      <border outline="0">
        <bottom/>
      </border>
    </ndxf>
  </rcc>
  <rcc rId="43077" sId="4" odxf="1" dxf="1">
    <nc r="BQ109">
      <f>BO109/BE109</f>
    </nc>
    <odxf>
      <font>
        <b/>
      </font>
      <numFmt numFmtId="0" formatCode="General"/>
    </odxf>
    <ndxf>
      <font>
        <b val="0"/>
      </font>
      <numFmt numFmtId="13" formatCode="0%"/>
    </ndxf>
  </rcc>
  <rcc rId="43078" sId="4" odxf="1" dxf="1">
    <nc r="BQ110">
      <f>BO110/BE110</f>
    </nc>
    <odxf>
      <font>
        <b/>
      </font>
      <numFmt numFmtId="0" formatCode="General"/>
    </odxf>
    <ndxf>
      <font>
        <b val="0"/>
      </font>
      <numFmt numFmtId="13" formatCode="0%"/>
    </ndxf>
  </rcc>
  <rcc rId="43079" sId="4" odxf="1" dxf="1">
    <nc r="BQ111">
      <f>BO111/BE111</f>
    </nc>
    <odxf>
      <font>
        <b/>
      </font>
      <numFmt numFmtId="0" formatCode="General"/>
    </odxf>
    <ndxf>
      <font>
        <b val="0"/>
      </font>
      <numFmt numFmtId="13" formatCode="0%"/>
    </ndxf>
  </rcc>
  <rcc rId="43080" sId="4" odxf="1" dxf="1">
    <nc r="BQ112">
      <f>BO112/BE112</f>
    </nc>
    <odxf>
      <font>
        <b/>
      </font>
      <numFmt numFmtId="0" formatCode="General"/>
    </odxf>
    <ndxf>
      <font>
        <b val="0"/>
      </font>
      <numFmt numFmtId="13" formatCode="0%"/>
    </ndxf>
  </rcc>
  <rcc rId="43081" sId="4" odxf="1" dxf="1">
    <nc r="BQ113">
      <f>BO113/BE113</f>
    </nc>
    <odxf>
      <font>
        <b/>
      </font>
      <numFmt numFmtId="0" formatCode="General"/>
    </odxf>
    <ndxf>
      <font>
        <b val="0"/>
      </font>
      <numFmt numFmtId="13" formatCode="0%"/>
    </ndxf>
  </rcc>
  <rcc rId="43082" sId="4" odxf="1" dxf="1">
    <nc r="BQ114">
      <f>BO114/BE114</f>
    </nc>
    <odxf>
      <font>
        <b/>
      </font>
      <numFmt numFmtId="0" formatCode="General"/>
    </odxf>
    <ndxf>
      <font>
        <b val="0"/>
      </font>
      <numFmt numFmtId="13" formatCode="0%"/>
    </ndxf>
  </rcc>
  <rcc rId="43083" sId="4" odxf="1" dxf="1">
    <nc r="BQ115">
      <f>BO115/BE115</f>
    </nc>
    <odxf>
      <font>
        <b/>
      </font>
      <numFmt numFmtId="0" formatCode="General"/>
    </odxf>
    <ndxf>
      <font>
        <b val="0"/>
      </font>
      <numFmt numFmtId="13" formatCode="0%"/>
    </ndxf>
  </rcc>
  <rcc rId="43084" sId="4" odxf="1" dxf="1">
    <nc r="BQ116">
      <f>BO116/BE116</f>
    </nc>
    <odxf>
      <font>
        <b/>
      </font>
      <numFmt numFmtId="0" formatCode="General"/>
    </odxf>
    <ndxf>
      <font>
        <b val="0"/>
      </font>
      <numFmt numFmtId="13" formatCode="0%"/>
    </ndxf>
  </rcc>
  <rcc rId="43085" sId="4" odxf="1" dxf="1">
    <nc r="BQ117">
      <f>BO117/BE117</f>
    </nc>
    <odxf>
      <font>
        <b/>
      </font>
      <numFmt numFmtId="0" formatCode="General"/>
    </odxf>
    <ndxf>
      <font>
        <b val="0"/>
      </font>
      <numFmt numFmtId="13" formatCode="0%"/>
    </ndxf>
  </rcc>
  <rcc rId="43086" sId="4" odxf="1" dxf="1">
    <nc r="BQ118">
      <f>BO118/BE118</f>
    </nc>
    <odxf>
      <numFmt numFmtId="165" formatCode="&quot;$&quot;#,##0"/>
    </odxf>
    <ndxf>
      <numFmt numFmtId="13" formatCode="0%"/>
    </ndxf>
  </rcc>
  <rcc rId="43087" sId="4" odxf="1" dxf="1">
    <nc r="BQ119">
      <f>BO119/BE119</f>
    </nc>
    <odxf>
      <numFmt numFmtId="0" formatCode="General"/>
      <fill>
        <patternFill patternType="solid">
          <bgColor theme="0" tint="-0.249977111117893"/>
        </patternFill>
      </fill>
    </odxf>
    <ndxf>
      <numFmt numFmtId="13" formatCode="0%"/>
      <fill>
        <patternFill patternType="none">
          <bgColor indexed="65"/>
        </patternFill>
      </fill>
    </ndxf>
  </rcc>
  <rcc rId="43088" sId="4" odxf="1" dxf="1">
    <nc r="BQ120">
      <f>BO120/BE120</f>
    </nc>
    <odxf>
      <numFmt numFmtId="0" formatCode="General"/>
    </odxf>
    <ndxf>
      <numFmt numFmtId="13" formatCode="0%"/>
    </ndxf>
  </rcc>
  <rcc rId="43089" sId="4" odxf="1" dxf="1">
    <nc r="BQ121">
      <f>BO121/BE121</f>
    </nc>
    <odxf>
      <numFmt numFmtId="165" formatCode="&quot;$&quot;#,##0"/>
    </odxf>
    <ndxf>
      <numFmt numFmtId="13" formatCode="0%"/>
    </ndxf>
  </rcc>
  <rcc rId="43090" sId="4" odxf="1" dxf="1">
    <nc r="BQ122">
      <f>BO122/BE122</f>
    </nc>
    <odxf>
      <numFmt numFmtId="165" formatCode="&quot;$&quot;#,##0"/>
    </odxf>
    <ndxf>
      <numFmt numFmtId="13" formatCode="0%"/>
    </ndxf>
  </rcc>
  <rcc rId="43091" sId="4" odxf="1" dxf="1">
    <nc r="BQ123">
      <f>BO123/BE123</f>
    </nc>
    <odxf>
      <numFmt numFmtId="165" formatCode="&quot;$&quot;#,##0"/>
    </odxf>
    <ndxf>
      <numFmt numFmtId="13" formatCode="0%"/>
    </ndxf>
  </rcc>
  <rcc rId="43092" sId="4" odxf="1" dxf="1">
    <nc r="BQ124">
      <f>BO124/BE124</f>
    </nc>
    <odxf>
      <numFmt numFmtId="0" formatCode="General"/>
    </odxf>
    <ndxf>
      <numFmt numFmtId="13" formatCode="0%"/>
    </ndxf>
  </rcc>
  <rcc rId="43093" sId="4" odxf="1" dxf="1">
    <nc r="BQ125">
      <f>BO125/BE125</f>
    </nc>
    <odxf>
      <numFmt numFmtId="165" formatCode="&quot;$&quot;#,##0"/>
    </odxf>
    <ndxf>
      <numFmt numFmtId="13" formatCode="0%"/>
    </ndxf>
  </rcc>
  <rcc rId="43094" sId="4" odxf="1" dxf="1">
    <nc r="BQ126">
      <f>BO126/BE126</f>
    </nc>
    <odxf>
      <numFmt numFmtId="0" formatCode="General"/>
    </odxf>
    <ndxf>
      <numFmt numFmtId="13" formatCode="0%"/>
    </ndxf>
  </rcc>
  <rcc rId="43095" sId="4" odxf="1" dxf="1">
    <nc r="BQ127">
      <f>BO127/BE127</f>
    </nc>
    <odxf>
      <numFmt numFmtId="0" formatCode="General"/>
    </odxf>
    <ndxf>
      <numFmt numFmtId="13" formatCode="0%"/>
    </ndxf>
  </rcc>
  <rcc rId="43096" sId="4" odxf="1" dxf="1">
    <nc r="BQ128">
      <f>BO128/BE128</f>
    </nc>
    <odxf>
      <numFmt numFmtId="0" formatCode="General"/>
    </odxf>
    <ndxf>
      <numFmt numFmtId="13" formatCode="0%"/>
    </ndxf>
  </rcc>
  <rcc rId="43097" sId="4" odxf="1" dxf="1">
    <nc r="BQ129">
      <f>BO129/BE129</f>
    </nc>
    <odxf>
      <numFmt numFmtId="0" formatCode="General"/>
    </odxf>
    <ndxf>
      <numFmt numFmtId="13" formatCode="0%"/>
    </ndxf>
  </rcc>
  <rcc rId="43098" sId="4" odxf="1" dxf="1">
    <nc r="BQ130">
      <f>BO130/BE130</f>
    </nc>
    <odxf>
      <numFmt numFmtId="165" formatCode="&quot;$&quot;#,##0"/>
    </odxf>
    <ndxf>
      <numFmt numFmtId="13" formatCode="0%"/>
    </ndxf>
  </rcc>
  <rcc rId="43099" sId="4" odxf="1" dxf="1">
    <nc r="BQ131">
      <f>BO131/BE131</f>
    </nc>
    <odxf>
      <numFmt numFmtId="165" formatCode="&quot;$&quot;#,##0"/>
    </odxf>
    <ndxf>
      <numFmt numFmtId="13" formatCode="0%"/>
    </ndxf>
  </rcc>
  <rcc rId="43100" sId="4" odxf="1" dxf="1">
    <nc r="BQ132">
      <f>BO132/BE132</f>
    </nc>
    <odxf>
      <numFmt numFmtId="0" formatCode="General"/>
      <border outline="0">
        <bottom style="medium">
          <color indexed="64"/>
        </bottom>
      </border>
    </odxf>
    <ndxf>
      <numFmt numFmtId="13" formatCode="0%"/>
      <border outline="0">
        <bottom/>
      </border>
    </ndxf>
  </rcc>
  <rcc rId="43101" sId="4" odxf="1" dxf="1">
    <nc r="BQ133">
      <f>BO133/BE133</f>
    </nc>
    <odxf>
      <font>
        <b/>
      </font>
      <numFmt numFmtId="0" formatCode="General"/>
    </odxf>
    <ndxf>
      <font>
        <b val="0"/>
      </font>
      <numFmt numFmtId="13" formatCode="0%"/>
    </ndxf>
  </rcc>
  <rcc rId="43102" sId="4" odxf="1" dxf="1">
    <nc r="BQ134">
      <f>BO134/BE134</f>
    </nc>
    <odxf>
      <font>
        <b/>
      </font>
      <numFmt numFmtId="0" formatCode="General"/>
    </odxf>
    <ndxf>
      <font>
        <b val="0"/>
      </font>
      <numFmt numFmtId="13" formatCode="0%"/>
    </ndxf>
  </rcc>
  <rcc rId="43103" sId="4" odxf="1" dxf="1">
    <nc r="BQ135">
      <f>BO135/BE135</f>
    </nc>
    <odxf>
      <font>
        <b/>
      </font>
      <numFmt numFmtId="0" formatCode="General"/>
    </odxf>
    <ndxf>
      <font>
        <b val="0"/>
      </font>
      <numFmt numFmtId="13" formatCode="0%"/>
    </ndxf>
  </rcc>
  <rcc rId="43104" sId="4" odxf="1" dxf="1">
    <nc r="BQ136">
      <f>BO136/BE136</f>
    </nc>
    <odxf>
      <font>
        <b/>
      </font>
      <numFmt numFmtId="0" formatCode="General"/>
    </odxf>
    <ndxf>
      <font>
        <b val="0"/>
      </font>
      <numFmt numFmtId="13" formatCode="0%"/>
    </ndxf>
  </rcc>
  <rcc rId="43105" sId="4" odxf="1" dxf="1">
    <nc r="BQ137">
      <f>BO137/BE137</f>
    </nc>
    <odxf>
      <numFmt numFmtId="165" formatCode="&quot;$&quot;#,##0"/>
    </odxf>
    <ndxf>
      <numFmt numFmtId="13" formatCode="0%"/>
    </ndxf>
  </rcc>
  <rcc rId="43106" sId="4" odxf="1" dxf="1">
    <nc r="BQ138">
      <f>BO138/BE138</f>
    </nc>
    <odxf>
      <numFmt numFmtId="165" formatCode="&quot;$&quot;#,##0"/>
    </odxf>
    <ndxf>
      <numFmt numFmtId="13" formatCode="0%"/>
    </ndxf>
  </rcc>
  <rcc rId="43107" sId="4" odxf="1" dxf="1">
    <nc r="BQ139">
      <f>BO139/BE139</f>
    </nc>
    <odxf>
      <numFmt numFmtId="165" formatCode="&quot;$&quot;#,##0"/>
    </odxf>
    <ndxf>
      <numFmt numFmtId="13" formatCode="0%"/>
    </ndxf>
  </rcc>
  <rcc rId="43108" sId="4" odxf="1" dxf="1">
    <nc r="BQ140">
      <f>BO140/BE140</f>
    </nc>
    <odxf>
      <numFmt numFmtId="165" formatCode="&quot;$&quot;#,##0"/>
    </odxf>
    <ndxf>
      <numFmt numFmtId="13" formatCode="0%"/>
    </ndxf>
  </rcc>
  <rcc rId="43109" sId="4" odxf="1" dxf="1">
    <nc r="BQ141">
      <f>BO141/BE141</f>
    </nc>
    <odxf>
      <numFmt numFmtId="165" formatCode="&quot;$&quot;#,##0"/>
    </odxf>
    <ndxf>
      <numFmt numFmtId="13" formatCode="0%"/>
    </ndxf>
  </rcc>
  <rcc rId="43110" sId="4" odxf="1" dxf="1">
    <nc r="BQ142">
      <f>BO142/BE142</f>
    </nc>
    <odxf>
      <numFmt numFmtId="165" formatCode="&quot;$&quot;#,##0"/>
    </odxf>
    <ndxf>
      <numFmt numFmtId="13" formatCode="0%"/>
    </ndxf>
  </rcc>
  <rcc rId="43111" sId="4" odxf="1" dxf="1">
    <nc r="BQ143">
      <f>BO143/BE143</f>
    </nc>
    <odxf>
      <numFmt numFmtId="165" formatCode="&quot;$&quot;#,##0"/>
    </odxf>
    <ndxf>
      <numFmt numFmtId="13" formatCode="0%"/>
    </ndxf>
  </rcc>
  <rcc rId="43112" sId="4" odxf="1" dxf="1">
    <nc r="BQ144">
      <f>BO144/BE144</f>
    </nc>
    <odxf>
      <numFmt numFmtId="165" formatCode="&quot;$&quot;#,##0"/>
    </odxf>
    <ndxf>
      <numFmt numFmtId="13" formatCode="0%"/>
    </ndxf>
  </rcc>
  <rcc rId="43113" sId="4" odxf="1" dxf="1">
    <nc r="BQ145">
      <f>BO145/BE145</f>
    </nc>
    <odxf>
      <numFmt numFmtId="0" formatCode="General"/>
      <fill>
        <patternFill patternType="solid">
          <bgColor theme="0" tint="-0.249977111117893"/>
        </patternFill>
      </fill>
    </odxf>
    <ndxf>
      <numFmt numFmtId="13" formatCode="0%"/>
      <fill>
        <patternFill patternType="none">
          <bgColor indexed="65"/>
        </patternFill>
      </fill>
    </ndxf>
  </rcc>
  <rcc rId="43114" sId="4" odxf="1" dxf="1">
    <nc r="BQ146">
      <f>BO146/BE146</f>
    </nc>
    <odxf>
      <numFmt numFmtId="165" formatCode="&quot;$&quot;#,##0"/>
    </odxf>
    <ndxf>
      <numFmt numFmtId="13" formatCode="0%"/>
    </ndxf>
  </rcc>
  <rcc rId="43115" sId="4" odxf="1" dxf="1">
    <nc r="BQ147">
      <f>BO147/BE147</f>
    </nc>
    <odxf>
      <numFmt numFmtId="165" formatCode="&quot;$&quot;#,##0"/>
    </odxf>
    <ndxf>
      <numFmt numFmtId="13" formatCode="0%"/>
    </ndxf>
  </rcc>
  <rcc rId="43116" sId="4" odxf="1" dxf="1">
    <nc r="BQ148">
      <f>BO148/BE148</f>
    </nc>
    <odxf>
      <numFmt numFmtId="165" formatCode="&quot;$&quot;#,##0"/>
    </odxf>
    <ndxf>
      <numFmt numFmtId="13" formatCode="0%"/>
    </ndxf>
  </rcc>
  <rcc rId="43117" sId="4" odxf="1" dxf="1">
    <nc r="BQ149">
      <f>BO149/BE149</f>
    </nc>
    <odxf>
      <numFmt numFmtId="165" formatCode="&quot;$&quot;#,##0"/>
    </odxf>
    <ndxf>
      <numFmt numFmtId="13" formatCode="0%"/>
    </ndxf>
  </rcc>
  <rcc rId="43118" sId="4" odxf="1" dxf="1">
    <nc r="BQ150">
      <f>BO150/BE150</f>
    </nc>
    <odxf>
      <numFmt numFmtId="165" formatCode="&quot;$&quot;#,##0"/>
    </odxf>
    <ndxf>
      <numFmt numFmtId="13" formatCode="0%"/>
    </ndxf>
  </rcc>
  <rcc rId="43119" sId="4" odxf="1" dxf="1">
    <nc r="BQ151">
      <f>BO151/BE151</f>
    </nc>
    <odxf>
      <numFmt numFmtId="0" formatCode="General"/>
    </odxf>
    <ndxf>
      <numFmt numFmtId="13" formatCode="0%"/>
    </ndxf>
  </rcc>
  <rcc rId="43120" sId="4" odxf="1" dxf="1">
    <nc r="BQ152">
      <f>BO152/BE152</f>
    </nc>
    <odxf>
      <numFmt numFmtId="0" formatCode="General"/>
    </odxf>
    <ndxf>
      <numFmt numFmtId="13" formatCode="0%"/>
    </ndxf>
  </rcc>
  <rcc rId="43121" sId="4" odxf="1" dxf="1">
    <nc r="BQ153">
      <f>BO153/BE153</f>
    </nc>
    <odxf>
      <numFmt numFmtId="165" formatCode="&quot;$&quot;#,##0"/>
    </odxf>
    <ndxf>
      <numFmt numFmtId="13" formatCode="0%"/>
    </ndxf>
  </rcc>
  <rcc rId="43122" sId="4" odxf="1" dxf="1">
    <nc r="BQ154">
      <f>BO154/BE154</f>
    </nc>
    <odxf>
      <numFmt numFmtId="165" formatCode="&quot;$&quot;#,##0"/>
    </odxf>
    <ndxf>
      <numFmt numFmtId="13" formatCode="0%"/>
    </ndxf>
  </rcc>
  <rcc rId="43123" sId="4" odxf="1" dxf="1">
    <nc r="BQ155">
      <f>BO155/BE155</f>
    </nc>
    <odxf>
      <numFmt numFmtId="0" formatCode="General"/>
    </odxf>
    <ndxf>
      <numFmt numFmtId="13" formatCode="0%"/>
    </ndxf>
  </rcc>
  <rcc rId="43124" sId="4" odxf="1" dxf="1">
    <nc r="BQ156">
      <f>BO156/BE156</f>
    </nc>
    <odxf>
      <numFmt numFmtId="0" formatCode="General"/>
    </odxf>
    <ndxf>
      <numFmt numFmtId="13" formatCode="0%"/>
    </ndxf>
  </rcc>
  <rcc rId="43125" sId="4" odxf="1" dxf="1">
    <nc r="BQ157">
      <f>BO157/BE157</f>
    </nc>
    <odxf>
      <numFmt numFmtId="165" formatCode="&quot;$&quot;#,##0"/>
    </odxf>
    <ndxf>
      <numFmt numFmtId="13" formatCode="0%"/>
    </ndxf>
  </rcc>
  <rcc rId="43126" sId="4" odxf="1" dxf="1">
    <nc r="BQ158">
      <f>BO158/BE158</f>
    </nc>
    <odxf>
      <numFmt numFmtId="165" formatCode="&quot;$&quot;#,##0"/>
    </odxf>
    <ndxf>
      <numFmt numFmtId="13" formatCode="0%"/>
    </ndxf>
  </rcc>
  <rcc rId="43127" sId="4" odxf="1" dxf="1">
    <nc r="BQ159">
      <f>BO159/BE159</f>
    </nc>
    <odxf>
      <numFmt numFmtId="0" formatCode="General"/>
    </odxf>
    <ndxf>
      <numFmt numFmtId="13" formatCode="0%"/>
    </ndxf>
  </rcc>
  <rcc rId="43128" sId="4" odxf="1" dxf="1">
    <nc r="BQ160">
      <f>BO160/BE160</f>
    </nc>
    <odxf>
      <numFmt numFmtId="0" formatCode="General"/>
    </odxf>
    <ndxf>
      <numFmt numFmtId="13" formatCode="0%"/>
    </ndxf>
  </rcc>
  <rcc rId="43129" sId="4" odxf="1" dxf="1">
    <nc r="BQ161">
      <f>BO161/BE161</f>
    </nc>
    <odxf>
      <numFmt numFmtId="0" formatCode="General"/>
    </odxf>
    <ndxf>
      <numFmt numFmtId="13" formatCode="0%"/>
    </ndxf>
  </rcc>
  <rcc rId="43130" sId="4" odxf="1" dxf="1">
    <nc r="BQ162">
      <f>BO162/BE162</f>
    </nc>
    <odxf>
      <numFmt numFmtId="165" formatCode="&quot;$&quot;#,##0"/>
    </odxf>
    <ndxf>
      <numFmt numFmtId="13" formatCode="0%"/>
    </ndxf>
  </rcc>
  <rcc rId="43131" sId="4" odxf="1" dxf="1">
    <nc r="BQ163">
      <f>BO163/BE163</f>
    </nc>
    <odxf>
      <numFmt numFmtId="165" formatCode="&quot;$&quot;#,##0"/>
    </odxf>
    <ndxf>
      <numFmt numFmtId="13" formatCode="0%"/>
    </ndxf>
  </rcc>
  <rcc rId="43132" sId="4" odxf="1" dxf="1">
    <nc r="BQ164">
      <f>BO164/BE164</f>
    </nc>
    <odxf>
      <numFmt numFmtId="165" formatCode="&quot;$&quot;#,##0"/>
    </odxf>
    <ndxf>
      <numFmt numFmtId="13" formatCode="0%"/>
    </ndxf>
  </rcc>
  <rcc rId="43133" sId="4" odxf="1" dxf="1">
    <nc r="BQ165">
      <f>BO165/BE165</f>
    </nc>
    <odxf>
      <numFmt numFmtId="0" formatCode="General"/>
      <border outline="0">
        <bottom style="medium">
          <color indexed="64"/>
        </bottom>
      </border>
    </odxf>
    <ndxf>
      <numFmt numFmtId="13" formatCode="0%"/>
      <border outline="0">
        <bottom/>
      </border>
    </ndxf>
  </rcc>
  <rcc rId="43134" sId="4" odxf="1" dxf="1">
    <nc r="BQ166">
      <f>BO166/BE166</f>
    </nc>
    <odxf>
      <font>
        <b/>
      </font>
      <numFmt numFmtId="0" formatCode="General"/>
    </odxf>
    <ndxf>
      <font>
        <b val="0"/>
      </font>
      <numFmt numFmtId="13" formatCode="0%"/>
    </ndxf>
  </rcc>
  <rcc rId="43135" sId="4" odxf="1" dxf="1">
    <nc r="BQ167">
      <f>BO167/BE167</f>
    </nc>
    <odxf>
      <font>
        <b/>
      </font>
      <numFmt numFmtId="0" formatCode="General"/>
    </odxf>
    <ndxf>
      <font>
        <b val="0"/>
      </font>
      <numFmt numFmtId="13" formatCode="0%"/>
    </ndxf>
  </rcc>
  <rcc rId="43136" sId="4" odxf="1" dxf="1">
    <nc r="BQ168">
      <f>BO168/BE168</f>
    </nc>
    <odxf>
      <font>
        <b/>
      </font>
      <numFmt numFmtId="0" formatCode="General"/>
    </odxf>
    <ndxf>
      <font>
        <b val="0"/>
      </font>
      <numFmt numFmtId="13" formatCode="0%"/>
    </ndxf>
  </rcc>
  <rcc rId="43137" sId="4" odxf="1" dxf="1">
    <nc r="BQ169">
      <f>BO169/BE169</f>
    </nc>
    <odxf>
      <font>
        <b/>
      </font>
      <numFmt numFmtId="0" formatCode="General"/>
    </odxf>
    <ndxf>
      <font>
        <b val="0"/>
      </font>
      <numFmt numFmtId="13" formatCode="0%"/>
    </ndxf>
  </rcc>
  <rcc rId="43138" sId="4" odxf="1" dxf="1">
    <nc r="BQ170">
      <f>BO170/BE170</f>
    </nc>
    <odxf>
      <font>
        <b/>
      </font>
      <numFmt numFmtId="0" formatCode="General"/>
    </odxf>
    <ndxf>
      <font>
        <b val="0"/>
      </font>
      <numFmt numFmtId="13" formatCode="0%"/>
    </ndxf>
  </rcc>
  <rcc rId="43139" sId="4" odxf="1" dxf="1">
    <nc r="BQ171">
      <f>BO171/BE171</f>
    </nc>
    <odxf>
      <font>
        <b/>
      </font>
      <numFmt numFmtId="0" formatCode="General"/>
    </odxf>
    <ndxf>
      <font>
        <b val="0"/>
      </font>
      <numFmt numFmtId="13" formatCode="0%"/>
    </ndxf>
  </rcc>
  <rcc rId="43140" sId="4" odxf="1" dxf="1">
    <nc r="BQ172">
      <f>BO172/BE172</f>
    </nc>
    <odxf>
      <font>
        <b/>
      </font>
      <numFmt numFmtId="0" formatCode="General"/>
    </odxf>
    <ndxf>
      <font>
        <b val="0"/>
      </font>
      <numFmt numFmtId="13" formatCode="0%"/>
    </ndxf>
  </rcc>
  <rcc rId="43141" sId="4" odxf="1" dxf="1">
    <nc r="BQ173">
      <f>BO173/BE173</f>
    </nc>
    <odxf>
      <font>
        <b/>
      </font>
      <numFmt numFmtId="0" formatCode="General"/>
    </odxf>
    <ndxf>
      <font>
        <b val="0"/>
      </font>
      <numFmt numFmtId="13" formatCode="0%"/>
    </ndxf>
  </rcc>
  <rcc rId="43142" sId="4" odxf="1" dxf="1">
    <nc r="BQ174">
      <f>BO174/BE174</f>
    </nc>
    <odxf>
      <font>
        <b/>
      </font>
      <numFmt numFmtId="0" formatCode="General"/>
    </odxf>
    <ndxf>
      <font>
        <b val="0"/>
      </font>
      <numFmt numFmtId="13" formatCode="0%"/>
    </ndxf>
  </rcc>
  <rcc rId="43143" sId="4" odxf="1" dxf="1">
    <nc r="BQ175">
      <f>BO175/BE175</f>
    </nc>
    <odxf>
      <font>
        <b/>
      </font>
      <numFmt numFmtId="0" formatCode="General"/>
    </odxf>
    <ndxf>
      <font>
        <b val="0"/>
      </font>
      <numFmt numFmtId="13" formatCode="0%"/>
    </ndxf>
  </rcc>
  <rcc rId="43144" sId="4" odxf="1" dxf="1">
    <nc r="BQ176">
      <f>BO176/BE176</f>
    </nc>
    <odxf>
      <numFmt numFmtId="165" formatCode="&quot;$&quot;#,##0"/>
    </odxf>
    <ndxf>
      <numFmt numFmtId="13" formatCode="0%"/>
    </ndxf>
  </rcc>
  <rcc rId="43145" sId="4" odxf="1" dxf="1">
    <nc r="BQ177">
      <f>BO177/BE177</f>
    </nc>
    <odxf>
      <numFmt numFmtId="165" formatCode="&quot;$&quot;#,##0"/>
    </odxf>
    <ndxf>
      <numFmt numFmtId="13" formatCode="0%"/>
    </ndxf>
  </rcc>
  <rcc rId="43146" sId="4" odxf="1" dxf="1">
    <nc r="BQ178">
      <f>BO178/BE178</f>
    </nc>
    <odxf>
      <numFmt numFmtId="0" formatCode="General"/>
      <fill>
        <patternFill patternType="solid">
          <bgColor theme="0" tint="-0.249977111117893"/>
        </patternFill>
      </fill>
    </odxf>
    <ndxf>
      <numFmt numFmtId="13" formatCode="0%"/>
      <fill>
        <patternFill patternType="none">
          <bgColor indexed="65"/>
        </patternFill>
      </fill>
    </ndxf>
  </rcc>
  <rcc rId="43147" sId="4" odxf="1" dxf="1">
    <nc r="BQ179">
      <f>BO179/BE179</f>
    </nc>
    <odxf>
      <numFmt numFmtId="0" formatCode="General"/>
    </odxf>
    <ndxf>
      <numFmt numFmtId="13" formatCode="0%"/>
    </ndxf>
  </rcc>
  <rcc rId="43148" sId="4" odxf="1" dxf="1">
    <nc r="BQ180">
      <f>BO180/BE180</f>
    </nc>
    <odxf>
      <numFmt numFmtId="0" formatCode="General"/>
    </odxf>
    <ndxf>
      <numFmt numFmtId="13" formatCode="0%"/>
    </ndxf>
  </rcc>
  <rcc rId="43149" sId="4" odxf="1" dxf="1">
    <nc r="BQ181">
      <f>BO181/BE181</f>
    </nc>
    <odxf>
      <numFmt numFmtId="0" formatCode="General"/>
    </odxf>
    <ndxf>
      <numFmt numFmtId="13" formatCode="0%"/>
    </ndxf>
  </rcc>
  <rcc rId="43150" sId="4" odxf="1" dxf="1">
    <nc r="BQ182">
      <f>BO182/BE182</f>
    </nc>
    <odxf>
      <numFmt numFmtId="0" formatCode="General"/>
    </odxf>
    <ndxf>
      <numFmt numFmtId="13" formatCode="0%"/>
    </ndxf>
  </rcc>
  <rcc rId="43151" sId="4" odxf="1" dxf="1">
    <nc r="BQ183">
      <f>BO183/BE183</f>
    </nc>
    <odxf>
      <numFmt numFmtId="0" formatCode="General"/>
    </odxf>
    <ndxf>
      <numFmt numFmtId="13" formatCode="0%"/>
    </ndxf>
  </rcc>
  <rcc rId="43152" sId="4" odxf="1" dxf="1">
    <nc r="BQ184">
      <f>BO184/BE184</f>
    </nc>
    <odxf>
      <numFmt numFmtId="165" formatCode="&quot;$&quot;#,##0"/>
    </odxf>
    <ndxf>
      <numFmt numFmtId="13" formatCode="0%"/>
    </ndxf>
  </rcc>
  <rcc rId="43153" sId="4" odxf="1" dxf="1">
    <nc r="BQ185">
      <f>BO185/BE185</f>
    </nc>
    <odxf>
      <numFmt numFmtId="165" formatCode="&quot;$&quot;#,##0"/>
    </odxf>
    <ndxf>
      <numFmt numFmtId="13" formatCode="0%"/>
    </ndxf>
  </rcc>
  <rcc rId="43154" sId="4" odxf="1" dxf="1">
    <nc r="BQ186">
      <f>BO186/BE186</f>
    </nc>
    <odxf>
      <numFmt numFmtId="165" formatCode="&quot;$&quot;#,##0"/>
    </odxf>
    <ndxf>
      <numFmt numFmtId="13" formatCode="0%"/>
    </ndxf>
  </rcc>
  <rcc rId="43155" sId="4" odxf="1" dxf="1">
    <nc r="BQ187">
      <f>BO187/BE187</f>
    </nc>
    <odxf>
      <numFmt numFmtId="0" formatCode="General"/>
      <border outline="0">
        <bottom style="medium">
          <color indexed="64"/>
        </bottom>
      </border>
    </odxf>
    <ndxf>
      <numFmt numFmtId="13" formatCode="0%"/>
      <border outline="0">
        <bottom/>
      </border>
    </ndxf>
  </rcc>
  <rcc rId="43156" sId="4" odxf="1" dxf="1">
    <nc r="BQ188">
      <f>BO188/BE188</f>
    </nc>
    <odxf>
      <font>
        <b/>
      </font>
      <numFmt numFmtId="0" formatCode="General"/>
    </odxf>
    <ndxf>
      <font>
        <b val="0"/>
      </font>
      <numFmt numFmtId="13" formatCode="0%"/>
    </ndxf>
  </rcc>
  <rcc rId="43157" sId="4" odxf="1" dxf="1">
    <nc r="BQ189">
      <f>BO189/BE189</f>
    </nc>
    <odxf>
      <font>
        <b/>
      </font>
      <numFmt numFmtId="0" formatCode="General"/>
    </odxf>
    <ndxf>
      <font>
        <b val="0"/>
      </font>
      <numFmt numFmtId="13" formatCode="0%"/>
    </ndxf>
  </rcc>
  <rcc rId="43158" sId="4" odxf="1" dxf="1">
    <nc r="BQ190">
      <f>BO190/BE190</f>
    </nc>
    <odxf>
      <font>
        <b/>
      </font>
      <numFmt numFmtId="0" formatCode="General"/>
    </odxf>
    <ndxf>
      <font>
        <b val="0"/>
      </font>
      <numFmt numFmtId="13" formatCode="0%"/>
    </ndxf>
  </rcc>
  <rcc rId="43159" sId="4" odxf="1" dxf="1">
    <nc r="BQ191">
      <f>BO191/BE191</f>
    </nc>
    <odxf>
      <numFmt numFmtId="165" formatCode="&quot;$&quot;#,##0"/>
    </odxf>
    <ndxf>
      <numFmt numFmtId="13" formatCode="0%"/>
    </ndxf>
  </rcc>
  <rcc rId="43160" sId="4" odxf="1" dxf="1">
    <nc r="BQ192">
      <f>BO192/BE192</f>
    </nc>
    <odxf>
      <numFmt numFmtId="165" formatCode="&quot;$&quot;#,##0"/>
    </odxf>
    <ndxf>
      <numFmt numFmtId="13" formatCode="0%"/>
    </ndxf>
  </rcc>
  <rcc rId="43161" sId="4" odxf="1" dxf="1">
    <nc r="BQ193">
      <f>BO193/BE193</f>
    </nc>
    <odxf>
      <numFmt numFmtId="165" formatCode="&quot;$&quot;#,##0"/>
    </odxf>
    <ndxf>
      <numFmt numFmtId="13" formatCode="0%"/>
    </ndxf>
  </rcc>
  <rcc rId="43162" sId="4" odxf="1" dxf="1">
    <nc r="BQ194">
      <f>BO194/BE194</f>
    </nc>
    <odxf>
      <numFmt numFmtId="165" formatCode="&quot;$&quot;#,##0"/>
    </odxf>
    <ndxf>
      <numFmt numFmtId="13" formatCode="0%"/>
    </ndxf>
  </rcc>
  <rcc rId="43163" sId="4" odxf="1" dxf="1">
    <nc r="BQ195">
      <f>BO195/BE195</f>
    </nc>
    <odxf>
      <numFmt numFmtId="165" formatCode="&quot;$&quot;#,##0"/>
    </odxf>
    <ndxf>
      <numFmt numFmtId="13" formatCode="0%"/>
    </ndxf>
  </rcc>
  <rcc rId="43164" sId="4" odxf="1" dxf="1">
    <nc r="BQ196">
      <f>BO196/BE196</f>
    </nc>
    <odxf>
      <numFmt numFmtId="165" formatCode="&quot;$&quot;#,##0"/>
    </odxf>
    <ndxf>
      <numFmt numFmtId="13" formatCode="0%"/>
    </ndxf>
  </rcc>
  <rcc rId="43165" sId="4" odxf="1" dxf="1">
    <nc r="BQ197">
      <f>BO197/BE197</f>
    </nc>
    <odxf>
      <numFmt numFmtId="0" formatCode="General"/>
      <fill>
        <patternFill patternType="solid">
          <bgColor theme="0" tint="-0.249977111117893"/>
        </patternFill>
      </fill>
    </odxf>
    <ndxf>
      <numFmt numFmtId="13" formatCode="0%"/>
      <fill>
        <patternFill patternType="none">
          <bgColor indexed="65"/>
        </patternFill>
      </fill>
    </ndxf>
  </rcc>
  <rcc rId="43166" sId="4" odxf="1" dxf="1">
    <nc r="BQ198">
      <f>BO198/BE198</f>
    </nc>
    <odxf>
      <numFmt numFmtId="165" formatCode="&quot;$&quot;#,##0"/>
    </odxf>
    <ndxf>
      <numFmt numFmtId="13" formatCode="0%"/>
    </ndxf>
  </rcc>
  <rcc rId="43167" sId="4" odxf="1" dxf="1">
    <nc r="BQ199">
      <f>BO199/BE199</f>
    </nc>
    <odxf>
      <numFmt numFmtId="165" formatCode="&quot;$&quot;#,##0"/>
    </odxf>
    <ndxf>
      <numFmt numFmtId="13" formatCode="0%"/>
    </ndxf>
  </rcc>
  <rcc rId="43168" sId="4" odxf="1" dxf="1">
    <nc r="BQ200">
      <f>BO200/BE200</f>
    </nc>
    <odxf>
      <numFmt numFmtId="165" formatCode="&quot;$&quot;#,##0"/>
    </odxf>
    <ndxf>
      <numFmt numFmtId="13" formatCode="0%"/>
    </ndxf>
  </rcc>
  <rcc rId="43169" sId="4" odxf="1" dxf="1">
    <nc r="BQ201">
      <f>BO201/BE201</f>
    </nc>
    <odxf>
      <numFmt numFmtId="165" formatCode="&quot;$&quot;#,##0"/>
    </odxf>
    <ndxf>
      <numFmt numFmtId="13" formatCode="0%"/>
    </ndxf>
  </rcc>
  <rcc rId="43170" sId="4" odxf="1" dxf="1">
    <nc r="BQ202">
      <f>BO202/BE202</f>
    </nc>
    <odxf>
      <numFmt numFmtId="165" formatCode="&quot;$&quot;#,##0"/>
    </odxf>
    <ndxf>
      <numFmt numFmtId="13" formatCode="0%"/>
    </ndxf>
  </rcc>
  <rcc rId="43171" sId="4" odxf="1" dxf="1">
    <nc r="BQ203">
      <f>BO203/BE203</f>
    </nc>
    <odxf>
      <numFmt numFmtId="165" formatCode="&quot;$&quot;#,##0"/>
    </odxf>
    <ndxf>
      <numFmt numFmtId="13" formatCode="0%"/>
    </ndxf>
  </rcc>
  <rcc rId="43172" sId="4" odxf="1" dxf="1">
    <nc r="BQ204">
      <f>BO204/BE204</f>
    </nc>
    <odxf>
      <numFmt numFmtId="165" formatCode="&quot;$&quot;#,##0"/>
    </odxf>
    <ndxf>
      <numFmt numFmtId="13" formatCode="0%"/>
    </ndxf>
  </rcc>
  <rcc rId="43173" sId="4" odxf="1" dxf="1">
    <nc r="BQ205">
      <f>BO205/BE205</f>
    </nc>
    <odxf>
      <numFmt numFmtId="165" formatCode="&quot;$&quot;#,##0"/>
    </odxf>
    <ndxf>
      <numFmt numFmtId="13" formatCode="0%"/>
    </ndxf>
  </rcc>
  <rcc rId="43174" sId="4" odxf="1" dxf="1">
    <nc r="BQ206">
      <f>BO206/BE206</f>
    </nc>
    <odxf>
      <numFmt numFmtId="165" formatCode="&quot;$&quot;#,##0"/>
    </odxf>
    <ndxf>
      <numFmt numFmtId="13" formatCode="0%"/>
    </ndxf>
  </rcc>
  <rcc rId="43175" sId="4" odxf="1" dxf="1">
    <nc r="BQ207">
      <f>BO207/BE207</f>
    </nc>
    <odxf>
      <numFmt numFmtId="165" formatCode="&quot;$&quot;#,##0"/>
    </odxf>
    <ndxf>
      <numFmt numFmtId="13" formatCode="0%"/>
    </ndxf>
  </rcc>
  <rcc rId="43176" sId="4" odxf="1" dxf="1">
    <nc r="BQ208">
      <f>BO208/BE208</f>
    </nc>
    <odxf>
      <numFmt numFmtId="165" formatCode="&quot;$&quot;#,##0"/>
    </odxf>
    <ndxf>
      <numFmt numFmtId="13" formatCode="0%"/>
    </ndxf>
  </rcc>
  <rcc rId="43177" sId="4" odxf="1" dxf="1">
    <nc r="BQ209">
      <f>BO209/BE209</f>
    </nc>
    <odxf>
      <numFmt numFmtId="165" formatCode="&quot;$&quot;#,##0"/>
    </odxf>
    <ndxf>
      <numFmt numFmtId="13" formatCode="0%"/>
    </ndxf>
  </rcc>
  <rcc rId="43178" sId="4" odxf="1" dxf="1">
    <nc r="BQ210">
      <f>BO210/BE210</f>
    </nc>
    <odxf>
      <numFmt numFmtId="165" formatCode="&quot;$&quot;#,##0"/>
    </odxf>
    <ndxf>
      <numFmt numFmtId="13" formatCode="0%"/>
    </ndxf>
  </rcc>
  <rcc rId="43179" sId="4" odxf="1" dxf="1">
    <nc r="BQ211">
      <f>BO211/BE211</f>
    </nc>
    <odxf>
      <numFmt numFmtId="0" formatCode="General"/>
    </odxf>
    <ndxf>
      <numFmt numFmtId="13" formatCode="0%"/>
    </ndxf>
  </rcc>
  <rcc rId="43180" sId="4" odxf="1" dxf="1">
    <nc r="BQ212">
      <f>BO212/BE212</f>
    </nc>
    <odxf>
      <numFmt numFmtId="0" formatCode="General"/>
    </odxf>
    <ndxf>
      <numFmt numFmtId="13" formatCode="0%"/>
    </ndxf>
  </rcc>
  <rcc rId="43181" sId="4" odxf="1" dxf="1">
    <nc r="BQ213">
      <f>BO213/BE213</f>
    </nc>
    <odxf>
      <numFmt numFmtId="0" formatCode="General"/>
    </odxf>
    <ndxf>
      <numFmt numFmtId="13" formatCode="0%"/>
    </ndxf>
  </rcc>
  <rcc rId="43182" sId="4" odxf="1" dxf="1">
    <nc r="BQ214">
      <f>BO214/BE214</f>
    </nc>
    <odxf>
      <numFmt numFmtId="0" formatCode="General"/>
    </odxf>
    <ndxf>
      <numFmt numFmtId="13" formatCode="0%"/>
    </ndxf>
  </rcc>
  <rcc rId="43183" sId="4" odxf="1" dxf="1">
    <nc r="BQ215">
      <f>BO215/BE215</f>
    </nc>
    <odxf>
      <numFmt numFmtId="0" formatCode="General"/>
    </odxf>
    <ndxf>
      <numFmt numFmtId="13" formatCode="0%"/>
    </ndxf>
  </rcc>
  <rcc rId="43184" sId="4" odxf="1" dxf="1">
    <nc r="BQ216">
      <f>BO216/BE216</f>
    </nc>
    <odxf>
      <numFmt numFmtId="0" formatCode="General"/>
    </odxf>
    <ndxf>
      <numFmt numFmtId="13" formatCode="0%"/>
    </ndxf>
  </rcc>
  <rcc rId="43185" sId="4" odxf="1" dxf="1">
    <nc r="BQ217">
      <f>BO217/BE217</f>
    </nc>
    <odxf>
      <numFmt numFmtId="0" formatCode="General"/>
    </odxf>
    <ndxf>
      <numFmt numFmtId="13" formatCode="0%"/>
    </ndxf>
  </rcc>
  <rcc rId="43186" sId="4" odxf="1" dxf="1">
    <nc r="BQ218">
      <f>BO218/BE218</f>
    </nc>
    <odxf>
      <numFmt numFmtId="0" formatCode="General"/>
    </odxf>
    <ndxf>
      <numFmt numFmtId="13" formatCode="0%"/>
    </ndxf>
  </rcc>
  <rcc rId="43187" sId="4" odxf="1" dxf="1">
    <nc r="BQ219">
      <f>BO219/BE219</f>
    </nc>
    <odxf>
      <numFmt numFmtId="0" formatCode="General"/>
    </odxf>
    <ndxf>
      <numFmt numFmtId="13" formatCode="0%"/>
    </ndxf>
  </rcc>
  <rcc rId="43188" sId="4" odxf="1" dxf="1">
    <nc r="BQ220">
      <f>BO220/BE220</f>
    </nc>
    <odxf>
      <numFmt numFmtId="0" formatCode="General"/>
    </odxf>
    <ndxf>
      <numFmt numFmtId="13" formatCode="0%"/>
    </ndxf>
  </rcc>
  <rcc rId="43189" sId="4" odxf="1" dxf="1">
    <nc r="BQ221">
      <f>BO221/BE221</f>
    </nc>
    <odxf>
      <numFmt numFmtId="0" formatCode="General"/>
    </odxf>
    <ndxf>
      <numFmt numFmtId="13" formatCode="0%"/>
    </ndxf>
  </rcc>
  <rcc rId="43190" sId="4" odxf="1" dxf="1">
    <nc r="BQ222">
      <f>BO222/BE222</f>
    </nc>
    <odxf>
      <font>
        <b/>
      </font>
      <numFmt numFmtId="0" formatCode="General"/>
      <border outline="0">
        <top style="medium">
          <color indexed="64"/>
        </top>
      </border>
    </odxf>
    <ndxf>
      <font>
        <b val="0"/>
      </font>
      <numFmt numFmtId="13" formatCode="0%"/>
      <border outline="0">
        <top/>
      </border>
    </ndxf>
  </rcc>
  <rcc rId="43191" sId="4" odxf="1" dxf="1">
    <nc r="BQ223">
      <f>BO223/BE223</f>
    </nc>
    <odxf>
      <numFmt numFmtId="0" formatCode="General"/>
    </odxf>
    <ndxf>
      <numFmt numFmtId="13" formatCode="0%"/>
    </ndxf>
  </rcc>
  <rcc rId="43192" sId="4" odxf="1" dxf="1">
    <nc r="BQ224">
      <f>BO224/BE224</f>
    </nc>
    <odxf>
      <numFmt numFmtId="0" formatCode="General"/>
    </odxf>
    <ndxf>
      <numFmt numFmtId="13" formatCode="0%"/>
    </ndxf>
  </rcc>
  <rcc rId="43193" sId="4" odxf="1" dxf="1">
    <nc r="BQ225">
      <f>BO225/BE225</f>
    </nc>
    <odxf>
      <numFmt numFmtId="0" formatCode="General"/>
    </odxf>
    <ndxf>
      <numFmt numFmtId="13" formatCode="0%"/>
    </ndxf>
  </rcc>
  <rcc rId="43194" sId="4" odxf="1" dxf="1">
    <nc r="BQ226">
      <f>BO226/BE226</f>
    </nc>
    <odxf>
      <numFmt numFmtId="0" formatCode="General"/>
      <border outline="0">
        <bottom style="medium">
          <color indexed="64"/>
        </bottom>
      </border>
    </odxf>
    <ndxf>
      <numFmt numFmtId="13" formatCode="0%"/>
      <border outline="0">
        <bottom/>
      </border>
    </ndxf>
  </rcc>
  <rcc rId="43195" sId="4" odxf="1" dxf="1">
    <nc r="BQ227">
      <f>BO227/BE227</f>
    </nc>
    <odxf>
      <numFmt numFmtId="0" formatCode="General"/>
    </odxf>
    <ndxf>
      <numFmt numFmtId="13" formatCode="0%"/>
    </ndxf>
  </rcc>
  <rcc rId="43196" sId="4" odxf="1" dxf="1">
    <nc r="BQ228">
      <f>BO228/BE228</f>
    </nc>
    <odxf>
      <numFmt numFmtId="0" formatCode="General"/>
    </odxf>
    <ndxf>
      <numFmt numFmtId="13" formatCode="0%"/>
    </ndxf>
  </rcc>
  <rcc rId="43197" sId="4" odxf="1" dxf="1">
    <nc r="BQ229">
      <f>BO229/BE229</f>
    </nc>
    <odxf>
      <numFmt numFmtId="0" formatCode="General"/>
    </odxf>
    <ndxf>
      <numFmt numFmtId="13" formatCode="0%"/>
    </ndxf>
  </rcc>
  <rcc rId="43198" sId="4" odxf="1" dxf="1">
    <nc r="BQ230">
      <f>BO230/BE230</f>
    </nc>
    <odxf>
      <numFmt numFmtId="0" formatCode="General"/>
    </odxf>
    <ndxf>
      <numFmt numFmtId="13" formatCode="0%"/>
    </ndxf>
  </rcc>
  <rcc rId="43199" sId="4" odxf="1" dxf="1">
    <nc r="BQ231">
      <f>BO231/BE231</f>
    </nc>
    <odxf>
      <numFmt numFmtId="0" formatCode="General"/>
    </odxf>
    <ndxf>
      <numFmt numFmtId="13" formatCode="0%"/>
    </ndxf>
  </rcc>
  <rcc rId="43200" sId="4" odxf="1" dxf="1">
    <nc r="BQ232">
      <f>BO232/BE232</f>
    </nc>
    <odxf>
      <numFmt numFmtId="0" formatCode="General"/>
    </odxf>
    <ndxf>
      <numFmt numFmtId="13" formatCode="0%"/>
    </ndxf>
  </rcc>
  <rcc rId="43201" sId="4" odxf="1" dxf="1">
    <nc r="BQ233">
      <f>BO233/BE233</f>
    </nc>
    <odxf>
      <numFmt numFmtId="0" formatCode="General"/>
    </odxf>
    <ndxf>
      <numFmt numFmtId="13" formatCode="0%"/>
    </ndxf>
  </rcc>
  <rcc rId="43202" sId="4" odxf="1" dxf="1">
    <nc r="BQ234">
      <f>BO234/BE234</f>
    </nc>
    <odxf>
      <numFmt numFmtId="0" formatCode="General"/>
    </odxf>
    <ndxf>
      <numFmt numFmtId="13" formatCode="0%"/>
    </ndxf>
  </rcc>
  <rcc rId="43203" sId="4" odxf="1" dxf="1">
    <nc r="BQ235">
      <f>BO235/BE235</f>
    </nc>
    <odxf>
      <numFmt numFmtId="0" formatCode="General"/>
    </odxf>
    <ndxf>
      <numFmt numFmtId="13" formatCode="0%"/>
    </ndxf>
  </rcc>
  <rcc rId="43204" sId="4" odxf="1" dxf="1">
    <nc r="BQ236">
      <f>BO236/BE236</f>
    </nc>
    <odxf>
      <numFmt numFmtId="0" formatCode="General"/>
    </odxf>
    <ndxf>
      <numFmt numFmtId="13" formatCode="0%"/>
    </ndxf>
  </rcc>
  <rcc rId="43205" sId="4" odxf="1" dxf="1">
    <nc r="BQ237">
      <f>BO237/BE237</f>
    </nc>
    <odxf>
      <numFmt numFmtId="0" formatCode="General"/>
    </odxf>
    <ndxf>
      <numFmt numFmtId="13" formatCode="0%"/>
    </ndxf>
  </rcc>
  <rcc rId="43206" sId="4" odxf="1" dxf="1">
    <nc r="BQ238">
      <f>BO238/BE238</f>
    </nc>
    <odxf>
      <numFmt numFmtId="0" formatCode="General"/>
    </odxf>
    <ndxf>
      <numFmt numFmtId="13" formatCode="0%"/>
    </ndxf>
  </rcc>
  <rcc rId="43207" sId="4" odxf="1" dxf="1">
    <nc r="BQ239">
      <f>BO239/BE239</f>
    </nc>
    <odxf>
      <numFmt numFmtId="0" formatCode="General"/>
    </odxf>
    <ndxf>
      <numFmt numFmtId="13" formatCode="0%"/>
    </ndxf>
  </rcc>
  <rcc rId="43208" sId="4" odxf="1" dxf="1">
    <nc r="BQ240">
      <f>BO240/BE240</f>
    </nc>
    <odxf>
      <numFmt numFmtId="0" formatCode="General"/>
    </odxf>
    <ndxf>
      <numFmt numFmtId="13" formatCode="0%"/>
    </ndxf>
  </rcc>
  <rcc rId="43209" sId="4" odxf="1" dxf="1">
    <nc r="BQ241">
      <f>BO241/BE241</f>
    </nc>
    <odxf>
      <numFmt numFmtId="165" formatCode="&quot;$&quot;#,##0"/>
    </odxf>
    <ndxf>
      <numFmt numFmtId="13" formatCode="0%"/>
    </ndxf>
  </rcc>
  <rcc rId="43210" sId="4" odxf="1" dxf="1">
    <nc r="BQ242">
      <f>BO242/BE242</f>
    </nc>
    <odxf>
      <font>
        <b/>
      </font>
      <numFmt numFmtId="0" formatCode="General"/>
      <fill>
        <patternFill patternType="solid">
          <bgColor theme="0" tint="-0.249977111117893"/>
        </patternFill>
      </fill>
    </odxf>
    <ndxf>
      <font>
        <b val="0"/>
      </font>
      <numFmt numFmtId="13" formatCode="0%"/>
      <fill>
        <patternFill patternType="none">
          <bgColor indexed="65"/>
        </patternFill>
      </fill>
    </ndxf>
  </rcc>
  <rcc rId="43211" sId="4" odxf="1" dxf="1">
    <nc r="BQ243">
      <f>BO243/BE243</f>
    </nc>
    <odxf>
      <numFmt numFmtId="165" formatCode="&quot;$&quot;#,##0"/>
    </odxf>
    <ndxf>
      <numFmt numFmtId="13" formatCode="0%"/>
    </ndxf>
  </rcc>
  <rfmt sheetId="4" sqref="BO4:BQ5" start="0" length="2147483647">
    <dxf>
      <font>
        <color rgb="FFFFFF00"/>
      </font>
    </dxf>
  </rfmt>
  <rfmt sheetId="4" sqref="BO4:BQ5" start="0" length="2147483647">
    <dxf>
      <font>
        <color auto="1"/>
      </font>
    </dxf>
  </rfmt>
  <rfmt sheetId="4" sqref="BO4:BQ5">
    <dxf>
      <fill>
        <patternFill>
          <bgColor theme="0" tint="-0.249977111117893"/>
        </patternFill>
      </fill>
    </dxf>
  </rfmt>
  <rfmt sheetId="4" sqref="BO4:BQ5">
    <dxf>
      <fill>
        <patternFill>
          <bgColor rgb="FFFFFF00"/>
        </patternFill>
      </fill>
    </dxf>
  </rfmt>
  <rfmt sheetId="4" sqref="BB120:BN132">
    <dxf>
      <fill>
        <patternFill>
          <bgColor theme="0"/>
        </patternFill>
      </fill>
    </dxf>
  </rfmt>
  <rcc rId="43212" sId="5">
    <oc r="BY8">
      <f>BX8-BU8</f>
    </oc>
    <nc r="BY8">
      <f>BW8-BR8</f>
    </nc>
  </rcc>
  <rcc rId="43213" sId="5">
    <oc r="BY9">
      <f>BX9-BU9</f>
    </oc>
    <nc r="BY9">
      <f>BW9-BR9</f>
    </nc>
  </rcc>
  <rcc rId="43214" sId="5">
    <oc r="BY10">
      <f>BX10-BU10</f>
    </oc>
    <nc r="BY10">
      <f>BW10-BR10</f>
    </nc>
  </rcc>
  <rcc rId="43215" sId="5">
    <oc r="BY11">
      <f>BX11-BU11</f>
    </oc>
    <nc r="BY11">
      <f>BW11-BR11</f>
    </nc>
  </rcc>
  <rcc rId="43216" sId="5">
    <oc r="BY12">
      <f>BX12-BU12</f>
    </oc>
    <nc r="BY12">
      <f>BW12-BR12</f>
    </nc>
  </rcc>
  <rcc rId="43217" sId="5">
    <oc r="BY13">
      <f>BX13-BU13</f>
    </oc>
    <nc r="BY13">
      <f>BW13-BR13</f>
    </nc>
  </rcc>
  <rcc rId="43218" sId="5">
    <oc r="BY14">
      <f>BX14-BU14</f>
    </oc>
    <nc r="BY14">
      <f>BW14-BR14</f>
    </nc>
  </rcc>
  <rcc rId="43219" sId="5">
    <oc r="BY15">
      <f>BX15-BU15</f>
    </oc>
    <nc r="BY15">
      <f>BW15-BR15</f>
    </nc>
  </rcc>
  <rcc rId="43220" sId="5">
    <oc r="BY16">
      <f>BX16-BU16</f>
    </oc>
    <nc r="BY16">
      <f>BW16-BR16</f>
    </nc>
  </rcc>
  <rcc rId="43221" sId="5">
    <oc r="BY17">
      <f>BX17-BU17</f>
    </oc>
    <nc r="BY17">
      <f>BW17-BR17</f>
    </nc>
  </rcc>
  <rcc rId="43222" sId="5">
    <oc r="BY18">
      <f>BX18-BU18</f>
    </oc>
    <nc r="BY18">
      <f>BW18-BR18</f>
    </nc>
  </rcc>
  <rcc rId="43223" sId="5">
    <oc r="BY19">
      <f>BX19-BU19</f>
    </oc>
    <nc r="BY19">
      <f>BW19-BR19</f>
    </nc>
  </rcc>
  <rcc rId="43224" sId="5">
    <oc r="BY20">
      <f>BX20-BU20</f>
    </oc>
    <nc r="BY20">
      <f>BW20-BR20</f>
    </nc>
  </rcc>
  <rcc rId="43225" sId="5">
    <oc r="BY21">
      <f>BX21-BU21</f>
    </oc>
    <nc r="BY21">
      <f>BW21-BR21</f>
    </nc>
  </rcc>
  <rcc rId="43226" sId="5">
    <oc r="BY22">
      <f>BX22-BU22</f>
    </oc>
    <nc r="BY22">
      <f>BW22-BR22</f>
    </nc>
  </rcc>
  <rcc rId="43227" sId="5">
    <oc r="BY23">
      <f>BX23-BU23</f>
    </oc>
    <nc r="BY23">
      <f>BW23-BR23</f>
    </nc>
  </rcc>
  <rcc rId="43228" sId="5">
    <oc r="BY24">
      <f>BX24-BU24</f>
    </oc>
    <nc r="BY24">
      <f>BW24-BR24</f>
    </nc>
  </rcc>
  <rcc rId="43229" sId="5">
    <oc r="BY25">
      <f>BX25-BU25</f>
    </oc>
    <nc r="BY25">
      <f>BW25-BR25</f>
    </nc>
  </rcc>
  <rcc rId="43230" sId="5">
    <oc r="BY26">
      <f>BX26-BU26</f>
    </oc>
    <nc r="BY26">
      <f>BW26-BR26</f>
    </nc>
  </rcc>
  <rcc rId="43231" sId="5">
    <oc r="BY27">
      <f>BX27-BU27</f>
    </oc>
    <nc r="BY27">
      <f>BW27-BR27</f>
    </nc>
  </rcc>
  <rcc rId="43232" sId="5">
    <oc r="BY28">
      <f>BX28-BU28</f>
    </oc>
    <nc r="BY28">
      <f>BW28-BR28</f>
    </nc>
  </rcc>
  <rcc rId="43233" sId="5">
    <oc r="BY29">
      <f>BX29-BU29</f>
    </oc>
    <nc r="BY29">
      <f>BW29-BR29</f>
    </nc>
  </rcc>
  <rcc rId="43234" sId="5">
    <oc r="BY30">
      <f>BX30-BU30</f>
    </oc>
    <nc r="BY30">
      <f>BW30-BR30</f>
    </nc>
  </rcc>
  <rcc rId="43235" sId="5">
    <oc r="BY31">
      <f>BX31-BU31</f>
    </oc>
    <nc r="BY31">
      <f>BW31-BR31</f>
    </nc>
  </rcc>
  <rcc rId="43236" sId="5">
    <oc r="BY32">
      <f>BX32-BU32</f>
    </oc>
    <nc r="BY32">
      <f>BW32-BR32</f>
    </nc>
  </rcc>
  <rcc rId="43237" sId="5">
    <oc r="BY33">
      <f>BX33-BU33</f>
    </oc>
    <nc r="BY33">
      <f>BW33-BR33</f>
    </nc>
  </rcc>
  <rcc rId="43238" sId="5">
    <oc r="BY34">
      <f>BX34-BU34</f>
    </oc>
    <nc r="BY34">
      <f>BW34-BR34</f>
    </nc>
  </rcc>
  <rcc rId="43239" sId="5">
    <oc r="BY35">
      <f>BX35-BU35</f>
    </oc>
    <nc r="BY35">
      <f>BW35-BR35</f>
    </nc>
  </rcc>
  <rcc rId="43240" sId="5">
    <oc r="BY36">
      <f>BX36-BU36</f>
    </oc>
    <nc r="BY36">
      <f>BW36-BR36</f>
    </nc>
  </rcc>
  <rcc rId="43241" sId="5">
    <oc r="BY37">
      <f>BX37-BU37</f>
    </oc>
    <nc r="BY37">
      <f>BW37-BR37</f>
    </nc>
  </rcc>
  <rcc rId="43242" sId="5">
    <oc r="BY38">
      <f>BX38-BU38</f>
    </oc>
    <nc r="BY38">
      <f>BW38-BR38</f>
    </nc>
  </rcc>
  <rcc rId="43243" sId="5">
    <oc r="BY39">
      <f>BX39-BU39</f>
    </oc>
    <nc r="BY39">
      <f>BW39-BR39</f>
    </nc>
  </rcc>
  <rcc rId="43244" sId="5">
    <oc r="BY40">
      <f>BX40-BU40</f>
    </oc>
    <nc r="BY40">
      <f>BW40-BR40</f>
    </nc>
  </rcc>
  <rcc rId="43245" sId="5" odxf="1" dxf="1">
    <oc r="BY41">
      <f>BX41-BU41</f>
    </oc>
    <nc r="BY41">
      <f>BW41-BR41</f>
    </nc>
    <odxf>
      <border outline="0">
        <top style="medium">
          <color indexed="64"/>
        </top>
      </border>
    </odxf>
    <ndxf>
      <border outline="0">
        <top/>
      </border>
    </ndxf>
  </rcc>
  <rcc rId="43246" sId="5" odxf="1" dxf="1">
    <nc r="BY42">
      <f>BW42-BR42</f>
    </nc>
    <odxf>
      <font>
        <b/>
      </font>
      <numFmt numFmtId="0" formatCode="General"/>
    </odxf>
    <ndxf>
      <font>
        <b val="0"/>
      </font>
      <numFmt numFmtId="165" formatCode="&quot;$&quot;#,##0"/>
    </ndxf>
  </rcc>
  <rcc rId="43247" sId="5" odxf="1" dxf="1">
    <nc r="BY43">
      <f>BW43-BR43</f>
    </nc>
    <odxf>
      <font>
        <b/>
      </font>
      <numFmt numFmtId="14" formatCode="0.00%"/>
    </odxf>
    <ndxf>
      <font>
        <b val="0"/>
      </font>
      <numFmt numFmtId="165" formatCode="&quot;$&quot;#,##0"/>
    </ndxf>
  </rcc>
  <rcc rId="43248" sId="5" odxf="1" dxf="1">
    <nc r="BY44">
      <f>BW44-BR44</f>
    </nc>
    <odxf>
      <font>
        <b/>
      </font>
      <numFmt numFmtId="0" formatCode="General"/>
    </odxf>
    <ndxf>
      <font>
        <b val="0"/>
      </font>
      <numFmt numFmtId="165" formatCode="&quot;$&quot;#,##0"/>
    </ndxf>
  </rcc>
  <rcc rId="43249" sId="5" odxf="1" dxf="1">
    <nc r="BY45">
      <f>BW45-BR45</f>
    </nc>
    <odxf>
      <font>
        <b/>
      </font>
      <numFmt numFmtId="0" formatCode="General"/>
    </odxf>
    <ndxf>
      <font>
        <b val="0"/>
      </font>
      <numFmt numFmtId="165" formatCode="&quot;$&quot;#,##0"/>
    </ndxf>
  </rcc>
  <rcc rId="43250" sId="5" odxf="1" dxf="1">
    <nc r="BY46">
      <f>BW46-BR46</f>
    </nc>
    <odxf>
      <font>
        <b/>
      </font>
      <numFmt numFmtId="0" formatCode="General"/>
    </odxf>
    <ndxf>
      <font>
        <b val="0"/>
      </font>
      <numFmt numFmtId="165" formatCode="&quot;$&quot;#,##0"/>
    </ndxf>
  </rcc>
  <rcc rId="43251" sId="5" odxf="1" dxf="1">
    <nc r="BY47">
      <f>BW47-BR47</f>
    </nc>
    <odxf>
      <font>
        <b/>
      </font>
      <numFmt numFmtId="0" formatCode="General"/>
    </odxf>
    <ndxf>
      <font>
        <b val="0"/>
      </font>
      <numFmt numFmtId="165" formatCode="&quot;$&quot;#,##0"/>
    </ndxf>
  </rcc>
  <rcc rId="43252" sId="5" odxf="1" dxf="1">
    <nc r="BY48">
      <f>BW48-BR48</f>
    </nc>
    <odxf>
      <numFmt numFmtId="0" formatCode="General"/>
    </odxf>
    <ndxf>
      <numFmt numFmtId="165" formatCode="&quot;$&quot;#,##0"/>
    </ndxf>
  </rcc>
  <rcc rId="43253" sId="5" odxf="1" dxf="1">
    <nc r="BY49">
      <f>BW49-BR49</f>
    </nc>
    <odxf>
      <numFmt numFmtId="0" formatCode="General"/>
    </odxf>
    <ndxf>
      <numFmt numFmtId="165" formatCode="&quot;$&quot;#,##0"/>
    </ndxf>
  </rcc>
  <rcc rId="43254" sId="5" odxf="1" dxf="1">
    <nc r="BY50">
      <f>BW50-BR50</f>
    </nc>
    <odxf>
      <numFmt numFmtId="0" formatCode="General"/>
      <fill>
        <patternFill patternType="solid">
          <bgColor theme="0" tint="-0.249977111117893"/>
        </patternFill>
      </fill>
    </odxf>
    <ndxf>
      <numFmt numFmtId="165" formatCode="&quot;$&quot;#,##0"/>
      <fill>
        <patternFill patternType="none">
          <bgColor indexed="65"/>
        </patternFill>
      </fill>
    </ndxf>
  </rcc>
  <rcc rId="43255" sId="5">
    <oc r="BY51">
      <f>BX51-BU51</f>
    </oc>
    <nc r="BY51">
      <f>BW51-BR51</f>
    </nc>
  </rcc>
  <rcc rId="43256" sId="5">
    <oc r="BY52">
      <f>BX52-BU52</f>
    </oc>
    <nc r="BY52">
      <f>BW52-BR52</f>
    </nc>
  </rcc>
  <rcc rId="43257" sId="5">
    <oc r="BY53">
      <f>BX53-BU53</f>
    </oc>
    <nc r="BY53">
      <f>BW53-BR53</f>
    </nc>
  </rcc>
  <rcc rId="43258" sId="5">
    <oc r="BY54">
      <f>BX54-BU54</f>
    </oc>
    <nc r="BY54">
      <f>BW54-BR54</f>
    </nc>
  </rcc>
  <rcc rId="43259" sId="5">
    <oc r="BY55">
      <f>BX55-BU55</f>
    </oc>
    <nc r="BY55">
      <f>BW55-BR55</f>
    </nc>
  </rcc>
  <rcc rId="43260" sId="5">
    <oc r="BY56">
      <f>BX56-BU56</f>
    </oc>
    <nc r="BY56">
      <f>BW56-BR56</f>
    </nc>
  </rcc>
  <rcc rId="43261" sId="5">
    <oc r="BY57">
      <f>BX57-BU57</f>
    </oc>
    <nc r="BY57">
      <f>BW57-BR57</f>
    </nc>
  </rcc>
  <rcc rId="43262" sId="5">
    <oc r="BY58">
      <f>BX58-BU58</f>
    </oc>
    <nc r="BY58">
      <f>BW58-BR58</f>
    </nc>
  </rcc>
  <rcc rId="43263" sId="5">
    <oc r="BY59">
      <f>BX59-BU59</f>
    </oc>
    <nc r="BY59">
      <f>BW59-BR59</f>
    </nc>
  </rcc>
  <rcc rId="43264" sId="5">
    <oc r="BY60">
      <f>BX60-BU60</f>
    </oc>
    <nc r="BY60">
      <f>BW60-BR60</f>
    </nc>
  </rcc>
  <rcc rId="43265" sId="5">
    <oc r="BY61">
      <f>BX61-BU61</f>
    </oc>
    <nc r="BY61">
      <f>BW61-BR61</f>
    </nc>
  </rcc>
  <rcc rId="43266" sId="5">
    <oc r="BY62">
      <f>BX62-BU62</f>
    </oc>
    <nc r="BY62">
      <f>BW62-BR62</f>
    </nc>
  </rcc>
  <rcc rId="43267" sId="5">
    <oc r="BY63">
      <f>BX63-BU63</f>
    </oc>
    <nc r="BY63">
      <f>BW63-BR63</f>
    </nc>
  </rcc>
  <rcc rId="43268" sId="5">
    <oc r="BY64">
      <f>BX64-BU64</f>
    </oc>
    <nc r="BY64">
      <f>BW64-BR64</f>
    </nc>
  </rcc>
  <rcc rId="43269" sId="5">
    <oc r="BY65">
      <f>BX65-BU65</f>
    </oc>
    <nc r="BY65">
      <f>BW65-BR65</f>
    </nc>
  </rcc>
  <rcc rId="43270" sId="5">
    <oc r="BY66">
      <f>BX66-BU66</f>
    </oc>
    <nc r="BY66">
      <f>BW66-BR66</f>
    </nc>
  </rcc>
  <rcc rId="43271" sId="5">
    <oc r="BY67">
      <f>BX67-BU67</f>
    </oc>
    <nc r="BY67">
      <f>BW67-BR67</f>
    </nc>
  </rcc>
  <rcc rId="43272" sId="5">
    <oc r="BY68">
      <f>BX68-BU68</f>
    </oc>
    <nc r="BY68">
      <f>BW68-BR68</f>
    </nc>
  </rcc>
  <rcc rId="43273" sId="5">
    <oc r="BY69">
      <f>BX69-BU69</f>
    </oc>
    <nc r="BY69">
      <f>BW69-BR69</f>
    </nc>
  </rcc>
  <rcc rId="43274" sId="5">
    <oc r="BY70">
      <f>BX70-BU70</f>
    </oc>
    <nc r="BY70">
      <f>BW70-BR70</f>
    </nc>
  </rcc>
  <rcc rId="43275" sId="5">
    <oc r="BY71">
      <f>BX71-BU71</f>
    </oc>
    <nc r="BY71">
      <f>BW71-BR71</f>
    </nc>
  </rcc>
  <rcc rId="43276" sId="5">
    <oc r="BY72">
      <f>BX72-BU72</f>
    </oc>
    <nc r="BY72">
      <f>BW72-BR72</f>
    </nc>
  </rcc>
  <rcc rId="43277" sId="5">
    <oc r="BY73">
      <f>BX73-BU73</f>
    </oc>
    <nc r="BY73">
      <f>BW73-BR73</f>
    </nc>
  </rcc>
  <rcc rId="43278" sId="5" odxf="1" dxf="1">
    <oc r="BY74">
      <f>BX74-BU74</f>
    </oc>
    <nc r="BY74">
      <f>BW74-BR74</f>
    </nc>
    <odxf>
      <border outline="0">
        <top style="medium">
          <color indexed="64"/>
        </top>
      </border>
    </odxf>
    <ndxf>
      <border outline="0">
        <top/>
      </border>
    </ndxf>
  </rcc>
  <rcc rId="43279" sId="5" odxf="1" dxf="1">
    <nc r="BY75">
      <f>BW75-BR75</f>
    </nc>
    <odxf>
      <font>
        <b/>
      </font>
      <numFmt numFmtId="0" formatCode="General"/>
    </odxf>
    <ndxf>
      <font>
        <b val="0"/>
      </font>
      <numFmt numFmtId="165" formatCode="&quot;$&quot;#,##0"/>
    </ndxf>
  </rcc>
  <rcc rId="43280" sId="5" odxf="1" dxf="1">
    <nc r="BY76">
      <f>BW76-BR76</f>
    </nc>
    <odxf>
      <font>
        <b/>
      </font>
      <numFmt numFmtId="0" formatCode="General"/>
    </odxf>
    <ndxf>
      <font>
        <b val="0"/>
      </font>
      <numFmt numFmtId="165" formatCode="&quot;$&quot;#,##0"/>
    </ndxf>
  </rcc>
  <rcc rId="43281" sId="5" odxf="1" dxf="1">
    <nc r="BY77">
      <f>BW77-BR77</f>
    </nc>
    <odxf>
      <font>
        <b/>
      </font>
      <numFmt numFmtId="14" formatCode="0.00%"/>
    </odxf>
    <ndxf>
      <font>
        <b val="0"/>
      </font>
      <numFmt numFmtId="165" formatCode="&quot;$&quot;#,##0"/>
    </ndxf>
  </rcc>
  <rcc rId="43282" sId="5" odxf="1" dxf="1">
    <nc r="BY78">
      <f>BW78-BR78</f>
    </nc>
    <odxf>
      <font>
        <b/>
      </font>
      <numFmt numFmtId="0" formatCode="General"/>
    </odxf>
    <ndxf>
      <font>
        <b val="0"/>
      </font>
      <numFmt numFmtId="165" formatCode="&quot;$&quot;#,##0"/>
    </ndxf>
  </rcc>
  <rcc rId="43283" sId="5" odxf="1" dxf="1">
    <nc r="BY79">
      <f>BW79-BR79</f>
    </nc>
    <odxf>
      <font>
        <b/>
      </font>
      <numFmt numFmtId="0" formatCode="General"/>
    </odxf>
    <ndxf>
      <font>
        <b val="0"/>
      </font>
      <numFmt numFmtId="165" formatCode="&quot;$&quot;#,##0"/>
    </ndxf>
  </rcc>
  <rcc rId="43284" sId="5" odxf="1" dxf="1">
    <nc r="BY80">
      <f>BW80-BR80</f>
    </nc>
    <odxf>
      <font>
        <b/>
      </font>
      <numFmt numFmtId="0" formatCode="General"/>
    </odxf>
    <ndxf>
      <font>
        <b val="0"/>
      </font>
      <numFmt numFmtId="165" formatCode="&quot;$&quot;#,##0"/>
    </ndxf>
  </rcc>
  <rcc rId="43285" sId="5" odxf="1" dxf="1">
    <nc r="BY81">
      <f>BW81-BR81</f>
    </nc>
    <odxf>
      <font>
        <b/>
      </font>
      <numFmt numFmtId="0" formatCode="General"/>
    </odxf>
    <ndxf>
      <font>
        <b val="0"/>
      </font>
      <numFmt numFmtId="165" formatCode="&quot;$&quot;#,##0"/>
    </ndxf>
  </rcc>
  <rcc rId="43286" sId="5" odxf="1" dxf="1">
    <nc r="BY82">
      <f>BW82-BR82</f>
    </nc>
    <odxf>
      <font>
        <b/>
      </font>
      <numFmt numFmtId="0" formatCode="General"/>
    </odxf>
    <ndxf>
      <font>
        <b val="0"/>
      </font>
      <numFmt numFmtId="165" formatCode="&quot;$&quot;#,##0"/>
    </ndxf>
  </rcc>
  <rcc rId="43287" sId="5" odxf="1" dxf="1">
    <nc r="BY83">
      <f>BW83-BR83</f>
    </nc>
    <odxf>
      <numFmt numFmtId="0" formatCode="General"/>
    </odxf>
    <ndxf>
      <numFmt numFmtId="165" formatCode="&quot;$&quot;#,##0"/>
    </ndxf>
  </rcc>
  <rcc rId="43288" sId="5" odxf="1" dxf="1">
    <nc r="BY84">
      <f>BW84-BR84</f>
    </nc>
    <odxf>
      <numFmt numFmtId="0" formatCode="General"/>
      <fill>
        <patternFill patternType="solid">
          <bgColor theme="0" tint="-0.249977111117893"/>
        </patternFill>
      </fill>
    </odxf>
    <ndxf>
      <numFmt numFmtId="165" formatCode="&quot;$&quot;#,##0"/>
      <fill>
        <patternFill patternType="none">
          <bgColor indexed="65"/>
        </patternFill>
      </fill>
    </ndxf>
  </rcc>
  <rcc rId="43289" sId="5">
    <oc r="BY85">
      <f>BX85-BU85</f>
    </oc>
    <nc r="BY85">
      <f>BW85-BR85</f>
    </nc>
  </rcc>
  <rcc rId="43290" sId="5">
    <oc r="BY86">
      <f>BX86-BU86</f>
    </oc>
    <nc r="BY86">
      <f>BW86-BR86</f>
    </nc>
  </rcc>
  <rcc rId="43291" sId="5">
    <oc r="BY87">
      <f>BX87-BU87</f>
    </oc>
    <nc r="BY87">
      <f>BW87-BR87</f>
    </nc>
  </rcc>
  <rcc rId="43292" sId="5">
    <oc r="BY88">
      <f>BX88-BU88</f>
    </oc>
    <nc r="BY88">
      <f>BW88-BR88</f>
    </nc>
  </rcc>
  <rcc rId="43293" sId="5">
    <oc r="BY89">
      <f>BX89-BU89</f>
    </oc>
    <nc r="BY89">
      <f>BW89-BR89</f>
    </nc>
  </rcc>
  <rcc rId="43294" sId="5">
    <oc r="BY90">
      <f>BX90-BU90</f>
    </oc>
    <nc r="BY90">
      <f>BW90-BR90</f>
    </nc>
  </rcc>
  <rcc rId="43295" sId="5">
    <oc r="BY91">
      <f>BX91-BU91</f>
    </oc>
    <nc r="BY91">
      <f>BW91-BR91</f>
    </nc>
  </rcc>
  <rcc rId="43296" sId="5">
    <oc r="BY92">
      <f>BX92-BU92</f>
    </oc>
    <nc r="BY92">
      <f>BW92-BR92</f>
    </nc>
  </rcc>
  <rcc rId="43297" sId="5">
    <oc r="BY93">
      <f>BX93-BU93</f>
    </oc>
    <nc r="BY93">
      <f>BW93-BR93</f>
    </nc>
  </rcc>
  <rcc rId="43298" sId="5">
    <oc r="BY94">
      <f>BX94-BU94</f>
    </oc>
    <nc r="BY94">
      <f>BW94-BR94</f>
    </nc>
  </rcc>
  <rcc rId="43299" sId="5">
    <oc r="BY95">
      <f>BX95-BU95</f>
    </oc>
    <nc r="BY95">
      <f>BW95-BR95</f>
    </nc>
  </rcc>
  <rcc rId="43300" sId="5">
    <oc r="BY96">
      <f>BX96-BU96</f>
    </oc>
    <nc r="BY96">
      <f>BW96-BR96</f>
    </nc>
  </rcc>
  <rcc rId="43301" sId="5">
    <oc r="BY97">
      <f>BX97-BU97</f>
    </oc>
    <nc r="BY97">
      <f>BW97-BR97</f>
    </nc>
  </rcc>
  <rcc rId="43302" sId="5">
    <oc r="BY98">
      <f>BX98-BU98</f>
    </oc>
    <nc r="BY98">
      <f>BW98-BR98</f>
    </nc>
  </rcc>
  <rcc rId="43303" sId="5">
    <oc r="BY99">
      <f>BX99-BU99</f>
    </oc>
    <nc r="BY99">
      <f>BW99-BR99</f>
    </nc>
  </rcc>
  <rcc rId="43304" sId="5">
    <oc r="BY100">
      <f>BX100-BU100</f>
    </oc>
    <nc r="BY100">
      <f>BW100-BR100</f>
    </nc>
  </rcc>
  <rcc rId="43305" sId="5">
    <oc r="BY101">
      <f>BX101-BU101</f>
    </oc>
    <nc r="BY101">
      <f>BW101-BR101</f>
    </nc>
  </rcc>
  <rcc rId="43306" sId="5">
    <oc r="BY102">
      <f>BX102-BU102</f>
    </oc>
    <nc r="BY102">
      <f>BW102-BR102</f>
    </nc>
  </rcc>
  <rcc rId="43307" sId="5">
    <oc r="BY103">
      <f>BX103-BU103</f>
    </oc>
    <nc r="BY103">
      <f>BW103-BR103</f>
    </nc>
  </rcc>
  <rcc rId="43308" sId="5">
    <oc r="BY104">
      <f>BX104-BU104</f>
    </oc>
    <nc r="BY104">
      <f>BW104-BR104</f>
    </nc>
  </rcc>
  <rcc rId="43309" sId="5">
    <oc r="BY105">
      <f>BX105-BU105</f>
    </oc>
    <nc r="BY105">
      <f>BW105-BR105</f>
    </nc>
  </rcc>
  <rcc rId="43310" sId="5">
    <oc r="BY106">
      <f>BX106-BU106</f>
    </oc>
    <nc r="BY106">
      <f>BW106-BR106</f>
    </nc>
  </rcc>
  <rcc rId="43311" sId="5">
    <nc r="BY107">
      <f>BW107-BR107</f>
    </nc>
  </rcc>
  <rcc rId="43312" sId="5">
    <oc r="BY108">
      <f>BX108-BU108</f>
    </oc>
    <nc r="BY108">
      <f>BW108-BR108</f>
    </nc>
  </rcc>
  <rcc rId="43313" sId="5" odxf="1" dxf="1">
    <oc r="BY109">
      <f>BX109-BU109</f>
    </oc>
    <nc r="BY109">
      <f>BW109-BR109</f>
    </nc>
    <odxf>
      <border outline="0">
        <top style="medium">
          <color indexed="64"/>
        </top>
      </border>
    </odxf>
    <ndxf>
      <border outline="0">
        <top/>
      </border>
    </ndxf>
  </rcc>
  <rcc rId="43314" sId="5" odxf="1" dxf="1">
    <nc r="BY110">
      <f>BW110-BR110</f>
    </nc>
    <odxf>
      <font>
        <b/>
      </font>
      <numFmt numFmtId="0" formatCode="General"/>
    </odxf>
    <ndxf>
      <font>
        <b val="0"/>
      </font>
      <numFmt numFmtId="165" formatCode="&quot;$&quot;#,##0"/>
    </ndxf>
  </rcc>
  <rcc rId="43315" sId="5" odxf="1" dxf="1">
    <nc r="BY111">
      <f>BW111-BR111</f>
    </nc>
    <odxf>
      <font>
        <b/>
      </font>
      <numFmt numFmtId="0" formatCode="General"/>
    </odxf>
    <ndxf>
      <font>
        <b val="0"/>
      </font>
      <numFmt numFmtId="165" formatCode="&quot;$&quot;#,##0"/>
    </ndxf>
  </rcc>
  <rcc rId="43316" sId="5" odxf="1" dxf="1">
    <nc r="BY112">
      <f>BW112-BR112</f>
    </nc>
    <odxf>
      <font>
        <b/>
      </font>
      <numFmt numFmtId="14" formatCode="0.00%"/>
    </odxf>
    <ndxf>
      <font>
        <b val="0"/>
      </font>
      <numFmt numFmtId="165" formatCode="&quot;$&quot;#,##0"/>
    </ndxf>
  </rcc>
  <rcc rId="43317" sId="5" odxf="1" dxf="1">
    <nc r="BY113">
      <f>BW113-BR113</f>
    </nc>
    <odxf>
      <font>
        <b/>
      </font>
      <numFmt numFmtId="0" formatCode="General"/>
    </odxf>
    <ndxf>
      <font>
        <b val="0"/>
      </font>
      <numFmt numFmtId="165" formatCode="&quot;$&quot;#,##0"/>
    </ndxf>
  </rcc>
  <rcc rId="43318" sId="5" odxf="1" dxf="1">
    <nc r="BY114">
      <f>BW114-BR114</f>
    </nc>
    <odxf>
      <font>
        <b/>
      </font>
      <numFmt numFmtId="0" formatCode="General"/>
    </odxf>
    <ndxf>
      <font>
        <b val="0"/>
      </font>
      <numFmt numFmtId="165" formatCode="&quot;$&quot;#,##0"/>
    </ndxf>
  </rcc>
  <rcc rId="43319" sId="5" odxf="1" dxf="1">
    <nc r="BY115">
      <f>BW115-BR115</f>
    </nc>
    <odxf>
      <font>
        <b/>
      </font>
      <numFmt numFmtId="0" formatCode="General"/>
    </odxf>
    <ndxf>
      <font>
        <b val="0"/>
      </font>
      <numFmt numFmtId="165" formatCode="&quot;$&quot;#,##0"/>
    </ndxf>
  </rcc>
  <rcc rId="43320" sId="5" odxf="1" dxf="1">
    <nc r="BY116">
      <f>BW116-BR116</f>
    </nc>
    <odxf>
      <numFmt numFmtId="0" formatCode="General"/>
    </odxf>
    <ndxf>
      <numFmt numFmtId="165" formatCode="&quot;$&quot;#,##0"/>
    </ndxf>
  </rcc>
  <rcc rId="43321" sId="5" odxf="1" dxf="1">
    <nc r="BY117">
      <f>BW117-BR117</f>
    </nc>
    <odxf>
      <numFmt numFmtId="0" formatCode="General"/>
    </odxf>
    <ndxf>
      <numFmt numFmtId="165" formatCode="&quot;$&quot;#,##0"/>
    </ndxf>
  </rcc>
  <rcc rId="43322" sId="5" odxf="1" dxf="1">
    <nc r="BY118">
      <f>BW118-BR118</f>
    </nc>
    <odxf>
      <numFmt numFmtId="0" formatCode="General"/>
    </odxf>
    <ndxf>
      <numFmt numFmtId="165" formatCode="&quot;$&quot;#,##0"/>
    </ndxf>
  </rcc>
  <rcc rId="43323" sId="5" odxf="1" dxf="1">
    <nc r="BY119">
      <f>BW119-BR119</f>
    </nc>
    <odxf>
      <numFmt numFmtId="0" formatCode="General"/>
      <fill>
        <patternFill patternType="solid">
          <bgColor theme="0" tint="-0.249977111117893"/>
        </patternFill>
      </fill>
    </odxf>
    <ndxf>
      <numFmt numFmtId="165" formatCode="&quot;$&quot;#,##0"/>
      <fill>
        <patternFill patternType="none">
          <bgColor indexed="65"/>
        </patternFill>
      </fill>
    </ndxf>
  </rcc>
  <rcc rId="43324" sId="5">
    <oc r="BY120">
      <f>BX120-BU120</f>
    </oc>
    <nc r="BY120">
      <f>BW120-BR120</f>
    </nc>
  </rcc>
  <rcc rId="43325" sId="5">
    <oc r="BY121">
      <f>BX121-BU121</f>
    </oc>
    <nc r="BY121">
      <f>BW121-BR121</f>
    </nc>
  </rcc>
  <rcc rId="43326" sId="5">
    <oc r="BY122">
      <f>BX122-BU122</f>
    </oc>
    <nc r="BY122">
      <f>BW122-BR122</f>
    </nc>
  </rcc>
  <rcc rId="43327" sId="5">
    <oc r="BY123">
      <f>BX123-BU123</f>
    </oc>
    <nc r="BY123">
      <f>BW123-BR123</f>
    </nc>
  </rcc>
  <rcc rId="43328" sId="5">
    <oc r="BY124">
      <f>BX124-BU124</f>
    </oc>
    <nc r="BY124">
      <f>BW124-BR124</f>
    </nc>
  </rcc>
  <rcc rId="43329" sId="5">
    <oc r="BY125">
      <f>BX125-BU125</f>
    </oc>
    <nc r="BY125">
      <f>BW125-BR125</f>
    </nc>
  </rcc>
  <rcc rId="43330" sId="5">
    <oc r="BY126">
      <f>BX126-BU126</f>
    </oc>
    <nc r="BY126">
      <f>BW126-BR126</f>
    </nc>
  </rcc>
  <rcc rId="43331" sId="5">
    <oc r="BY127">
      <f>BX127-BU127</f>
    </oc>
    <nc r="BY127">
      <f>BW127-BR127</f>
    </nc>
  </rcc>
  <rcc rId="43332" sId="5">
    <oc r="BY128">
      <f>BX128-BU128</f>
    </oc>
    <nc r="BY128">
      <f>BW128-BR128</f>
    </nc>
  </rcc>
  <rcc rId="43333" sId="5">
    <oc r="BY129">
      <f>BX129-BU129</f>
    </oc>
    <nc r="BY129">
      <f>BW129-BR129</f>
    </nc>
  </rcc>
  <rcc rId="43334" sId="5">
    <oc r="BY130">
      <f>BX130-BU130</f>
    </oc>
    <nc r="BY130">
      <f>BW130-BR130</f>
    </nc>
  </rcc>
  <rcc rId="43335" sId="5">
    <oc r="BY131">
      <f>BX131-BU131</f>
    </oc>
    <nc r="BY131">
      <f>BW131-BR131</f>
    </nc>
  </rcc>
  <rcc rId="43336" sId="5">
    <oc r="BY132">
      <f>BX132-BU132</f>
    </oc>
    <nc r="BY132">
      <f>BW132-BR132</f>
    </nc>
  </rcc>
  <rcc rId="43337" sId="5" odxf="1" dxf="1">
    <oc r="BY133">
      <f>BX133-BU133</f>
    </oc>
    <nc r="BY133">
      <f>BW133-BR133</f>
    </nc>
    <odxf>
      <border outline="0">
        <top style="medium">
          <color indexed="64"/>
        </top>
      </border>
    </odxf>
    <ndxf>
      <border outline="0">
        <top/>
      </border>
    </ndxf>
  </rcc>
  <rcc rId="43338" sId="5" odxf="1" dxf="1">
    <nc r="BY134">
      <f>BW134-BR134</f>
    </nc>
    <odxf>
      <font>
        <b/>
      </font>
      <numFmt numFmtId="0" formatCode="General"/>
    </odxf>
    <ndxf>
      <font>
        <b val="0"/>
      </font>
      <numFmt numFmtId="165" formatCode="&quot;$&quot;#,##0"/>
    </ndxf>
  </rcc>
  <rcc rId="43339" sId="5" odxf="1" dxf="1">
    <nc r="BY135">
      <f>BW135-BR135</f>
    </nc>
    <odxf>
      <font>
        <b/>
      </font>
      <numFmt numFmtId="0" formatCode="General"/>
    </odxf>
    <ndxf>
      <font>
        <b val="0"/>
      </font>
      <numFmt numFmtId="165" formatCode="&quot;$&quot;#,##0"/>
    </ndxf>
  </rcc>
  <rcc rId="43340" sId="5" odxf="1" dxf="1">
    <nc r="BY136">
      <f>BW136-BR136</f>
    </nc>
    <odxf>
      <font>
        <b/>
      </font>
      <numFmt numFmtId="14" formatCode="0.00%"/>
    </odxf>
    <ndxf>
      <font>
        <b val="0"/>
      </font>
      <numFmt numFmtId="165" formatCode="&quot;$&quot;#,##0"/>
    </ndxf>
  </rcc>
  <rcc rId="43341" sId="5" odxf="1" dxf="1">
    <nc r="BY137">
      <f>BW137-BR137</f>
    </nc>
    <odxf>
      <numFmt numFmtId="0" formatCode="General"/>
    </odxf>
    <ndxf>
      <numFmt numFmtId="165" formatCode="&quot;$&quot;#,##0"/>
    </ndxf>
  </rcc>
  <rcc rId="43342" sId="5" odxf="1" dxf="1">
    <nc r="BY138">
      <f>BW138-BR138</f>
    </nc>
    <odxf>
      <numFmt numFmtId="0" formatCode="General"/>
    </odxf>
    <ndxf>
      <numFmt numFmtId="165" formatCode="&quot;$&quot;#,##0"/>
    </ndxf>
  </rcc>
  <rcc rId="43343" sId="5" odxf="1" dxf="1">
    <nc r="BY139">
      <f>BW139-BR139</f>
    </nc>
    <odxf>
      <numFmt numFmtId="0" formatCode="General"/>
    </odxf>
    <ndxf>
      <numFmt numFmtId="165" formatCode="&quot;$&quot;#,##0"/>
    </ndxf>
  </rcc>
  <rcc rId="43344" sId="5" odxf="1" dxf="1">
    <nc r="BY140">
      <f>BW140-BR140</f>
    </nc>
    <odxf>
      <numFmt numFmtId="0" formatCode="General"/>
    </odxf>
    <ndxf>
      <numFmt numFmtId="165" formatCode="&quot;$&quot;#,##0"/>
    </ndxf>
  </rcc>
  <rcc rId="43345" sId="5" odxf="1" dxf="1">
    <nc r="BY141">
      <f>BW141-BR141</f>
    </nc>
    <odxf>
      <numFmt numFmtId="0" formatCode="General"/>
    </odxf>
    <ndxf>
      <numFmt numFmtId="165" formatCode="&quot;$&quot;#,##0"/>
    </ndxf>
  </rcc>
  <rcc rId="43346" sId="5" odxf="1" dxf="1">
    <nc r="BY142">
      <f>BW142-BR142</f>
    </nc>
    <odxf>
      <numFmt numFmtId="0" formatCode="General"/>
    </odxf>
    <ndxf>
      <numFmt numFmtId="165" formatCode="&quot;$&quot;#,##0"/>
    </ndxf>
  </rcc>
  <rcc rId="43347" sId="5" odxf="1" dxf="1">
    <nc r="BY143">
      <f>BW143-BR143</f>
    </nc>
    <odxf>
      <numFmt numFmtId="0" formatCode="General"/>
    </odxf>
    <ndxf>
      <numFmt numFmtId="165" formatCode="&quot;$&quot;#,##0"/>
    </ndxf>
  </rcc>
  <rcc rId="43348" sId="5" odxf="1" dxf="1">
    <nc r="BY144">
      <f>BW144-BR144</f>
    </nc>
    <odxf>
      <numFmt numFmtId="0" formatCode="General"/>
    </odxf>
    <ndxf>
      <numFmt numFmtId="165" formatCode="&quot;$&quot;#,##0"/>
    </ndxf>
  </rcc>
  <rcc rId="43349" sId="5" odxf="1" dxf="1">
    <nc r="BY145">
      <f>BW145-BR145</f>
    </nc>
    <odxf>
      <numFmt numFmtId="0" formatCode="General"/>
      <fill>
        <patternFill patternType="solid">
          <bgColor theme="0" tint="-0.249977111117893"/>
        </patternFill>
      </fill>
    </odxf>
    <ndxf>
      <numFmt numFmtId="165" formatCode="&quot;$&quot;#,##0"/>
      <fill>
        <patternFill patternType="none">
          <bgColor indexed="65"/>
        </patternFill>
      </fill>
    </ndxf>
  </rcc>
  <rcc rId="43350" sId="5">
    <oc r="BY146">
      <f>BX146-BU146</f>
    </oc>
    <nc r="BY146">
      <f>BW146-BR146</f>
    </nc>
  </rcc>
  <rcc rId="43351" sId="5">
    <oc r="BY147">
      <f>BX147-BU147</f>
    </oc>
    <nc r="BY147">
      <f>BW147-BR147</f>
    </nc>
  </rcc>
  <rcc rId="43352" sId="5">
    <oc r="BY148">
      <f>BX148-BU148</f>
    </oc>
    <nc r="BY148">
      <f>BW148-BR148</f>
    </nc>
  </rcc>
  <rcc rId="43353" sId="5">
    <oc r="BY149">
      <f>BX149-BU149</f>
    </oc>
    <nc r="BY149">
      <f>BW149-BR149</f>
    </nc>
  </rcc>
  <rcc rId="43354" sId="5">
    <oc r="BY150">
      <f>BX150-BU150</f>
    </oc>
    <nc r="BY150">
      <f>BW150-BR150</f>
    </nc>
  </rcc>
  <rcc rId="43355" sId="5">
    <oc r="BY151">
      <f>BX151-BU151</f>
    </oc>
    <nc r="BY151">
      <f>BW151-BR151</f>
    </nc>
  </rcc>
  <rcc rId="43356" sId="5">
    <oc r="BY152">
      <f>BX152-BU152</f>
    </oc>
    <nc r="BY152">
      <f>BW152-BR152</f>
    </nc>
  </rcc>
  <rcc rId="43357" sId="5">
    <oc r="BY153">
      <f>BX153-BU153</f>
    </oc>
    <nc r="BY153">
      <f>BW153-BR153</f>
    </nc>
  </rcc>
  <rcc rId="43358" sId="5">
    <oc r="BY154">
      <f>BX154-BU154</f>
    </oc>
    <nc r="BY154">
      <f>BW154-BR154</f>
    </nc>
  </rcc>
  <rcc rId="43359" sId="5">
    <oc r="BY155">
      <f>BX155-BU155</f>
    </oc>
    <nc r="BY155">
      <f>BW155-BR155</f>
    </nc>
  </rcc>
  <rcc rId="43360" sId="5">
    <oc r="BY156">
      <f>BX156-BU156</f>
    </oc>
    <nc r="BY156">
      <f>BW156-BR156</f>
    </nc>
  </rcc>
  <rcc rId="43361" sId="5">
    <oc r="BY157">
      <f>BX157-BU157</f>
    </oc>
    <nc r="BY157">
      <f>BW157-BR157</f>
    </nc>
  </rcc>
  <rcc rId="43362" sId="5">
    <oc r="BY158">
      <f>BX158-BU158</f>
    </oc>
    <nc r="BY158">
      <f>BW158-BR158</f>
    </nc>
  </rcc>
  <rcc rId="43363" sId="5">
    <oc r="BY159">
      <f>BX159-BU159</f>
    </oc>
    <nc r="BY159">
      <f>BW159-BR159</f>
    </nc>
  </rcc>
  <rcc rId="43364" sId="5">
    <oc r="BY160">
      <f>BX160-BU160</f>
    </oc>
    <nc r="BY160">
      <f>BW160-BR160</f>
    </nc>
  </rcc>
  <rcc rId="43365" sId="5">
    <oc r="BY161">
      <f>BX161-BU161</f>
    </oc>
    <nc r="BY161">
      <f>BW161-BR161</f>
    </nc>
  </rcc>
  <rcc rId="43366" sId="5">
    <oc r="BY162">
      <f>BX162-BU162</f>
    </oc>
    <nc r="BY162">
      <f>BW162-BR162</f>
    </nc>
  </rcc>
  <rcc rId="43367" sId="5">
    <oc r="BY163">
      <f>BX163-BU163</f>
    </oc>
    <nc r="BY163">
      <f>BW163-BR163</f>
    </nc>
  </rcc>
  <rcc rId="43368" sId="5">
    <oc r="BY164">
      <f>BX164-BU164</f>
    </oc>
    <nc r="BY164">
      <f>BW164-BR164</f>
    </nc>
  </rcc>
  <rcc rId="43369" sId="5" odxf="1" dxf="1">
    <nc r="BY165">
      <f>BW165-BR165</f>
    </nc>
    <odxf>
      <border outline="0">
        <bottom style="thin">
          <color indexed="64"/>
        </bottom>
      </border>
    </odxf>
    <ndxf>
      <border outline="0">
        <bottom/>
      </border>
    </ndxf>
  </rcc>
  <rcc rId="43370" sId="5" odxf="1" dxf="1">
    <oc r="BY166">
      <f>BX166-BU166</f>
    </oc>
    <nc r="BY166">
      <f>BW166-BR166</f>
    </nc>
    <odxf/>
    <ndxf/>
  </rcc>
  <rcc rId="43371" sId="5" odxf="1" dxf="1">
    <nc r="BY167">
      <f>BW167-BR167</f>
    </nc>
    <odxf>
      <font>
        <b/>
      </font>
      <numFmt numFmtId="0" formatCode="General"/>
    </odxf>
    <ndxf>
      <font>
        <b val="0"/>
      </font>
      <numFmt numFmtId="165" formatCode="&quot;$&quot;#,##0"/>
    </ndxf>
  </rcc>
  <rcc rId="43372" sId="5" odxf="1" dxf="1">
    <nc r="BY168">
      <f>BW168-BR168</f>
    </nc>
    <odxf>
      <font>
        <b/>
      </font>
      <numFmt numFmtId="0" formatCode="General"/>
    </odxf>
    <ndxf>
      <font>
        <b val="0"/>
      </font>
      <numFmt numFmtId="165" formatCode="&quot;$&quot;#,##0"/>
    </ndxf>
  </rcc>
  <rcc rId="43373" sId="5" odxf="1" dxf="1">
    <nc r="BY169">
      <f>BW169-BR169</f>
    </nc>
    <odxf>
      <font>
        <b/>
      </font>
      <numFmt numFmtId="14" formatCode="0.00%"/>
    </odxf>
    <ndxf>
      <font>
        <b val="0"/>
      </font>
      <numFmt numFmtId="165" formatCode="&quot;$&quot;#,##0"/>
    </ndxf>
  </rcc>
  <rcc rId="43374" sId="5" odxf="1" dxf="1">
    <nc r="BY170">
      <f>BW170-BR170</f>
    </nc>
    <odxf>
      <font>
        <b/>
      </font>
      <numFmt numFmtId="0" formatCode="General"/>
    </odxf>
    <ndxf>
      <font>
        <b val="0"/>
      </font>
      <numFmt numFmtId="165" formatCode="&quot;$&quot;#,##0"/>
    </ndxf>
  </rcc>
  <rcc rId="43375" sId="5" odxf="1" dxf="1">
    <nc r="BY171">
      <f>BW171-BR171</f>
    </nc>
    <odxf>
      <font>
        <b/>
      </font>
      <numFmt numFmtId="0" formatCode="General"/>
    </odxf>
    <ndxf>
      <font>
        <b val="0"/>
      </font>
      <numFmt numFmtId="165" formatCode="&quot;$&quot;#,##0"/>
    </ndxf>
  </rcc>
  <rcc rId="43376" sId="5" odxf="1" dxf="1">
    <nc r="BY172">
      <f>BW172-BR172</f>
    </nc>
    <odxf>
      <font>
        <b/>
      </font>
      <numFmt numFmtId="0" formatCode="General"/>
    </odxf>
    <ndxf>
      <font>
        <b val="0"/>
      </font>
      <numFmt numFmtId="165" formatCode="&quot;$&quot;#,##0"/>
    </ndxf>
  </rcc>
  <rcc rId="43377" sId="5" odxf="1" dxf="1">
    <nc r="BY173">
      <f>BW173-BR173</f>
    </nc>
    <odxf>
      <font>
        <b/>
      </font>
      <numFmt numFmtId="0" formatCode="General"/>
    </odxf>
    <ndxf>
      <font>
        <b val="0"/>
      </font>
      <numFmt numFmtId="165" formatCode="&quot;$&quot;#,##0"/>
    </ndxf>
  </rcc>
  <rcc rId="43378" sId="5" odxf="1" dxf="1">
    <nc r="BY174">
      <f>BW174-BR174</f>
    </nc>
    <odxf>
      <font>
        <b/>
      </font>
      <numFmt numFmtId="0" formatCode="General"/>
    </odxf>
    <ndxf>
      <font>
        <b val="0"/>
      </font>
      <numFmt numFmtId="165" formatCode="&quot;$&quot;#,##0"/>
    </ndxf>
  </rcc>
  <rcc rId="43379" sId="5" odxf="1" dxf="1">
    <nc r="BY175">
      <f>BW175-BR175</f>
    </nc>
    <odxf>
      <font>
        <b/>
      </font>
      <numFmt numFmtId="0" formatCode="General"/>
    </odxf>
    <ndxf>
      <font>
        <b val="0"/>
      </font>
      <numFmt numFmtId="165" formatCode="&quot;$&quot;#,##0"/>
    </ndxf>
  </rcc>
  <rcc rId="43380" sId="5" odxf="1" dxf="1">
    <nc r="BY176">
      <f>BW176-BR176</f>
    </nc>
    <odxf>
      <numFmt numFmtId="0" formatCode="General"/>
    </odxf>
    <ndxf>
      <numFmt numFmtId="165" formatCode="&quot;$&quot;#,##0"/>
    </ndxf>
  </rcc>
  <rcc rId="43381" sId="5" odxf="1" dxf="1">
    <nc r="BY177">
      <f>BW177-BR177</f>
    </nc>
    <odxf>
      <numFmt numFmtId="0" formatCode="General"/>
    </odxf>
    <ndxf>
      <numFmt numFmtId="165" formatCode="&quot;$&quot;#,##0"/>
    </ndxf>
  </rcc>
  <rcc rId="43382" sId="5" odxf="1" dxf="1">
    <nc r="BY178">
      <f>BW178-BR178</f>
    </nc>
    <odxf>
      <numFmt numFmtId="0" formatCode="General"/>
      <fill>
        <patternFill patternType="solid">
          <bgColor theme="0" tint="-0.249977111117893"/>
        </patternFill>
      </fill>
    </odxf>
    <ndxf>
      <numFmt numFmtId="165" formatCode="&quot;$&quot;#,##0"/>
      <fill>
        <patternFill patternType="none">
          <bgColor indexed="65"/>
        </patternFill>
      </fill>
    </ndxf>
  </rcc>
  <rcc rId="43383" sId="5">
    <oc r="BY179">
      <f>BX179-BU179</f>
    </oc>
    <nc r="BY179">
      <f>BW179-BR179</f>
    </nc>
  </rcc>
  <rcc rId="43384" sId="5">
    <oc r="BY180">
      <f>BX180-BU180</f>
    </oc>
    <nc r="BY180">
      <f>BW180-BR180</f>
    </nc>
  </rcc>
  <rcc rId="43385" sId="5">
    <oc r="BY181">
      <f>BX181-BU181</f>
    </oc>
    <nc r="BY181">
      <f>BW181-BR181</f>
    </nc>
  </rcc>
  <rcc rId="43386" sId="5">
    <oc r="BY182">
      <f>BX182-BU182</f>
    </oc>
    <nc r="BY182">
      <f>BW182-BR182</f>
    </nc>
  </rcc>
  <rcc rId="43387" sId="5">
    <oc r="BY183">
      <f>BX183-BU183</f>
    </oc>
    <nc r="BY183">
      <f>BW183-BR183</f>
    </nc>
  </rcc>
  <rcc rId="43388" sId="5">
    <oc r="BY184">
      <f>BX184-BU184</f>
    </oc>
    <nc r="BY184">
      <f>BW184-BR184</f>
    </nc>
  </rcc>
  <rcc rId="43389" sId="5">
    <oc r="BY185">
      <f>BX185-BU185</f>
    </oc>
    <nc r="BY185">
      <f>BW185-BR185</f>
    </nc>
  </rcc>
  <rcc rId="43390" sId="5">
    <nc r="BY186">
      <f>BW186-BR186</f>
    </nc>
  </rcc>
  <rcc rId="43391" sId="5">
    <oc r="BY187">
      <f>BX187-BU187</f>
    </oc>
    <nc r="BY187">
      <f>BW187-BR187</f>
    </nc>
  </rcc>
  <rcc rId="43392" sId="5" odxf="1" dxf="1">
    <oc r="BY188">
      <f>BX188-BU188</f>
    </oc>
    <nc r="BY188">
      <f>BW188-BR188</f>
    </nc>
    <odxf>
      <border outline="0">
        <top style="medium">
          <color indexed="64"/>
        </top>
      </border>
    </odxf>
    <ndxf>
      <border outline="0">
        <top/>
      </border>
    </ndxf>
  </rcc>
  <rcc rId="43393" sId="5" odxf="1" dxf="1">
    <nc r="BY189">
      <f>BW189-BR189</f>
    </nc>
    <odxf>
      <font>
        <b/>
      </font>
      <numFmt numFmtId="0" formatCode="General"/>
    </odxf>
    <ndxf>
      <font>
        <b val="0"/>
      </font>
      <numFmt numFmtId="165" formatCode="&quot;$&quot;#,##0"/>
    </ndxf>
  </rcc>
  <rcc rId="43394" sId="5" odxf="1" dxf="1">
    <nc r="BY190">
      <f>BW190-BR190</f>
    </nc>
    <odxf>
      <font>
        <b/>
      </font>
      <numFmt numFmtId="14" formatCode="0.00%"/>
    </odxf>
    <ndxf>
      <font>
        <b val="0"/>
      </font>
      <numFmt numFmtId="165" formatCode="&quot;$&quot;#,##0"/>
    </ndxf>
  </rcc>
  <rcc rId="43395" sId="5" odxf="1" dxf="1">
    <nc r="BY191">
      <f>BW191-BR191</f>
    </nc>
    <odxf>
      <numFmt numFmtId="0" formatCode="General"/>
    </odxf>
    <ndxf>
      <numFmt numFmtId="165" formatCode="&quot;$&quot;#,##0"/>
    </ndxf>
  </rcc>
  <rcc rId="43396" sId="5" odxf="1" dxf="1">
    <nc r="BY192">
      <f>BW192-BR192</f>
    </nc>
    <odxf>
      <numFmt numFmtId="0" formatCode="General"/>
    </odxf>
    <ndxf>
      <numFmt numFmtId="165" formatCode="&quot;$&quot;#,##0"/>
    </ndxf>
  </rcc>
  <rcc rId="43397" sId="5" odxf="1" dxf="1">
    <nc r="BY193">
      <f>BW193-BR193</f>
    </nc>
    <odxf>
      <numFmt numFmtId="0" formatCode="General"/>
    </odxf>
    <ndxf>
      <numFmt numFmtId="165" formatCode="&quot;$&quot;#,##0"/>
    </ndxf>
  </rcc>
  <rcc rId="43398" sId="5" odxf="1" dxf="1">
    <nc r="BY194">
      <f>BW194-BR194</f>
    </nc>
    <odxf>
      <numFmt numFmtId="0" formatCode="General"/>
    </odxf>
    <ndxf>
      <numFmt numFmtId="165" formatCode="&quot;$&quot;#,##0"/>
    </ndxf>
  </rcc>
  <rcc rId="43399" sId="5" odxf="1" dxf="1">
    <nc r="BY195">
      <f>BW195-BR195</f>
    </nc>
    <odxf>
      <numFmt numFmtId="0" formatCode="General"/>
    </odxf>
    <ndxf>
      <numFmt numFmtId="165" formatCode="&quot;$&quot;#,##0"/>
    </ndxf>
  </rcc>
  <rcc rId="43400" sId="5" odxf="1" dxf="1">
    <nc r="BY196">
      <f>BW196-BR196</f>
    </nc>
    <odxf>
      <numFmt numFmtId="0" formatCode="General"/>
    </odxf>
    <ndxf>
      <numFmt numFmtId="165" formatCode="&quot;$&quot;#,##0"/>
    </ndxf>
  </rcc>
  <rcc rId="43401" sId="5" odxf="1" dxf="1">
    <nc r="BY197">
      <f>BW197-BR197</f>
    </nc>
    <odxf>
      <numFmt numFmtId="0" formatCode="General"/>
      <fill>
        <patternFill patternType="solid">
          <bgColor theme="0" tint="-0.249977111117893"/>
        </patternFill>
      </fill>
    </odxf>
    <ndxf>
      <numFmt numFmtId="165" formatCode="&quot;$&quot;#,##0"/>
      <fill>
        <patternFill patternType="none">
          <bgColor indexed="65"/>
        </patternFill>
      </fill>
    </ndxf>
  </rcc>
  <rcc rId="43402" sId="5">
    <oc r="BY198">
      <f>BX198-BU198</f>
    </oc>
    <nc r="BY198">
      <f>BW198-BR198</f>
    </nc>
  </rcc>
  <rcc rId="43403" sId="5">
    <oc r="BY199">
      <f>BX199-BU199</f>
    </oc>
    <nc r="BY199">
      <f>BW199-BR199</f>
    </nc>
  </rcc>
  <rcc rId="43404" sId="5">
    <oc r="BY200">
      <f>BX200-BU200</f>
    </oc>
    <nc r="BY200">
      <f>BW200-BR200</f>
    </nc>
  </rcc>
  <rcc rId="43405" sId="5">
    <oc r="BY201">
      <f>BX201-BU201</f>
    </oc>
    <nc r="BY201">
      <f>BW201-BR201</f>
    </nc>
  </rcc>
  <rcc rId="43406" sId="5">
    <oc r="BY202">
      <f>BX202-BU202</f>
    </oc>
    <nc r="BY202">
      <f>BW202-BR202</f>
    </nc>
  </rcc>
  <rcc rId="43407" sId="5">
    <oc r="BY203">
      <f>BX203-BU203</f>
    </oc>
    <nc r="BY203">
      <f>BW203-BR203</f>
    </nc>
  </rcc>
  <rcc rId="43408" sId="5">
    <oc r="BY204">
      <f>BX204-BU204</f>
    </oc>
    <nc r="BY204">
      <f>BW204-BR204</f>
    </nc>
  </rcc>
  <rcc rId="43409" sId="5">
    <oc r="BY205">
      <f>BX205-BU205</f>
    </oc>
    <nc r="BY205">
      <f>BW205-BR205</f>
    </nc>
  </rcc>
  <rcc rId="43410" sId="5">
    <oc r="BY206">
      <f>BX206-BU206</f>
    </oc>
    <nc r="BY206">
      <f>BW206-BR206</f>
    </nc>
  </rcc>
  <rcc rId="43411" sId="5">
    <oc r="BY207">
      <f>BX207-BU207</f>
    </oc>
    <nc r="BY207">
      <f>BW207-BR207</f>
    </nc>
  </rcc>
  <rcc rId="43412" sId="5">
    <oc r="BY208">
      <f>BX208-BU208</f>
    </oc>
    <nc r="BY208">
      <f>BW208-BR208</f>
    </nc>
  </rcc>
  <rcc rId="43413" sId="5">
    <oc r="BY209">
      <f>BX209-BU209</f>
    </oc>
    <nc r="BY209">
      <f>BW209-BR209</f>
    </nc>
  </rcc>
  <rcc rId="43414" sId="5">
    <oc r="BY210">
      <f>BX210-BU210</f>
    </oc>
    <nc r="BY210">
      <f>BW210-BR210</f>
    </nc>
  </rcc>
  <rcc rId="43415" sId="5">
    <oc r="BY211">
      <f>BX211-BU211</f>
    </oc>
    <nc r="BY211">
      <f>BW211-BR211</f>
    </nc>
  </rcc>
  <rcc rId="43416" sId="5">
    <oc r="BY212">
      <f>BX212-BU212</f>
    </oc>
    <nc r="BY212">
      <f>BW212-BR212</f>
    </nc>
  </rcc>
  <rcc rId="43417" sId="5">
    <oc r="BY213">
      <f>BX213-BU213</f>
    </oc>
    <nc r="BY213">
      <f>BW213-BR213</f>
    </nc>
  </rcc>
  <rcc rId="43418" sId="5">
    <oc r="BY214">
      <f>BX214-BU214</f>
    </oc>
    <nc r="BY214">
      <f>BW214-BR214</f>
    </nc>
  </rcc>
  <rcc rId="43419" sId="5">
    <oc r="BY215">
      <f>BX215-BU215</f>
    </oc>
    <nc r="BY215">
      <f>BW215-BR215</f>
    </nc>
  </rcc>
  <rcc rId="43420" sId="5">
    <oc r="BY216">
      <f>BX216-BU216</f>
    </oc>
    <nc r="BY216">
      <f>BW216-BR216</f>
    </nc>
  </rcc>
  <rcc rId="43421" sId="5">
    <oc r="BY217">
      <f>BX217-BU217</f>
    </oc>
    <nc r="BY217">
      <f>BW217-BR217</f>
    </nc>
  </rcc>
  <rcc rId="43422" sId="5">
    <oc r="BY218">
      <f>BX218-BU218</f>
    </oc>
    <nc r="BY218">
      <f>BW218-BR218</f>
    </nc>
  </rcc>
  <rcc rId="43423" sId="5">
    <oc r="BY219">
      <f>BX219-BU219</f>
    </oc>
    <nc r="BY219">
      <f>BW219-BR219</f>
    </nc>
  </rcc>
  <rcc rId="43424" sId="5">
    <oc r="BY220">
      <f>BX220-BU220</f>
    </oc>
    <nc r="BY220">
      <f>BW220-BR220</f>
    </nc>
  </rcc>
  <rcc rId="43425" sId="5">
    <oc r="BY221">
      <f>BX221-BU221</f>
    </oc>
    <nc r="BY221">
      <f>BW221-BR221</f>
    </nc>
  </rcc>
  <rcc rId="43426" sId="5" odxf="1" dxf="1">
    <oc r="BY222">
      <f>BX222-BU222</f>
    </oc>
    <nc r="BY222">
      <f>BW222-BR222</f>
    </nc>
    <odxf>
      <border outline="0">
        <top style="thin">
          <color auto="1"/>
        </top>
      </border>
    </odxf>
    <ndxf>
      <border outline="0">
        <top/>
      </border>
    </ndxf>
  </rcc>
  <rcc rId="43427" sId="5" odxf="1" dxf="1">
    <nc r="BY223">
      <f>BW223-BR223</f>
    </nc>
    <odxf>
      <font>
        <b/>
      </font>
      <numFmt numFmtId="0" formatCode="General"/>
    </odxf>
    <ndxf>
      <font>
        <b val="0"/>
      </font>
      <numFmt numFmtId="165" formatCode="&quot;$&quot;#,##0"/>
    </ndxf>
  </rcc>
  <rcc rId="43428" sId="5" odxf="1" dxf="1">
    <nc r="BY224">
      <f>BW224-BR224</f>
    </nc>
    <odxf>
      <font>
        <b/>
      </font>
      <numFmt numFmtId="14" formatCode="0.00%"/>
    </odxf>
    <ndxf>
      <font>
        <b val="0"/>
      </font>
      <numFmt numFmtId="165" formatCode="&quot;$&quot;#,##0"/>
    </ndxf>
  </rcc>
  <rcc rId="43429" sId="5" odxf="1" dxf="1">
    <nc r="BY225">
      <f>BW225-BR225</f>
    </nc>
    <odxf>
      <numFmt numFmtId="0" formatCode="General"/>
    </odxf>
    <ndxf>
      <numFmt numFmtId="165" formatCode="&quot;$&quot;#,##0"/>
    </ndxf>
  </rcc>
  <rcc rId="43430" sId="5" odxf="1" dxf="1">
    <nc r="BY226">
      <f>BW226-BR226</f>
    </nc>
    <odxf>
      <numFmt numFmtId="0" formatCode="General"/>
    </odxf>
    <ndxf>
      <numFmt numFmtId="165" formatCode="&quot;$&quot;#,##0"/>
    </ndxf>
  </rcc>
  <rcc rId="43431" sId="5" odxf="1" dxf="1">
    <nc r="BY227">
      <f>BW227-BR227</f>
    </nc>
    <odxf>
      <numFmt numFmtId="0" formatCode="General"/>
      <border outline="0">
        <bottom style="medium">
          <color indexed="64"/>
        </bottom>
      </border>
    </odxf>
    <ndxf>
      <numFmt numFmtId="165" formatCode="&quot;$&quot;#,##0"/>
      <border outline="0">
        <bottom/>
      </border>
    </ndxf>
  </rcc>
  <rcc rId="43432" sId="5" odxf="1" dxf="1">
    <nc r="BY228">
      <f>BW228-BR228</f>
    </nc>
    <odxf>
      <numFmt numFmtId="0" formatCode="General"/>
    </odxf>
    <ndxf>
      <numFmt numFmtId="165" formatCode="&quot;$&quot;#,##0"/>
    </ndxf>
  </rcc>
  <rcc rId="43433" sId="5" odxf="1" dxf="1">
    <nc r="BY229">
      <f>BW229-BR229</f>
    </nc>
    <odxf>
      <numFmt numFmtId="0" formatCode="General"/>
    </odxf>
    <ndxf>
      <numFmt numFmtId="165" formatCode="&quot;$&quot;#,##0"/>
    </ndxf>
  </rcc>
  <rcc rId="43434" sId="5" odxf="1" dxf="1">
    <nc r="BY230">
      <f>BW230-BR230</f>
    </nc>
    <odxf>
      <numFmt numFmtId="0" formatCode="General"/>
    </odxf>
    <ndxf>
      <numFmt numFmtId="165" formatCode="&quot;$&quot;#,##0"/>
    </ndxf>
  </rcc>
  <rcc rId="43435" sId="5" odxf="1" dxf="1">
    <nc r="BY231">
      <f>BW231-BR231</f>
    </nc>
    <odxf>
      <numFmt numFmtId="0" formatCode="General"/>
    </odxf>
    <ndxf>
      <numFmt numFmtId="165" formatCode="&quot;$&quot;#,##0"/>
    </ndxf>
  </rcc>
  <rcc rId="43436" sId="5" odxf="1" dxf="1">
    <nc r="BY232">
      <f>BW232-BR232</f>
    </nc>
    <odxf>
      <numFmt numFmtId="0" formatCode="General"/>
    </odxf>
    <ndxf>
      <numFmt numFmtId="165" formatCode="&quot;$&quot;#,##0"/>
    </ndxf>
  </rcc>
  <rcc rId="43437" sId="5" odxf="1" dxf="1">
    <nc r="BY233">
      <f>BW233-BR233</f>
    </nc>
    <odxf>
      <numFmt numFmtId="0" formatCode="General"/>
    </odxf>
    <ndxf>
      <numFmt numFmtId="165" formatCode="&quot;$&quot;#,##0"/>
    </ndxf>
  </rcc>
  <rcc rId="43438" sId="5" odxf="1" dxf="1">
    <nc r="BY234">
      <f>BW234-BR234</f>
    </nc>
    <odxf>
      <numFmt numFmtId="0" formatCode="General"/>
    </odxf>
    <ndxf>
      <numFmt numFmtId="165" formatCode="&quot;$&quot;#,##0"/>
    </ndxf>
  </rcc>
  <rcc rId="43439" sId="5" odxf="1" dxf="1">
    <nc r="BY235">
      <f>BW235-BR235</f>
    </nc>
    <odxf>
      <numFmt numFmtId="0" formatCode="General"/>
    </odxf>
    <ndxf>
      <numFmt numFmtId="165" formatCode="&quot;$&quot;#,##0"/>
    </ndxf>
  </rcc>
  <rcc rId="43440" sId="5" odxf="1" dxf="1">
    <nc r="BY236">
      <f>BW236-BR236</f>
    </nc>
    <odxf>
      <numFmt numFmtId="0" formatCode="General"/>
    </odxf>
    <ndxf>
      <numFmt numFmtId="165" formatCode="&quot;$&quot;#,##0"/>
    </ndxf>
  </rcc>
  <rcc rId="43441" sId="5" odxf="1" dxf="1">
    <nc r="BY237">
      <f>BW237-BR237</f>
    </nc>
    <odxf>
      <numFmt numFmtId="0" formatCode="General"/>
    </odxf>
    <ndxf>
      <numFmt numFmtId="165" formatCode="&quot;$&quot;#,##0"/>
    </ndxf>
  </rcc>
  <rcc rId="43442" sId="5" odxf="1" dxf="1">
    <nc r="BY238">
      <f>BW238-BR238</f>
    </nc>
    <odxf>
      <numFmt numFmtId="0" formatCode="General"/>
    </odxf>
    <ndxf>
      <numFmt numFmtId="165" formatCode="&quot;$&quot;#,##0"/>
    </ndxf>
  </rcc>
  <rcc rId="43443" sId="5" odxf="1" dxf="1">
    <nc r="BY239">
      <f>BW239-BR239</f>
    </nc>
    <odxf>
      <numFmt numFmtId="0" formatCode="General"/>
    </odxf>
    <ndxf>
      <numFmt numFmtId="165" formatCode="&quot;$&quot;#,##0"/>
    </ndxf>
  </rcc>
  <rcc rId="43444" sId="5" odxf="1" dxf="1">
    <nc r="BY240">
      <f>BW240-BR240</f>
    </nc>
    <odxf>
      <numFmt numFmtId="0" formatCode="General"/>
    </odxf>
    <ndxf>
      <numFmt numFmtId="165" formatCode="&quot;$&quot;#,##0"/>
    </ndxf>
  </rcc>
  <rcc rId="43445" sId="5" odxf="1" dxf="1">
    <nc r="BY241">
      <f>BW241-BR241</f>
    </nc>
    <odxf>
      <numFmt numFmtId="0" formatCode="General"/>
    </odxf>
    <ndxf>
      <numFmt numFmtId="165" formatCode="&quot;$&quot;#,##0"/>
    </ndxf>
  </rcc>
  <rcc rId="43446" sId="5" odxf="1" dxf="1">
    <nc r="BY242">
      <f>BW242-BR242</f>
    </nc>
    <odxf>
      <numFmt numFmtId="0" formatCode="General"/>
    </odxf>
    <ndxf>
      <numFmt numFmtId="165" formatCode="&quot;$&quot;#,##0"/>
    </ndxf>
  </rcc>
  <rcc rId="43447" sId="5" odxf="1" dxf="1">
    <nc r="BY243">
      <f>BW243-BR243</f>
    </nc>
    <odxf>
      <numFmt numFmtId="0" formatCode="General"/>
    </odxf>
    <ndxf>
      <numFmt numFmtId="165" formatCode="&quot;$&quot;#,##0"/>
    </ndxf>
  </rcc>
  <rcc rId="43448" sId="5" odxf="1" dxf="1">
    <oc r="BY244">
      <f>BX244-BU244</f>
    </oc>
    <nc r="BY244">
      <f>BW244-BR244</f>
    </nc>
    <odxf>
      <fill>
        <patternFill patternType="solid">
          <bgColor theme="0" tint="-0.249977111117893"/>
        </patternFill>
      </fill>
    </odxf>
    <ndxf>
      <fill>
        <patternFill patternType="none">
          <bgColor indexed="65"/>
        </patternFill>
      </fill>
    </ndxf>
  </rcc>
  <rcc rId="43449" sId="5" odxf="1" dxf="1">
    <nc r="BY245">
      <f>BW245-BR245</f>
    </nc>
    <odxf>
      <numFmt numFmtId="0" formatCode="General"/>
    </odxf>
    <ndxf>
      <numFmt numFmtId="165" formatCode="&quot;$&quot;#,##0"/>
    </ndxf>
  </rcc>
  <rcc rId="43450" sId="5">
    <oc r="BY7">
      <f>BX7-BU7</f>
    </oc>
    <nc r="BY7">
      <f>BW7-BR7</f>
    </nc>
  </rcc>
  <rcc rId="43451" sId="5">
    <oc r="BZ7">
      <f>BY7/BU7</f>
    </oc>
    <nc r="BZ7">
      <f>BY7/BR7</f>
    </nc>
  </rcc>
  <rcc rId="43452" sId="5">
    <oc r="BZ8">
      <f>BY8/BU8</f>
    </oc>
    <nc r="BZ8">
      <f>BY8/BR8</f>
    </nc>
  </rcc>
  <rcc rId="43453" sId="5">
    <oc r="BZ9">
      <f>BY9/BU9</f>
    </oc>
    <nc r="BZ9">
      <f>BY9/BR9</f>
    </nc>
  </rcc>
  <rcc rId="43454" sId="5">
    <oc r="BZ10">
      <f>BY10/BU10</f>
    </oc>
    <nc r="BZ10">
      <f>BY10/BR10</f>
    </nc>
  </rcc>
  <rcc rId="43455" sId="5">
    <oc r="BZ11">
      <f>BY11/BU11</f>
    </oc>
    <nc r="BZ11">
      <f>BY11/BR11</f>
    </nc>
  </rcc>
  <rcc rId="43456" sId="5">
    <oc r="BZ12">
      <f>BY12/BU12</f>
    </oc>
    <nc r="BZ12">
      <f>BY12/BR12</f>
    </nc>
  </rcc>
  <rcc rId="43457" sId="5">
    <oc r="BZ13">
      <f>BY13/BU13</f>
    </oc>
    <nc r="BZ13">
      <f>BY13/BR13</f>
    </nc>
  </rcc>
  <rcc rId="43458" sId="5">
    <oc r="BZ14">
      <f>BY14/BU14</f>
    </oc>
    <nc r="BZ14">
      <f>BY14/BR14</f>
    </nc>
  </rcc>
  <rcc rId="43459" sId="5">
    <oc r="BZ15">
      <f>BY15/BU15</f>
    </oc>
    <nc r="BZ15">
      <f>BY15/BR15</f>
    </nc>
  </rcc>
  <rcc rId="43460" sId="5">
    <oc r="BZ16">
      <f>BY16/BU16</f>
    </oc>
    <nc r="BZ16">
      <f>BY16/BR16</f>
    </nc>
  </rcc>
  <rcc rId="43461" sId="5">
    <oc r="BZ17">
      <f>BY17/BU17</f>
    </oc>
    <nc r="BZ17">
      <f>BY17/BR17</f>
    </nc>
  </rcc>
  <rcc rId="43462" sId="5">
    <oc r="BZ18">
      <f>BY18/BU18</f>
    </oc>
    <nc r="BZ18">
      <f>BY18/BR18</f>
    </nc>
  </rcc>
  <rcc rId="43463" sId="5">
    <oc r="BZ19">
      <f>BY19/BU19</f>
    </oc>
    <nc r="BZ19">
      <f>BY19/BR19</f>
    </nc>
  </rcc>
  <rcc rId="43464" sId="5">
    <oc r="BZ20">
      <f>BY20/BU20</f>
    </oc>
    <nc r="BZ20">
      <f>BY20/BR20</f>
    </nc>
  </rcc>
  <rcc rId="43465" sId="5">
    <oc r="BZ21">
      <f>BY21/BU21</f>
    </oc>
    <nc r="BZ21">
      <f>BY21/BR21</f>
    </nc>
  </rcc>
  <rcc rId="43466" sId="5">
    <oc r="BZ22">
      <f>BY22/BU22</f>
    </oc>
    <nc r="BZ22">
      <f>BY22/BR22</f>
    </nc>
  </rcc>
  <rcc rId="43467" sId="5">
    <oc r="BZ23">
      <f>BY23/BU23</f>
    </oc>
    <nc r="BZ23">
      <f>BY23/BR23</f>
    </nc>
  </rcc>
  <rcc rId="43468" sId="5">
    <oc r="BZ24">
      <f>BY24/BU24</f>
    </oc>
    <nc r="BZ24">
      <f>BY24/BR24</f>
    </nc>
  </rcc>
  <rcc rId="43469" sId="5">
    <oc r="BZ25">
      <f>BY25/BU25</f>
    </oc>
    <nc r="BZ25">
      <f>BY25/BR25</f>
    </nc>
  </rcc>
  <rcc rId="43470" sId="5">
    <oc r="BZ26">
      <f>BY26/BU26</f>
    </oc>
    <nc r="BZ26">
      <f>BY26/BR26</f>
    </nc>
  </rcc>
  <rcc rId="43471" sId="5">
    <oc r="BZ27">
      <f>BY27/BU27</f>
    </oc>
    <nc r="BZ27">
      <f>BY27/BR27</f>
    </nc>
  </rcc>
  <rcc rId="43472" sId="5">
    <oc r="BZ28">
      <f>BY28/BU28</f>
    </oc>
    <nc r="BZ28">
      <f>BY28/BR28</f>
    </nc>
  </rcc>
  <rcc rId="43473" sId="5">
    <oc r="BZ29">
      <f>BY29/BU29</f>
    </oc>
    <nc r="BZ29">
      <f>BY29/BR29</f>
    </nc>
  </rcc>
  <rcc rId="43474" sId="5">
    <oc r="BZ30">
      <f>BY30/BU30</f>
    </oc>
    <nc r="BZ30">
      <f>BY30/BR30</f>
    </nc>
  </rcc>
  <rcc rId="43475" sId="5">
    <oc r="BZ31">
      <f>BY31/BU31</f>
    </oc>
    <nc r="BZ31">
      <f>BY31/BR31</f>
    </nc>
  </rcc>
  <rcc rId="43476" sId="5">
    <oc r="BZ32">
      <f>BY32/BU32</f>
    </oc>
    <nc r="BZ32">
      <f>BY32/BR32</f>
    </nc>
  </rcc>
  <rcc rId="43477" sId="5">
    <oc r="BZ33">
      <f>BY33/BU33</f>
    </oc>
    <nc r="BZ33">
      <f>BY33/BR33</f>
    </nc>
  </rcc>
  <rcc rId="43478" sId="5">
    <oc r="BZ34">
      <f>BY34/BU34</f>
    </oc>
    <nc r="BZ34">
      <f>BY34/BR34</f>
    </nc>
  </rcc>
  <rcc rId="43479" sId="5">
    <oc r="BZ35">
      <f>BY35/BU35</f>
    </oc>
    <nc r="BZ35">
      <f>BY35/BR35</f>
    </nc>
  </rcc>
  <rcc rId="43480" sId="5">
    <oc r="BZ36">
      <f>BY36/BU36</f>
    </oc>
    <nc r="BZ36">
      <f>BY36/BR36</f>
    </nc>
  </rcc>
  <rcc rId="43481" sId="5">
    <oc r="BZ37">
      <f>BY37/BU37</f>
    </oc>
    <nc r="BZ37">
      <f>BY37/BR37</f>
    </nc>
  </rcc>
  <rcc rId="43482" sId="5">
    <oc r="BZ38">
      <f>BY38/BU38</f>
    </oc>
    <nc r="BZ38">
      <f>BY38/BR38</f>
    </nc>
  </rcc>
  <rcc rId="43483" sId="5">
    <oc r="BZ39">
      <f>BY39/BU39</f>
    </oc>
    <nc r="BZ39">
      <f>BY39/BR39</f>
    </nc>
  </rcc>
  <rcc rId="43484" sId="5">
    <oc r="BZ40">
      <f>BY40/BU40</f>
    </oc>
    <nc r="BZ40">
      <f>BY40/BR40</f>
    </nc>
  </rcc>
  <rcc rId="43485" sId="5" odxf="1" dxf="1">
    <oc r="BZ41">
      <f>BY41/BU41</f>
    </oc>
    <nc r="BZ41">
      <f>BY41/BR41</f>
    </nc>
    <odxf>
      <border outline="0">
        <top style="medium">
          <color indexed="64"/>
        </top>
      </border>
    </odxf>
    <ndxf>
      <border outline="0">
        <top/>
      </border>
    </ndxf>
  </rcc>
  <rcc rId="43486" sId="5" odxf="1" dxf="1">
    <nc r="BZ42">
      <f>BY42/BR42</f>
    </nc>
    <odxf>
      <font>
        <b/>
      </font>
      <numFmt numFmtId="0" formatCode="General"/>
    </odxf>
    <ndxf>
      <font>
        <b val="0"/>
      </font>
      <numFmt numFmtId="14" formatCode="0.00%"/>
    </ndxf>
  </rcc>
  <rcc rId="43487" sId="5" odxf="1" dxf="1">
    <nc r="BZ43">
      <f>BY43/BR43</f>
    </nc>
    <odxf>
      <font>
        <b/>
      </font>
      <numFmt numFmtId="0" formatCode="General"/>
    </odxf>
    <ndxf>
      <font>
        <b val="0"/>
      </font>
      <numFmt numFmtId="14" formatCode="0.00%"/>
    </ndxf>
  </rcc>
  <rcc rId="43488" sId="5" odxf="1" dxf="1">
    <nc r="BZ44">
      <f>BY44/BR44</f>
    </nc>
    <odxf>
      <font>
        <b/>
      </font>
      <numFmt numFmtId="0" formatCode="General"/>
    </odxf>
    <ndxf>
      <font>
        <b val="0"/>
      </font>
      <numFmt numFmtId="14" formatCode="0.00%"/>
    </ndxf>
  </rcc>
  <rcc rId="43489" sId="5" odxf="1" dxf="1">
    <nc r="BZ45">
      <f>BY45/BR45</f>
    </nc>
    <odxf>
      <font>
        <b/>
      </font>
      <numFmt numFmtId="0" formatCode="General"/>
    </odxf>
    <ndxf>
      <font>
        <b val="0"/>
      </font>
      <numFmt numFmtId="14" formatCode="0.00%"/>
    </ndxf>
  </rcc>
  <rcc rId="43490" sId="5" odxf="1" dxf="1">
    <nc r="BZ46">
      <f>BY46/BR46</f>
    </nc>
    <odxf>
      <font>
        <b/>
      </font>
      <numFmt numFmtId="0" formatCode="General"/>
    </odxf>
    <ndxf>
      <font>
        <b val="0"/>
      </font>
      <numFmt numFmtId="14" formatCode="0.00%"/>
    </ndxf>
  </rcc>
  <rcc rId="43491" sId="5" odxf="1" dxf="1">
    <nc r="BZ47">
      <f>BY47/BR47</f>
    </nc>
    <odxf>
      <font>
        <b/>
      </font>
      <numFmt numFmtId="0" formatCode="General"/>
    </odxf>
    <ndxf>
      <font>
        <b val="0"/>
      </font>
      <numFmt numFmtId="14" formatCode="0.00%"/>
    </ndxf>
  </rcc>
  <rcc rId="43492" sId="5" odxf="1" dxf="1">
    <nc r="BZ48">
      <f>BY48/BR48</f>
    </nc>
    <odxf>
      <numFmt numFmtId="0" formatCode="General"/>
    </odxf>
    <ndxf>
      <numFmt numFmtId="14" formatCode="0.00%"/>
    </ndxf>
  </rcc>
  <rcc rId="43493" sId="5" odxf="1" dxf="1">
    <nc r="BZ49">
      <f>BY49/BR49</f>
    </nc>
    <odxf>
      <numFmt numFmtId="0" formatCode="General"/>
    </odxf>
    <ndxf>
      <numFmt numFmtId="14" formatCode="0.00%"/>
    </ndxf>
  </rcc>
  <rcc rId="43494" sId="5" odxf="1" dxf="1">
    <nc r="BZ50">
      <f>BY50/BR50</f>
    </nc>
    <odxf>
      <numFmt numFmtId="0" formatCode="General"/>
      <fill>
        <patternFill patternType="solid">
          <bgColor theme="0" tint="-0.249977111117893"/>
        </patternFill>
      </fill>
    </odxf>
    <ndxf>
      <numFmt numFmtId="14" formatCode="0.00%"/>
      <fill>
        <patternFill patternType="none">
          <bgColor indexed="65"/>
        </patternFill>
      </fill>
    </ndxf>
  </rcc>
  <rcc rId="43495" sId="5">
    <oc r="BZ51">
      <f>BY51/BU51</f>
    </oc>
    <nc r="BZ51">
      <f>BY51/BR51</f>
    </nc>
  </rcc>
  <rcc rId="43496" sId="5">
    <oc r="BZ52">
      <f>BY52/BU52</f>
    </oc>
    <nc r="BZ52">
      <f>BY52/BR52</f>
    </nc>
  </rcc>
  <rcc rId="43497" sId="5">
    <oc r="BZ53">
      <f>BY53/BU53</f>
    </oc>
    <nc r="BZ53">
      <f>BY53/BR53</f>
    </nc>
  </rcc>
  <rcc rId="43498" sId="5">
    <oc r="BZ54">
      <f>BY54/BU54</f>
    </oc>
    <nc r="BZ54">
      <f>BY54/BR54</f>
    </nc>
  </rcc>
  <rcc rId="43499" sId="5">
    <oc r="BZ55">
      <f>BY55/BU55</f>
    </oc>
    <nc r="BZ55">
      <f>BY55/BR55</f>
    </nc>
  </rcc>
  <rcc rId="43500" sId="5">
    <oc r="BZ56">
      <f>BY56/BU56</f>
    </oc>
    <nc r="BZ56">
      <f>BY56/BR56</f>
    </nc>
  </rcc>
  <rcc rId="43501" sId="5">
    <oc r="BZ57">
      <f>BY57/BU57</f>
    </oc>
    <nc r="BZ57">
      <f>BY57/BR57</f>
    </nc>
  </rcc>
  <rcc rId="43502" sId="5">
    <oc r="BZ58">
      <f>BY58/BU58</f>
    </oc>
    <nc r="BZ58">
      <f>BY58/BR58</f>
    </nc>
  </rcc>
  <rcc rId="43503" sId="5">
    <oc r="BZ59">
      <f>BY59/BU59</f>
    </oc>
    <nc r="BZ59">
      <f>BY59/BR59</f>
    </nc>
  </rcc>
  <rcc rId="43504" sId="5">
    <oc r="BZ60">
      <f>BY60/BU60</f>
    </oc>
    <nc r="BZ60">
      <f>BY60/BR60</f>
    </nc>
  </rcc>
  <rcc rId="43505" sId="5">
    <oc r="BZ61">
      <f>BY61/BU61</f>
    </oc>
    <nc r="BZ61">
      <f>BY61/BR61</f>
    </nc>
  </rcc>
  <rcc rId="43506" sId="5">
    <oc r="BZ62">
      <f>BY62/BU62</f>
    </oc>
    <nc r="BZ62">
      <f>BY62/BR62</f>
    </nc>
  </rcc>
  <rcc rId="43507" sId="5">
    <oc r="BZ63">
      <f>BY63/BU63</f>
    </oc>
    <nc r="BZ63">
      <f>BY63/BR63</f>
    </nc>
  </rcc>
  <rcc rId="43508" sId="5">
    <oc r="BZ64">
      <f>BY64/BU64</f>
    </oc>
    <nc r="BZ64">
      <f>BY64/BR64</f>
    </nc>
  </rcc>
  <rcc rId="43509" sId="5">
    <oc r="BZ65">
      <f>BY65/BU65</f>
    </oc>
    <nc r="BZ65">
      <f>BY65/BR65</f>
    </nc>
  </rcc>
  <rcc rId="43510" sId="5">
    <oc r="BZ66">
      <f>BY66/BU66</f>
    </oc>
    <nc r="BZ66">
      <f>BY66/BR66</f>
    </nc>
  </rcc>
  <rcc rId="43511" sId="5">
    <oc r="BZ67">
      <f>BY67/BU67</f>
    </oc>
    <nc r="BZ67">
      <f>BY67/BR67</f>
    </nc>
  </rcc>
  <rcc rId="43512" sId="5">
    <oc r="BZ68">
      <f>BY68/BU68</f>
    </oc>
    <nc r="BZ68">
      <f>BY68/BR68</f>
    </nc>
  </rcc>
  <rcc rId="43513" sId="5">
    <oc r="BZ69">
      <f>BY69/BU69</f>
    </oc>
    <nc r="BZ69">
      <f>BY69/BR69</f>
    </nc>
  </rcc>
  <rcc rId="43514" sId="5">
    <oc r="BZ70">
      <f>BY70/BU70</f>
    </oc>
    <nc r="BZ70">
      <f>BY70/BR70</f>
    </nc>
  </rcc>
  <rcc rId="43515" sId="5">
    <oc r="BZ71">
      <f>BY71/BU71</f>
    </oc>
    <nc r="BZ71">
      <f>BY71/BR71</f>
    </nc>
  </rcc>
  <rcc rId="43516" sId="5">
    <oc r="BZ72">
      <f>BY72/BU72</f>
    </oc>
    <nc r="BZ72">
      <f>BY72/BR72</f>
    </nc>
  </rcc>
  <rcc rId="43517" sId="5">
    <oc r="BZ73">
      <f>BY73/BU73</f>
    </oc>
    <nc r="BZ73">
      <f>BY73/BR73</f>
    </nc>
  </rcc>
  <rcc rId="43518" sId="5" odxf="1" dxf="1">
    <oc r="BZ74">
      <f>BY74/BU74</f>
    </oc>
    <nc r="BZ74">
      <f>BY74/BR74</f>
    </nc>
    <odxf>
      <border outline="0">
        <top style="medium">
          <color indexed="64"/>
        </top>
      </border>
    </odxf>
    <ndxf>
      <border outline="0">
        <top/>
      </border>
    </ndxf>
  </rcc>
  <rcc rId="43519" sId="5" odxf="1" dxf="1">
    <nc r="BZ75">
      <f>BY75/BR75</f>
    </nc>
    <odxf>
      <font>
        <b/>
      </font>
      <numFmt numFmtId="0" formatCode="General"/>
    </odxf>
    <ndxf>
      <font>
        <b val="0"/>
      </font>
      <numFmt numFmtId="14" formatCode="0.00%"/>
    </ndxf>
  </rcc>
  <rcc rId="43520" sId="5" odxf="1" dxf="1">
    <nc r="BZ76">
      <f>BY76/BR76</f>
    </nc>
    <odxf>
      <font>
        <b/>
      </font>
      <numFmt numFmtId="0" formatCode="General"/>
    </odxf>
    <ndxf>
      <font>
        <b val="0"/>
      </font>
      <numFmt numFmtId="14" formatCode="0.00%"/>
    </ndxf>
  </rcc>
  <rcc rId="43521" sId="5" odxf="1" dxf="1">
    <nc r="BZ77">
      <f>BY77/BR77</f>
    </nc>
    <odxf>
      <font>
        <b/>
      </font>
      <numFmt numFmtId="0" formatCode="General"/>
    </odxf>
    <ndxf>
      <font>
        <b val="0"/>
      </font>
      <numFmt numFmtId="14" formatCode="0.00%"/>
    </ndxf>
  </rcc>
  <rcc rId="43522" sId="5" odxf="1" dxf="1">
    <nc r="BZ78">
      <f>BY78/BR78</f>
    </nc>
    <odxf>
      <font>
        <b/>
      </font>
      <numFmt numFmtId="0" formatCode="General"/>
    </odxf>
    <ndxf>
      <font>
        <b val="0"/>
      </font>
      <numFmt numFmtId="14" formatCode="0.00%"/>
    </ndxf>
  </rcc>
  <rcc rId="43523" sId="5" odxf="1" dxf="1">
    <nc r="BZ79">
      <f>BY79/BR79</f>
    </nc>
    <odxf>
      <font>
        <b/>
      </font>
      <numFmt numFmtId="0" formatCode="General"/>
    </odxf>
    <ndxf>
      <font>
        <b val="0"/>
      </font>
      <numFmt numFmtId="14" formatCode="0.00%"/>
    </ndxf>
  </rcc>
  <rcc rId="43524" sId="5" odxf="1" dxf="1">
    <nc r="BZ80">
      <f>BY80/BR80</f>
    </nc>
    <odxf>
      <font>
        <b/>
      </font>
      <numFmt numFmtId="0" formatCode="General"/>
    </odxf>
    <ndxf>
      <font>
        <b val="0"/>
      </font>
      <numFmt numFmtId="14" formatCode="0.00%"/>
    </ndxf>
  </rcc>
  <rcc rId="43525" sId="5" odxf="1" dxf="1">
    <nc r="BZ81">
      <f>BY81/BR81</f>
    </nc>
    <odxf>
      <font>
        <b/>
      </font>
      <numFmt numFmtId="0" formatCode="General"/>
    </odxf>
    <ndxf>
      <font>
        <b val="0"/>
      </font>
      <numFmt numFmtId="14" formatCode="0.00%"/>
    </ndxf>
  </rcc>
  <rcc rId="43526" sId="5" odxf="1" dxf="1">
    <nc r="BZ82">
      <f>BY82/BR82</f>
    </nc>
    <odxf>
      <font>
        <b/>
      </font>
      <numFmt numFmtId="0" formatCode="General"/>
    </odxf>
    <ndxf>
      <font>
        <b val="0"/>
      </font>
      <numFmt numFmtId="14" formatCode="0.00%"/>
    </ndxf>
  </rcc>
  <rcc rId="43527" sId="5" odxf="1" dxf="1">
    <nc r="BZ83">
      <f>BY83/BR83</f>
    </nc>
    <odxf>
      <numFmt numFmtId="0" formatCode="General"/>
    </odxf>
    <ndxf>
      <numFmt numFmtId="14" formatCode="0.00%"/>
    </ndxf>
  </rcc>
  <rcc rId="43528" sId="5" odxf="1" dxf="1">
    <nc r="BZ84">
      <f>BY84/BR84</f>
    </nc>
    <odxf>
      <numFmt numFmtId="0" formatCode="General"/>
      <fill>
        <patternFill patternType="solid">
          <bgColor theme="0" tint="-0.249977111117893"/>
        </patternFill>
      </fill>
    </odxf>
    <ndxf>
      <numFmt numFmtId="14" formatCode="0.00%"/>
      <fill>
        <patternFill patternType="none">
          <bgColor indexed="65"/>
        </patternFill>
      </fill>
    </ndxf>
  </rcc>
  <rcc rId="43529" sId="5">
    <oc r="BZ85">
      <f>BY85/BU85</f>
    </oc>
    <nc r="BZ85">
      <f>BY85/BR85</f>
    </nc>
  </rcc>
  <rcc rId="43530" sId="5">
    <oc r="BZ86">
      <f>BY86/BU86</f>
    </oc>
    <nc r="BZ86">
      <f>BY86/BR86</f>
    </nc>
  </rcc>
  <rcc rId="43531" sId="5">
    <oc r="BZ87">
      <f>BY87/BU87</f>
    </oc>
    <nc r="BZ87">
      <f>BY87/BR87</f>
    </nc>
  </rcc>
  <rcc rId="43532" sId="5">
    <oc r="BZ88">
      <f>BY88/BU88</f>
    </oc>
    <nc r="BZ88">
      <f>BY88/BR88</f>
    </nc>
  </rcc>
  <rcc rId="43533" sId="5">
    <oc r="BZ89">
      <f>BY89/BU89</f>
    </oc>
    <nc r="BZ89">
      <f>BY89/BR89</f>
    </nc>
  </rcc>
  <rcc rId="43534" sId="5">
    <oc r="BZ90">
      <f>BY90/BU90</f>
    </oc>
    <nc r="BZ90">
      <f>BY90/BR90</f>
    </nc>
  </rcc>
  <rcc rId="43535" sId="5">
    <oc r="BZ91">
      <f>BY91/BU91</f>
    </oc>
    <nc r="BZ91">
      <f>BY91/BR91</f>
    </nc>
  </rcc>
  <rcc rId="43536" sId="5">
    <oc r="BZ92">
      <f>BY92/BU92</f>
    </oc>
    <nc r="BZ92">
      <f>BY92/BR92</f>
    </nc>
  </rcc>
  <rcc rId="43537" sId="5">
    <oc r="BZ93">
      <f>BY93/BU93</f>
    </oc>
    <nc r="BZ93">
      <f>BY93/BR93</f>
    </nc>
  </rcc>
  <rcc rId="43538" sId="5">
    <oc r="BZ94">
      <f>BY94/BU94</f>
    </oc>
    <nc r="BZ94">
      <f>BY94/BR94</f>
    </nc>
  </rcc>
  <rcc rId="43539" sId="5">
    <oc r="BZ95">
      <f>BY95/BU95</f>
    </oc>
    <nc r="BZ95">
      <f>BY95/BR95</f>
    </nc>
  </rcc>
  <rcc rId="43540" sId="5">
    <oc r="BZ96">
      <f>BY96/BU96</f>
    </oc>
    <nc r="BZ96">
      <f>BY96/BR96</f>
    </nc>
  </rcc>
  <rcc rId="43541" sId="5">
    <oc r="BZ97">
      <f>BY97/BU97</f>
    </oc>
    <nc r="BZ97">
      <f>BY97/BR97</f>
    </nc>
  </rcc>
  <rcc rId="43542" sId="5">
    <oc r="BZ98">
      <f>BY98/BU98</f>
    </oc>
    <nc r="BZ98">
      <f>BY98/BR98</f>
    </nc>
  </rcc>
  <rcc rId="43543" sId="5">
    <oc r="BZ99">
      <f>BY99/BU99</f>
    </oc>
    <nc r="BZ99">
      <f>BY99/BR99</f>
    </nc>
  </rcc>
  <rcc rId="43544" sId="5">
    <oc r="BZ100">
      <f>BY100/BU100</f>
    </oc>
    <nc r="BZ100">
      <f>BY100/BR100</f>
    </nc>
  </rcc>
  <rcc rId="43545" sId="5">
    <oc r="BZ101">
      <f>BY101/BU101</f>
    </oc>
    <nc r="BZ101">
      <f>BY101/BR101</f>
    </nc>
  </rcc>
  <rcc rId="43546" sId="5">
    <oc r="BZ102">
      <f>BY102/BU102</f>
    </oc>
    <nc r="BZ102">
      <f>BY102/BR102</f>
    </nc>
  </rcc>
  <rcc rId="43547" sId="5">
    <oc r="BZ103">
      <f>BY103/BU103</f>
    </oc>
    <nc r="BZ103">
      <f>BY103/BR103</f>
    </nc>
  </rcc>
  <rcc rId="43548" sId="5">
    <oc r="BZ104">
      <f>BY104/BU104</f>
    </oc>
    <nc r="BZ104">
      <f>BY104/BR104</f>
    </nc>
  </rcc>
  <rcc rId="43549" sId="5">
    <oc r="BZ105">
      <f>BY105/BU105</f>
    </oc>
    <nc r="BZ105">
      <f>BY105/BR105</f>
    </nc>
  </rcc>
  <rcc rId="43550" sId="5">
    <oc r="BZ106">
      <f>BY106/BU106</f>
    </oc>
    <nc r="BZ106">
      <f>BY106/BR106</f>
    </nc>
  </rcc>
  <rcc rId="43551" sId="5">
    <nc r="BZ107">
      <f>BY107/BR107</f>
    </nc>
  </rcc>
  <rcc rId="43552" sId="5">
    <oc r="BZ108">
      <f>BY108/BU108</f>
    </oc>
    <nc r="BZ108">
      <f>BY108/BR108</f>
    </nc>
  </rcc>
  <rcc rId="43553" sId="5" odxf="1" dxf="1">
    <oc r="BZ109">
      <f>BY109/BU109</f>
    </oc>
    <nc r="BZ109">
      <f>BY109/BR109</f>
    </nc>
    <odxf>
      <border outline="0">
        <top style="medium">
          <color indexed="64"/>
        </top>
      </border>
    </odxf>
    <ndxf>
      <border outline="0">
        <top/>
      </border>
    </ndxf>
  </rcc>
  <rcc rId="43554" sId="5" odxf="1" dxf="1">
    <nc r="BZ110">
      <f>BY110/BR110</f>
    </nc>
    <odxf>
      <font>
        <b/>
      </font>
      <numFmt numFmtId="0" formatCode="General"/>
    </odxf>
    <ndxf>
      <font>
        <b val="0"/>
      </font>
      <numFmt numFmtId="14" formatCode="0.00%"/>
    </ndxf>
  </rcc>
  <rcc rId="43555" sId="5" odxf="1" dxf="1">
    <nc r="BZ111">
      <f>BY111/BR111</f>
    </nc>
    <odxf>
      <font>
        <b/>
      </font>
      <numFmt numFmtId="0" formatCode="General"/>
    </odxf>
    <ndxf>
      <font>
        <b val="0"/>
      </font>
      <numFmt numFmtId="14" formatCode="0.00%"/>
    </ndxf>
  </rcc>
  <rcc rId="43556" sId="5" odxf="1" dxf="1">
    <nc r="BZ112">
      <f>BY112/BR112</f>
    </nc>
    <odxf>
      <font>
        <b/>
      </font>
      <numFmt numFmtId="0" formatCode="General"/>
    </odxf>
    <ndxf>
      <font>
        <b val="0"/>
      </font>
      <numFmt numFmtId="14" formatCode="0.00%"/>
    </ndxf>
  </rcc>
  <rcc rId="43557" sId="5" odxf="1" dxf="1">
    <nc r="BZ113">
      <f>BY113/BR113</f>
    </nc>
    <odxf>
      <font>
        <b/>
      </font>
      <numFmt numFmtId="0" formatCode="General"/>
    </odxf>
    <ndxf>
      <font>
        <b val="0"/>
      </font>
      <numFmt numFmtId="14" formatCode="0.00%"/>
    </ndxf>
  </rcc>
  <rcc rId="43558" sId="5" odxf="1" dxf="1">
    <nc r="BZ114">
      <f>BY114/BR114</f>
    </nc>
    <odxf>
      <font>
        <b/>
      </font>
      <numFmt numFmtId="0" formatCode="General"/>
    </odxf>
    <ndxf>
      <font>
        <b val="0"/>
      </font>
      <numFmt numFmtId="14" formatCode="0.00%"/>
    </ndxf>
  </rcc>
  <rcc rId="43559" sId="5" odxf="1" dxf="1">
    <nc r="BZ115">
      <f>BY115/BR115</f>
    </nc>
    <odxf>
      <font>
        <b/>
      </font>
      <numFmt numFmtId="0" formatCode="General"/>
    </odxf>
    <ndxf>
      <font>
        <b val="0"/>
      </font>
      <numFmt numFmtId="14" formatCode="0.00%"/>
    </ndxf>
  </rcc>
  <rcc rId="43560" sId="5" odxf="1" dxf="1">
    <nc r="BZ116">
      <f>BY116/BR116</f>
    </nc>
    <odxf>
      <numFmt numFmtId="0" formatCode="General"/>
    </odxf>
    <ndxf>
      <numFmt numFmtId="14" formatCode="0.00%"/>
    </ndxf>
  </rcc>
  <rcc rId="43561" sId="5" odxf="1" dxf="1">
    <nc r="BZ117">
      <f>BY117/BR117</f>
    </nc>
    <odxf>
      <numFmt numFmtId="0" formatCode="General"/>
    </odxf>
    <ndxf>
      <numFmt numFmtId="14" formatCode="0.00%"/>
    </ndxf>
  </rcc>
  <rcc rId="43562" sId="5" odxf="1" dxf="1">
    <nc r="BZ118">
      <f>BY118/BR118</f>
    </nc>
    <odxf>
      <numFmt numFmtId="0" formatCode="General"/>
    </odxf>
    <ndxf>
      <numFmt numFmtId="14" formatCode="0.00%"/>
    </ndxf>
  </rcc>
  <rcc rId="43563" sId="5" odxf="1" dxf="1">
    <nc r="BZ119">
      <f>BY119/BR119</f>
    </nc>
    <odxf>
      <numFmt numFmtId="0" formatCode="General"/>
      <fill>
        <patternFill patternType="solid">
          <bgColor theme="0" tint="-0.249977111117893"/>
        </patternFill>
      </fill>
    </odxf>
    <ndxf>
      <numFmt numFmtId="14" formatCode="0.00%"/>
      <fill>
        <patternFill patternType="none">
          <bgColor indexed="65"/>
        </patternFill>
      </fill>
    </ndxf>
  </rcc>
  <rcc rId="43564" sId="5">
    <oc r="BZ120">
      <f>BY120/BU120</f>
    </oc>
    <nc r="BZ120">
      <f>BY120/BR120</f>
    </nc>
  </rcc>
  <rcc rId="43565" sId="5">
    <oc r="BZ121">
      <f>BY121/BU121</f>
    </oc>
    <nc r="BZ121">
      <f>BY121/BR121</f>
    </nc>
  </rcc>
  <rcc rId="43566" sId="5">
    <oc r="BZ122">
      <f>BY122/BU122</f>
    </oc>
    <nc r="BZ122">
      <f>BY122/BR122</f>
    </nc>
  </rcc>
  <rcc rId="43567" sId="5">
    <oc r="BZ123">
      <f>BY123/BU123</f>
    </oc>
    <nc r="BZ123">
      <f>BY123/BR123</f>
    </nc>
  </rcc>
  <rcc rId="43568" sId="5">
    <oc r="BZ124">
      <f>BY124/BU124</f>
    </oc>
    <nc r="BZ124">
      <f>BY124/BR124</f>
    </nc>
  </rcc>
  <rcc rId="43569" sId="5">
    <oc r="BZ125">
      <f>BY125/BU125</f>
    </oc>
    <nc r="BZ125">
      <f>BY125/BR125</f>
    </nc>
  </rcc>
  <rcc rId="43570" sId="5">
    <oc r="BZ126">
      <f>BY126/BU126</f>
    </oc>
    <nc r="BZ126">
      <f>BY126/BR126</f>
    </nc>
  </rcc>
  <rcc rId="43571" sId="5">
    <oc r="BZ127">
      <f>BY127/BU127</f>
    </oc>
    <nc r="BZ127">
      <f>BY127/BR127</f>
    </nc>
  </rcc>
  <rcc rId="43572" sId="5">
    <oc r="BZ128">
      <f>BY128/BU128</f>
    </oc>
    <nc r="BZ128">
      <f>BY128/BR128</f>
    </nc>
  </rcc>
  <rcc rId="43573" sId="5">
    <oc r="BZ129">
      <f>BY129/BU129</f>
    </oc>
    <nc r="BZ129">
      <f>BY129/BR129</f>
    </nc>
  </rcc>
  <rcc rId="43574" sId="5">
    <oc r="BZ130">
      <f>BY130/BU130</f>
    </oc>
    <nc r="BZ130">
      <f>BY130/BR130</f>
    </nc>
  </rcc>
  <rcc rId="43575" sId="5">
    <oc r="BZ131">
      <f>BY131/BU131</f>
    </oc>
    <nc r="BZ131">
      <f>BY131/BR131</f>
    </nc>
  </rcc>
  <rcc rId="43576" sId="5">
    <oc r="BZ132">
      <f>BY132/BU132</f>
    </oc>
    <nc r="BZ132">
      <f>BY132/BR132</f>
    </nc>
  </rcc>
  <rcc rId="43577" sId="5" odxf="1" dxf="1">
    <oc r="BZ133">
      <f>BY133/BU133</f>
    </oc>
    <nc r="BZ133">
      <f>BY133/BR133</f>
    </nc>
    <odxf>
      <border outline="0">
        <top style="medium">
          <color indexed="64"/>
        </top>
      </border>
    </odxf>
    <ndxf>
      <border outline="0">
        <top/>
      </border>
    </ndxf>
  </rcc>
  <rcc rId="43578" sId="5" odxf="1" dxf="1">
    <nc r="BZ134">
      <f>BY134/BR134</f>
    </nc>
    <odxf>
      <font>
        <b/>
      </font>
      <numFmt numFmtId="0" formatCode="General"/>
    </odxf>
    <ndxf>
      <font>
        <b val="0"/>
      </font>
      <numFmt numFmtId="14" formatCode="0.00%"/>
    </ndxf>
  </rcc>
  <rcc rId="43579" sId="5" odxf="1" dxf="1">
    <nc r="BZ135">
      <f>BY135/BR135</f>
    </nc>
    <odxf>
      <font>
        <b/>
      </font>
      <numFmt numFmtId="0" formatCode="General"/>
    </odxf>
    <ndxf>
      <font>
        <b val="0"/>
      </font>
      <numFmt numFmtId="14" formatCode="0.00%"/>
    </ndxf>
  </rcc>
  <rcc rId="43580" sId="5" odxf="1" dxf="1">
    <nc r="BZ136">
      <f>BY136/BR136</f>
    </nc>
    <odxf>
      <font>
        <b/>
      </font>
      <numFmt numFmtId="0" formatCode="General"/>
    </odxf>
    <ndxf>
      <font>
        <b val="0"/>
      </font>
      <numFmt numFmtId="14" formatCode="0.00%"/>
    </ndxf>
  </rcc>
  <rcc rId="43581" sId="5" odxf="1" dxf="1">
    <nc r="BZ137">
      <f>BY137/BR137</f>
    </nc>
    <odxf>
      <numFmt numFmtId="0" formatCode="General"/>
    </odxf>
    <ndxf>
      <numFmt numFmtId="14" formatCode="0.00%"/>
    </ndxf>
  </rcc>
  <rcc rId="43582" sId="5" odxf="1" dxf="1">
    <nc r="BZ138">
      <f>BY138/BR138</f>
    </nc>
    <odxf>
      <numFmt numFmtId="0" formatCode="General"/>
    </odxf>
    <ndxf>
      <numFmt numFmtId="14" formatCode="0.00%"/>
    </ndxf>
  </rcc>
  <rcc rId="43583" sId="5" odxf="1" dxf="1">
    <nc r="BZ139">
      <f>BY139/BR139</f>
    </nc>
    <odxf>
      <numFmt numFmtId="0" formatCode="General"/>
    </odxf>
    <ndxf>
      <numFmt numFmtId="14" formatCode="0.00%"/>
    </ndxf>
  </rcc>
  <rcc rId="43584" sId="5" odxf="1" dxf="1">
    <nc r="BZ140">
      <f>BY140/BR140</f>
    </nc>
    <odxf>
      <numFmt numFmtId="0" formatCode="General"/>
    </odxf>
    <ndxf>
      <numFmt numFmtId="14" formatCode="0.00%"/>
    </ndxf>
  </rcc>
  <rcc rId="43585" sId="5" odxf="1" dxf="1">
    <nc r="BZ141">
      <f>BY141/BR141</f>
    </nc>
    <odxf>
      <numFmt numFmtId="0" formatCode="General"/>
    </odxf>
    <ndxf>
      <numFmt numFmtId="14" formatCode="0.00%"/>
    </ndxf>
  </rcc>
  <rcc rId="43586" sId="5" odxf="1" dxf="1">
    <nc r="BZ142">
      <f>BY142/BR142</f>
    </nc>
    <odxf>
      <numFmt numFmtId="0" formatCode="General"/>
    </odxf>
    <ndxf>
      <numFmt numFmtId="14" formatCode="0.00%"/>
    </ndxf>
  </rcc>
  <rcc rId="43587" sId="5" odxf="1" dxf="1">
    <nc r="BZ143">
      <f>BY143/BR143</f>
    </nc>
    <odxf>
      <numFmt numFmtId="0" formatCode="General"/>
    </odxf>
    <ndxf>
      <numFmt numFmtId="14" formatCode="0.00%"/>
    </ndxf>
  </rcc>
  <rcc rId="43588" sId="5" odxf="1" dxf="1">
    <nc r="BZ144">
      <f>BY144/BR144</f>
    </nc>
    <odxf>
      <numFmt numFmtId="0" formatCode="General"/>
    </odxf>
    <ndxf>
      <numFmt numFmtId="14" formatCode="0.00%"/>
    </ndxf>
  </rcc>
  <rcc rId="43589" sId="5" odxf="1" dxf="1">
    <nc r="BZ145">
      <f>BY145/BR145</f>
    </nc>
    <odxf>
      <numFmt numFmtId="0" formatCode="General"/>
      <fill>
        <patternFill patternType="solid">
          <bgColor theme="0" tint="-0.249977111117893"/>
        </patternFill>
      </fill>
    </odxf>
    <ndxf>
      <numFmt numFmtId="14" formatCode="0.00%"/>
      <fill>
        <patternFill patternType="none">
          <bgColor indexed="65"/>
        </patternFill>
      </fill>
    </ndxf>
  </rcc>
  <rcc rId="43590" sId="5">
    <oc r="BZ146">
      <f>BY146/BU146</f>
    </oc>
    <nc r="BZ146">
      <f>BY146/BR146</f>
    </nc>
  </rcc>
  <rcc rId="43591" sId="5">
    <oc r="BZ147">
      <f>BY147/BU147</f>
    </oc>
    <nc r="BZ147">
      <f>BY147/BR147</f>
    </nc>
  </rcc>
  <rcc rId="43592" sId="5">
    <oc r="BZ148">
      <f>BY148/BU148</f>
    </oc>
    <nc r="BZ148">
      <f>BY148/BR148</f>
    </nc>
  </rcc>
  <rcc rId="43593" sId="5">
    <oc r="BZ149">
      <f>BY149/BU149</f>
    </oc>
    <nc r="BZ149">
      <f>BY149/BR149</f>
    </nc>
  </rcc>
  <rcc rId="43594" sId="5">
    <oc r="BZ150">
      <f>BY150/BU150</f>
    </oc>
    <nc r="BZ150">
      <f>BY150/BR150</f>
    </nc>
  </rcc>
  <rcc rId="43595" sId="5">
    <oc r="BZ151">
      <f>BY151/BU151</f>
    </oc>
    <nc r="BZ151">
      <f>BY151/BR151</f>
    </nc>
  </rcc>
  <rcc rId="43596" sId="5">
    <oc r="BZ152">
      <f>BY152/BU152</f>
    </oc>
    <nc r="BZ152">
      <f>BY152/BR152</f>
    </nc>
  </rcc>
  <rcc rId="43597" sId="5">
    <oc r="BZ153">
      <f>BY153/BU153</f>
    </oc>
    <nc r="BZ153">
      <f>BY153/BR153</f>
    </nc>
  </rcc>
  <rcc rId="43598" sId="5">
    <oc r="BZ154">
      <f>BY154/BU154</f>
    </oc>
    <nc r="BZ154">
      <f>BY154/BR154</f>
    </nc>
  </rcc>
  <rcc rId="43599" sId="5">
    <oc r="BZ155">
      <f>BY155/BU155</f>
    </oc>
    <nc r="BZ155">
      <f>BY155/BR155</f>
    </nc>
  </rcc>
  <rcc rId="43600" sId="5">
    <oc r="BZ156">
      <f>BY156/BU156</f>
    </oc>
    <nc r="BZ156">
      <f>BY156/BR156</f>
    </nc>
  </rcc>
  <rcc rId="43601" sId="5">
    <oc r="BZ157">
      <f>BY157/BU157</f>
    </oc>
    <nc r="BZ157">
      <f>BY157/BR157</f>
    </nc>
  </rcc>
  <rcc rId="43602" sId="5">
    <oc r="BZ158">
      <f>BY158/BU158</f>
    </oc>
    <nc r="BZ158">
      <f>BY158/BR158</f>
    </nc>
  </rcc>
  <rcc rId="43603" sId="5">
    <oc r="BZ159">
      <f>BY159/BU159</f>
    </oc>
    <nc r="BZ159">
      <f>BY159/BR159</f>
    </nc>
  </rcc>
  <rcc rId="43604" sId="5">
    <oc r="BZ160">
      <f>BY160/BU160</f>
    </oc>
    <nc r="BZ160">
      <f>BY160/BR160</f>
    </nc>
  </rcc>
  <rcc rId="43605" sId="5">
    <oc r="BZ161">
      <f>BY161/BU161</f>
    </oc>
    <nc r="BZ161">
      <f>BY161/BR161</f>
    </nc>
  </rcc>
  <rcc rId="43606" sId="5">
    <oc r="BZ162">
      <f>BY162/BU162</f>
    </oc>
    <nc r="BZ162">
      <f>BY162/BR162</f>
    </nc>
  </rcc>
  <rcc rId="43607" sId="5">
    <oc r="BZ163">
      <f>BY163/BU163</f>
    </oc>
    <nc r="BZ163">
      <f>BY163/BR163</f>
    </nc>
  </rcc>
  <rcc rId="43608" sId="5">
    <oc r="BZ164">
      <f>BY164/BU164</f>
    </oc>
    <nc r="BZ164">
      <f>BY164/BR164</f>
    </nc>
  </rcc>
  <rcc rId="43609" sId="5" odxf="1" dxf="1">
    <nc r="BZ165">
      <f>BY165/BR165</f>
    </nc>
    <odxf>
      <border outline="0">
        <bottom style="thin">
          <color indexed="64"/>
        </bottom>
      </border>
    </odxf>
    <ndxf>
      <border outline="0">
        <bottom/>
      </border>
    </ndxf>
  </rcc>
  <rcc rId="43610" sId="5" odxf="1" dxf="1">
    <oc r="BZ166">
      <f>BY166/BU166</f>
    </oc>
    <nc r="BZ166">
      <f>BY166/BR166</f>
    </nc>
    <odxf/>
    <ndxf/>
  </rcc>
  <rcc rId="43611" sId="5" odxf="1" dxf="1">
    <nc r="BZ167">
      <f>BY167/BR167</f>
    </nc>
    <odxf>
      <font>
        <b/>
      </font>
      <numFmt numFmtId="0" formatCode="General"/>
    </odxf>
    <ndxf>
      <font>
        <b val="0"/>
      </font>
      <numFmt numFmtId="14" formatCode="0.00%"/>
    </ndxf>
  </rcc>
  <rcc rId="43612" sId="5" odxf="1" dxf="1">
    <nc r="BZ168">
      <f>BY168/BR168</f>
    </nc>
    <odxf>
      <font>
        <b/>
      </font>
      <numFmt numFmtId="0" formatCode="General"/>
    </odxf>
    <ndxf>
      <font>
        <b val="0"/>
      </font>
      <numFmt numFmtId="14" formatCode="0.00%"/>
    </ndxf>
  </rcc>
  <rcc rId="43613" sId="5" odxf="1" dxf="1">
    <nc r="BZ169">
      <f>BY169/BR169</f>
    </nc>
    <odxf>
      <font>
        <b/>
      </font>
      <numFmt numFmtId="0" formatCode="General"/>
    </odxf>
    <ndxf>
      <font>
        <b val="0"/>
      </font>
      <numFmt numFmtId="14" formatCode="0.00%"/>
    </ndxf>
  </rcc>
  <rcc rId="43614" sId="5" odxf="1" dxf="1">
    <nc r="BZ170">
      <f>BY170/BR170</f>
    </nc>
    <odxf>
      <font>
        <b/>
      </font>
      <numFmt numFmtId="0" formatCode="General"/>
    </odxf>
    <ndxf>
      <font>
        <b val="0"/>
      </font>
      <numFmt numFmtId="14" formatCode="0.00%"/>
    </ndxf>
  </rcc>
  <rcc rId="43615" sId="5" odxf="1" dxf="1">
    <nc r="BZ171">
      <f>BY171/BR171</f>
    </nc>
    <odxf>
      <font>
        <b/>
      </font>
      <numFmt numFmtId="0" formatCode="General"/>
    </odxf>
    <ndxf>
      <font>
        <b val="0"/>
      </font>
      <numFmt numFmtId="14" formatCode="0.00%"/>
    </ndxf>
  </rcc>
  <rcc rId="43616" sId="5" odxf="1" dxf="1">
    <nc r="BZ172">
      <f>BY172/BR172</f>
    </nc>
    <odxf>
      <font>
        <b/>
      </font>
      <numFmt numFmtId="0" formatCode="General"/>
    </odxf>
    <ndxf>
      <font>
        <b val="0"/>
      </font>
      <numFmt numFmtId="14" formatCode="0.00%"/>
    </ndxf>
  </rcc>
  <rcc rId="43617" sId="5" odxf="1" dxf="1">
    <nc r="BZ173">
      <f>BY173/BR173</f>
    </nc>
    <odxf>
      <font>
        <b/>
      </font>
      <numFmt numFmtId="0" formatCode="General"/>
    </odxf>
    <ndxf>
      <font>
        <b val="0"/>
      </font>
      <numFmt numFmtId="14" formatCode="0.00%"/>
    </ndxf>
  </rcc>
  <rcc rId="43618" sId="5" odxf="1" dxf="1">
    <nc r="BZ174">
      <f>BY174/BR174</f>
    </nc>
    <odxf>
      <font>
        <b/>
      </font>
      <numFmt numFmtId="0" formatCode="General"/>
    </odxf>
    <ndxf>
      <font>
        <b val="0"/>
      </font>
      <numFmt numFmtId="14" formatCode="0.00%"/>
    </ndxf>
  </rcc>
  <rcc rId="43619" sId="5" odxf="1" dxf="1">
    <nc r="BZ175">
      <f>BY175/BR175</f>
    </nc>
    <odxf>
      <font>
        <b/>
      </font>
      <numFmt numFmtId="0" formatCode="General"/>
    </odxf>
    <ndxf>
      <font>
        <b val="0"/>
      </font>
      <numFmt numFmtId="14" formatCode="0.00%"/>
    </ndxf>
  </rcc>
  <rcc rId="43620" sId="5" odxf="1" dxf="1">
    <nc r="BZ176">
      <f>BY176/BR176</f>
    </nc>
    <odxf>
      <numFmt numFmtId="0" formatCode="General"/>
    </odxf>
    <ndxf>
      <numFmt numFmtId="14" formatCode="0.00%"/>
    </ndxf>
  </rcc>
  <rcc rId="43621" sId="5" odxf="1" dxf="1">
    <nc r="BZ177">
      <f>BY177/BR177</f>
    </nc>
    <odxf>
      <numFmt numFmtId="0" formatCode="General"/>
    </odxf>
    <ndxf>
      <numFmt numFmtId="14" formatCode="0.00%"/>
    </ndxf>
  </rcc>
  <rcc rId="43622" sId="5" odxf="1" dxf="1">
    <nc r="BZ178">
      <f>BY178/BR178</f>
    </nc>
    <odxf>
      <numFmt numFmtId="0" formatCode="General"/>
      <fill>
        <patternFill patternType="solid">
          <bgColor theme="0" tint="-0.249977111117893"/>
        </patternFill>
      </fill>
    </odxf>
    <ndxf>
      <numFmt numFmtId="14" formatCode="0.00%"/>
      <fill>
        <patternFill patternType="none">
          <bgColor indexed="65"/>
        </patternFill>
      </fill>
    </ndxf>
  </rcc>
  <rcc rId="43623" sId="5">
    <oc r="BZ179">
      <f>BY179/BU179</f>
    </oc>
    <nc r="BZ179">
      <f>BY179/BR179</f>
    </nc>
  </rcc>
  <rcc rId="43624" sId="5">
    <oc r="BZ180">
      <f>BY180/BU180</f>
    </oc>
    <nc r="BZ180">
      <f>BY180/BR180</f>
    </nc>
  </rcc>
  <rcc rId="43625" sId="5">
    <oc r="BZ181">
      <f>BY181/BU181</f>
    </oc>
    <nc r="BZ181">
      <f>BY181/BR181</f>
    </nc>
  </rcc>
  <rcc rId="43626" sId="5">
    <oc r="BZ182">
      <f>BY182/BU182</f>
    </oc>
    <nc r="BZ182">
      <f>BY182/BR182</f>
    </nc>
  </rcc>
  <rcc rId="43627" sId="5">
    <oc r="BZ183">
      <f>BY183/BU183</f>
    </oc>
    <nc r="BZ183">
      <f>BY183/BR183</f>
    </nc>
  </rcc>
  <rcc rId="43628" sId="5">
    <oc r="BZ184">
      <f>BY184/BU184</f>
    </oc>
    <nc r="BZ184">
      <f>BY184/BR184</f>
    </nc>
  </rcc>
  <rcc rId="43629" sId="5">
    <oc r="BZ185">
      <f>BY185/BU185</f>
    </oc>
    <nc r="BZ185">
      <f>BY185/BR185</f>
    </nc>
  </rcc>
  <rcc rId="43630" sId="5">
    <nc r="BZ186">
      <f>BY186/BR186</f>
    </nc>
  </rcc>
  <rcc rId="43631" sId="5">
    <oc r="BZ187">
      <f>BY187/BU187</f>
    </oc>
    <nc r="BZ187">
      <f>BY187/BR187</f>
    </nc>
  </rcc>
  <rcc rId="43632" sId="5" odxf="1" dxf="1">
    <oc r="BZ188">
      <f>BY188/BU188</f>
    </oc>
    <nc r="BZ188">
      <f>BY188/BR188</f>
    </nc>
    <odxf>
      <border outline="0">
        <top style="medium">
          <color indexed="64"/>
        </top>
      </border>
    </odxf>
    <ndxf>
      <border outline="0">
        <top/>
      </border>
    </ndxf>
  </rcc>
  <rcc rId="43633" sId="5" odxf="1" dxf="1">
    <nc r="BZ189">
      <f>BY189/BR189</f>
    </nc>
    <odxf>
      <font>
        <b/>
      </font>
      <numFmt numFmtId="0" formatCode="General"/>
    </odxf>
    <ndxf>
      <font>
        <b val="0"/>
      </font>
      <numFmt numFmtId="14" formatCode="0.00%"/>
    </ndxf>
  </rcc>
  <rcc rId="43634" sId="5" odxf="1" dxf="1">
    <nc r="BZ190">
      <f>BY190/BR190</f>
    </nc>
    <odxf>
      <font>
        <b/>
      </font>
      <numFmt numFmtId="0" formatCode="General"/>
    </odxf>
    <ndxf>
      <font>
        <b val="0"/>
      </font>
      <numFmt numFmtId="14" formatCode="0.00%"/>
    </ndxf>
  </rcc>
  <rcc rId="43635" sId="5" odxf="1" dxf="1">
    <nc r="BZ191">
      <f>BY191/BR191</f>
    </nc>
    <odxf>
      <numFmt numFmtId="0" formatCode="General"/>
    </odxf>
    <ndxf>
      <numFmt numFmtId="14" formatCode="0.00%"/>
    </ndxf>
  </rcc>
  <rcc rId="43636" sId="5" odxf="1" dxf="1">
    <nc r="BZ192">
      <f>BY192/BR192</f>
    </nc>
    <odxf>
      <numFmt numFmtId="0" formatCode="General"/>
    </odxf>
    <ndxf>
      <numFmt numFmtId="14" formatCode="0.00%"/>
    </ndxf>
  </rcc>
  <rcc rId="43637" sId="5" odxf="1" dxf="1">
    <nc r="BZ193">
      <f>BY193/BR193</f>
    </nc>
    <odxf>
      <numFmt numFmtId="0" formatCode="General"/>
    </odxf>
    <ndxf>
      <numFmt numFmtId="14" formatCode="0.00%"/>
    </ndxf>
  </rcc>
  <rcc rId="43638" sId="5" odxf="1" dxf="1">
    <nc r="BZ194">
      <f>BY194/BR194</f>
    </nc>
    <odxf>
      <numFmt numFmtId="0" formatCode="General"/>
    </odxf>
    <ndxf>
      <numFmt numFmtId="14" formatCode="0.00%"/>
    </ndxf>
  </rcc>
  <rcc rId="43639" sId="5" odxf="1" dxf="1">
    <nc r="BZ195">
      <f>BY195/BR195</f>
    </nc>
    <odxf>
      <numFmt numFmtId="0" formatCode="General"/>
    </odxf>
    <ndxf>
      <numFmt numFmtId="14" formatCode="0.00%"/>
    </ndxf>
  </rcc>
  <rcc rId="43640" sId="5" odxf="1" dxf="1">
    <nc r="BZ196">
      <f>BY196/BR196</f>
    </nc>
    <odxf>
      <numFmt numFmtId="0" formatCode="General"/>
    </odxf>
    <ndxf>
      <numFmt numFmtId="14" formatCode="0.00%"/>
    </ndxf>
  </rcc>
  <rcc rId="43641" sId="5" odxf="1" dxf="1">
    <nc r="BZ197">
      <f>BY197/BR197</f>
    </nc>
    <odxf>
      <numFmt numFmtId="0" formatCode="General"/>
      <fill>
        <patternFill patternType="solid">
          <bgColor theme="0" tint="-0.249977111117893"/>
        </patternFill>
      </fill>
    </odxf>
    <ndxf>
      <numFmt numFmtId="14" formatCode="0.00%"/>
      <fill>
        <patternFill patternType="none">
          <bgColor indexed="65"/>
        </patternFill>
      </fill>
    </ndxf>
  </rcc>
  <rcc rId="43642" sId="5">
    <oc r="BZ198">
      <f>BY198/BU198</f>
    </oc>
    <nc r="BZ198">
      <f>BY198/BR198</f>
    </nc>
  </rcc>
  <rcc rId="43643" sId="5">
    <oc r="BZ199">
      <f>BY199/BU199</f>
    </oc>
    <nc r="BZ199">
      <f>BY199/BR199</f>
    </nc>
  </rcc>
  <rcc rId="43644" sId="5">
    <oc r="BZ200">
      <f>BY200/BU200</f>
    </oc>
    <nc r="BZ200">
      <f>BY200/BR200</f>
    </nc>
  </rcc>
  <rcc rId="43645" sId="5">
    <oc r="BZ201">
      <f>BY201/BU201</f>
    </oc>
    <nc r="BZ201">
      <f>BY201/BR201</f>
    </nc>
  </rcc>
  <rcc rId="43646" sId="5">
    <oc r="BZ202">
      <f>BY202/BU202</f>
    </oc>
    <nc r="BZ202">
      <f>BY202/BR202</f>
    </nc>
  </rcc>
  <rcc rId="43647" sId="5">
    <oc r="BZ203">
      <f>BY203/BU203</f>
    </oc>
    <nc r="BZ203">
      <f>BY203/BR203</f>
    </nc>
  </rcc>
  <rcc rId="43648" sId="5">
    <oc r="BZ204">
      <f>BY204/BU204</f>
    </oc>
    <nc r="BZ204">
      <f>BY204/BR204</f>
    </nc>
  </rcc>
  <rcc rId="43649" sId="5">
    <oc r="BZ205">
      <f>BY205/BU205</f>
    </oc>
    <nc r="BZ205">
      <f>BY205/BR205</f>
    </nc>
  </rcc>
  <rcc rId="43650" sId="5">
    <oc r="BZ206">
      <f>BY206/BU206</f>
    </oc>
    <nc r="BZ206">
      <f>BY206/BR206</f>
    </nc>
  </rcc>
  <rcc rId="43651" sId="5">
    <oc r="BZ207">
      <f>BY207/BU207</f>
    </oc>
    <nc r="BZ207">
      <f>BY207/BR207</f>
    </nc>
  </rcc>
  <rcc rId="43652" sId="5">
    <oc r="BZ208">
      <f>BY208/BU208</f>
    </oc>
    <nc r="BZ208">
      <f>BY208/BR208</f>
    </nc>
  </rcc>
  <rcc rId="43653" sId="5">
    <oc r="BZ209">
      <f>BY209/BU209</f>
    </oc>
    <nc r="BZ209">
      <f>BY209/BR209</f>
    </nc>
  </rcc>
  <rcc rId="43654" sId="5">
    <oc r="BZ210">
      <f>BY210/BU210</f>
    </oc>
    <nc r="BZ210">
      <f>BY210/BR210</f>
    </nc>
  </rcc>
  <rcc rId="43655" sId="5">
    <oc r="BZ211">
      <f>BY211/BU211</f>
    </oc>
    <nc r="BZ211">
      <f>BY211/BR211</f>
    </nc>
  </rcc>
  <rcc rId="43656" sId="5">
    <oc r="BZ212">
      <f>BY212/BU212</f>
    </oc>
    <nc r="BZ212">
      <f>BY212/BR212</f>
    </nc>
  </rcc>
  <rcc rId="43657" sId="5">
    <oc r="BZ213">
      <f>BY213/BU213</f>
    </oc>
    <nc r="BZ213">
      <f>BY213/BR213</f>
    </nc>
  </rcc>
  <rcc rId="43658" sId="5">
    <oc r="BZ214">
      <f>BY214/BU214</f>
    </oc>
    <nc r="BZ214">
      <f>BY214/BR214</f>
    </nc>
  </rcc>
  <rcc rId="43659" sId="5">
    <oc r="BZ215">
      <f>BY215/BU215</f>
    </oc>
    <nc r="BZ215">
      <f>BY215/BR215</f>
    </nc>
  </rcc>
  <rcc rId="43660" sId="5">
    <oc r="BZ216">
      <f>BY216/BU216</f>
    </oc>
    <nc r="BZ216">
      <f>BY216/BR216</f>
    </nc>
  </rcc>
  <rcc rId="43661" sId="5">
    <oc r="BZ217">
      <f>BY217/BU217</f>
    </oc>
    <nc r="BZ217">
      <f>BY217/BR217</f>
    </nc>
  </rcc>
  <rcc rId="43662" sId="5">
    <oc r="BZ218">
      <f>BY218/BU218</f>
    </oc>
    <nc r="BZ218">
      <f>BY218/BR218</f>
    </nc>
  </rcc>
  <rcc rId="43663" sId="5">
    <oc r="BZ219">
      <f>BY219/BU219</f>
    </oc>
    <nc r="BZ219">
      <f>BY219/BR219</f>
    </nc>
  </rcc>
  <rcc rId="43664" sId="5">
    <oc r="BZ220">
      <f>BY220/BU220</f>
    </oc>
    <nc r="BZ220">
      <f>BY220/BR220</f>
    </nc>
  </rcc>
  <rcc rId="43665" sId="5">
    <oc r="BZ221">
      <f>BY221/BU221</f>
    </oc>
    <nc r="BZ221">
      <f>BY221/BR221</f>
    </nc>
  </rcc>
  <rcc rId="43666" sId="5" odxf="1" dxf="1">
    <oc r="BZ222">
      <f>BY222/BU222</f>
    </oc>
    <nc r="BZ222">
      <f>BY222/BR222</f>
    </nc>
    <odxf>
      <border outline="0">
        <top style="thin">
          <color auto="1"/>
        </top>
      </border>
    </odxf>
    <ndxf>
      <border outline="0">
        <top/>
      </border>
    </ndxf>
  </rcc>
  <rcc rId="43667" sId="5" odxf="1" dxf="1">
    <nc r="BZ223">
      <f>BY223/BR223</f>
    </nc>
    <odxf>
      <font>
        <b/>
      </font>
      <numFmt numFmtId="0" formatCode="General"/>
    </odxf>
    <ndxf>
      <font>
        <b val="0"/>
      </font>
      <numFmt numFmtId="14" formatCode="0.00%"/>
    </ndxf>
  </rcc>
  <rcc rId="43668" sId="5" odxf="1" dxf="1">
    <nc r="BZ224">
      <f>BY224/BR224</f>
    </nc>
    <odxf>
      <numFmt numFmtId="0" formatCode="General"/>
    </odxf>
    <ndxf>
      <numFmt numFmtId="14" formatCode="0.00%"/>
    </ndxf>
  </rcc>
  <rcc rId="43669" sId="5" odxf="1" dxf="1">
    <nc r="BZ225">
      <f>BY225/BR225</f>
    </nc>
    <odxf>
      <numFmt numFmtId="0" formatCode="General"/>
    </odxf>
    <ndxf>
      <numFmt numFmtId="14" formatCode="0.00%"/>
    </ndxf>
  </rcc>
  <rcc rId="43670" sId="5" odxf="1" dxf="1">
    <nc r="BZ226">
      <f>BY226/BR226</f>
    </nc>
    <odxf>
      <numFmt numFmtId="0" formatCode="General"/>
    </odxf>
    <ndxf>
      <numFmt numFmtId="14" formatCode="0.00%"/>
    </ndxf>
  </rcc>
  <rcc rId="43671" sId="5" odxf="1" dxf="1">
    <nc r="BZ227">
      <f>BY227/BR227</f>
    </nc>
    <odxf>
      <numFmt numFmtId="0" formatCode="General"/>
      <border outline="0">
        <bottom style="medium">
          <color indexed="64"/>
        </bottom>
      </border>
    </odxf>
    <ndxf>
      <numFmt numFmtId="14" formatCode="0.00%"/>
      <border outline="0">
        <bottom/>
      </border>
    </ndxf>
  </rcc>
  <rcc rId="43672" sId="5" odxf="1" dxf="1">
    <nc r="BZ228">
      <f>BY228/BR228</f>
    </nc>
    <odxf>
      <numFmt numFmtId="0" formatCode="General"/>
    </odxf>
    <ndxf>
      <numFmt numFmtId="14" formatCode="0.00%"/>
    </ndxf>
  </rcc>
  <rcc rId="43673" sId="5" odxf="1" dxf="1">
    <nc r="BZ229">
      <f>BY229/BR229</f>
    </nc>
    <odxf>
      <numFmt numFmtId="0" formatCode="General"/>
    </odxf>
    <ndxf>
      <numFmt numFmtId="14" formatCode="0.00%"/>
    </ndxf>
  </rcc>
  <rcc rId="43674" sId="5" odxf="1" dxf="1">
    <nc r="BZ230">
      <f>BY230/BR230</f>
    </nc>
    <odxf>
      <numFmt numFmtId="0" formatCode="General"/>
    </odxf>
    <ndxf>
      <numFmt numFmtId="14" formatCode="0.00%"/>
    </ndxf>
  </rcc>
  <rcc rId="43675" sId="5" odxf="1" dxf="1">
    <nc r="BZ231">
      <f>BY231/BR231</f>
    </nc>
    <odxf>
      <numFmt numFmtId="0" formatCode="General"/>
    </odxf>
    <ndxf>
      <numFmt numFmtId="14" formatCode="0.00%"/>
    </ndxf>
  </rcc>
  <rcc rId="43676" sId="5" odxf="1" dxf="1">
    <nc r="BZ232">
      <f>BY232/BR232</f>
    </nc>
    <odxf>
      <numFmt numFmtId="0" formatCode="General"/>
    </odxf>
    <ndxf>
      <numFmt numFmtId="14" formatCode="0.00%"/>
    </ndxf>
  </rcc>
  <rcc rId="43677" sId="5" odxf="1" dxf="1">
    <nc r="BZ233">
      <f>BY233/BR233</f>
    </nc>
    <odxf>
      <numFmt numFmtId="0" formatCode="General"/>
    </odxf>
    <ndxf>
      <numFmt numFmtId="14" formatCode="0.00%"/>
    </ndxf>
  </rcc>
  <rcc rId="43678" sId="5" odxf="1" dxf="1">
    <nc r="BZ234">
      <f>BY234/BR234</f>
    </nc>
    <odxf>
      <numFmt numFmtId="0" formatCode="General"/>
    </odxf>
    <ndxf>
      <numFmt numFmtId="14" formatCode="0.00%"/>
    </ndxf>
  </rcc>
  <rcc rId="43679" sId="5" odxf="1" dxf="1">
    <nc r="BZ235">
      <f>BY235/BR235</f>
    </nc>
    <odxf>
      <numFmt numFmtId="0" formatCode="General"/>
    </odxf>
    <ndxf>
      <numFmt numFmtId="14" formatCode="0.00%"/>
    </ndxf>
  </rcc>
  <rcc rId="43680" sId="5" odxf="1" dxf="1">
    <nc r="BZ236">
      <f>BY236/BR236</f>
    </nc>
    <odxf>
      <numFmt numFmtId="0" formatCode="General"/>
    </odxf>
    <ndxf>
      <numFmt numFmtId="14" formatCode="0.00%"/>
    </ndxf>
  </rcc>
  <rcc rId="43681" sId="5" odxf="1" dxf="1">
    <nc r="BZ237">
      <f>BY237/BR237</f>
    </nc>
    <odxf>
      <numFmt numFmtId="0" formatCode="General"/>
    </odxf>
    <ndxf>
      <numFmt numFmtId="14" formatCode="0.00%"/>
    </ndxf>
  </rcc>
  <rcc rId="43682" sId="5" odxf="1" dxf="1">
    <nc r="BZ238">
      <f>BY238/BR238</f>
    </nc>
    <odxf>
      <numFmt numFmtId="0" formatCode="General"/>
    </odxf>
    <ndxf>
      <numFmt numFmtId="14" formatCode="0.00%"/>
    </ndxf>
  </rcc>
  <rcc rId="43683" sId="5" odxf="1" dxf="1">
    <nc r="BZ239">
      <f>BY239/BR239</f>
    </nc>
    <odxf>
      <numFmt numFmtId="0" formatCode="General"/>
    </odxf>
    <ndxf>
      <numFmt numFmtId="14" formatCode="0.00%"/>
    </ndxf>
  </rcc>
  <rcc rId="43684" sId="5" odxf="1" dxf="1">
    <nc r="BZ240">
      <f>BY240/BR240</f>
    </nc>
    <odxf>
      <numFmt numFmtId="0" formatCode="General"/>
    </odxf>
    <ndxf>
      <numFmt numFmtId="14" formatCode="0.00%"/>
    </ndxf>
  </rcc>
  <rcc rId="43685" sId="5" odxf="1" dxf="1">
    <nc r="BZ241">
      <f>BY241/BR241</f>
    </nc>
    <odxf>
      <numFmt numFmtId="0" formatCode="General"/>
    </odxf>
    <ndxf>
      <numFmt numFmtId="14" formatCode="0.00%"/>
    </ndxf>
  </rcc>
  <rcc rId="43686" sId="5" odxf="1" dxf="1">
    <nc r="BZ242">
      <f>BY242/BR242</f>
    </nc>
    <odxf>
      <numFmt numFmtId="0" formatCode="General"/>
    </odxf>
    <ndxf>
      <numFmt numFmtId="14" formatCode="0.00%"/>
    </ndxf>
  </rcc>
  <rcc rId="43687" sId="5" odxf="1" dxf="1">
    <nc r="BZ243">
      <f>BY243/BR243</f>
    </nc>
    <odxf>
      <numFmt numFmtId="0" formatCode="General"/>
    </odxf>
    <ndxf>
      <numFmt numFmtId="14" formatCode="0.00%"/>
    </ndxf>
  </rcc>
  <rcc rId="43688" sId="5" odxf="1" dxf="1">
    <oc r="BZ244">
      <f>BY244/BU244</f>
    </oc>
    <nc r="BZ244">
      <f>BY244/BR244</f>
    </nc>
    <odxf>
      <fill>
        <patternFill patternType="solid">
          <bgColor theme="0" tint="-0.249977111117893"/>
        </patternFill>
      </fill>
    </odxf>
    <ndxf>
      <fill>
        <patternFill patternType="none">
          <bgColor indexed="65"/>
        </patternFill>
      </fill>
    </ndxf>
  </rcc>
  <rcc rId="43689" sId="5" odxf="1" dxf="1">
    <nc r="BZ245">
      <f>BY245/BR245</f>
    </nc>
    <odxf>
      <numFmt numFmtId="0" formatCode="General"/>
    </odxf>
    <ndxf>
      <numFmt numFmtId="14" formatCode="0.00%"/>
    </ndxf>
  </rcc>
  <rrc rId="43690" sId="1" eol="1" ref="A12:XFD12" action="insertRow"/>
  <rcc rId="43691" sId="1" odxf="1" dxf="1">
    <nc r="A12" t="inlineStr">
      <is>
        <t>FY2013 Notes</t>
      </is>
    </nc>
    <odxf>
      <font>
        <sz val="10"/>
        <color auto="1"/>
        <name val="Arial"/>
        <scheme val="none"/>
      </font>
    </odxf>
    <ndxf>
      <font>
        <sz val="10"/>
        <color auto="1"/>
        <name val="Arial"/>
        <scheme val="none"/>
      </font>
    </ndxf>
  </rcc>
  <rfmt sheetId="1" sqref="A12">
    <dxf>
      <font>
        <b val="0"/>
        <i val="0"/>
        <strike val="0"/>
        <condense val="0"/>
        <extend val="0"/>
        <outline val="0"/>
        <shadow val="0"/>
        <u val="none"/>
        <vertAlign val="baseline"/>
        <sz val="10"/>
        <color auto="1"/>
        <name val="Arial"/>
        <scheme val="none"/>
      </font>
    </dxf>
  </rfmt>
  <rcc rId="43692" sId="1" odxf="1" dxf="1">
    <nc r="B12" t="inlineStr">
      <is>
        <t>Explains additions or changes from FY 2012 budget</t>
      </is>
    </nc>
    <odxf>
      <font>
        <sz val="10"/>
        <color auto="1"/>
        <name val="Arial"/>
        <scheme val="none"/>
      </font>
    </odxf>
    <ndxf>
      <font>
        <sz val="10"/>
        <color auto="1"/>
        <name val="Arial"/>
        <scheme val="none"/>
      </font>
    </ndxf>
  </rcc>
  <rrc rId="43693" sId="1" eol="1" ref="A13:XFD13" action="insertRow"/>
  <rcc rId="43694" sId="1" odxf="1" dxf="1">
    <nc r="A13" t="inlineStr">
      <is>
        <t>Budget Shifts</t>
      </is>
    </nc>
    <odxf>
      <font>
        <sz val="10"/>
        <color auto="1"/>
        <name val="Arial"/>
        <scheme val="none"/>
      </font>
    </odxf>
    <ndxf>
      <font>
        <sz val="10"/>
        <color auto="1"/>
        <name val="Arial"/>
        <scheme val="none"/>
      </font>
    </ndxf>
  </rcc>
  <rfmt sheetId="1" sqref="A13">
    <dxf>
      <font>
        <b val="0"/>
        <i val="0"/>
        <strike val="0"/>
        <condense val="0"/>
        <extend val="0"/>
        <outline val="0"/>
        <shadow val="0"/>
        <u val="none"/>
        <vertAlign val="baseline"/>
        <sz val="10"/>
        <color auto="1"/>
        <name val="Arial"/>
        <scheme val="none"/>
      </font>
    </dxf>
  </rfmt>
  <rcc rId="43695" sId="1" odxf="1" dxf="1">
    <nc r="B13" t="inlineStr">
      <is>
        <t>Explains notes on why certain money shifted from one agency to another</t>
      </is>
    </nc>
    <odxf>
      <font>
        <sz val="10"/>
        <color auto="1"/>
        <name val="Arial"/>
        <scheme val="none"/>
      </font>
    </odxf>
    <ndxf>
      <font>
        <sz val="10"/>
        <color auto="1"/>
        <name val="Arial"/>
        <scheme val="none"/>
      </font>
    </ndxf>
  </rcc>
  <rcv guid="{567C3053-2D8E-4705-8DC7-18896C5303CA}" action="delete"/>
  <rdn rId="0" localSheetId="2" customView="1" name="Z_567C3053_2D8E_4705_8DC7_18896C5303CA_.wvu.Cols" hidden="1" oldHidden="1">
    <formula>'FY2013 by Approp Title'!$AA:$AA</formula>
    <oldFormula>'FY2013 by Approp Title'!$AA:$AA</oldFormula>
  </rdn>
  <rdn rId="0" localSheetId="3" customView="1" name="Z_567C3053_2D8E_4705_8DC7_18896C5303CA_.wvu.Cols" hidden="1" oldHidden="1">
    <formula>'FY2013 By Approp Title-Adj'!$AA:$AA</formula>
    <oldFormula>'FY2013 By Approp Title-Adj'!$AA:$AA</oldFormula>
  </rdn>
  <rdn rId="0" localSheetId="4" customView="1" name="Z_567C3053_2D8E_4705_8DC7_18896C5303CA_.wvu.Rows" hidden="1" oldHidden="1">
    <formula>'FY 2013 by Agency'!$1:$3,'FY 2013 by Agency'!$227:$241</formula>
    <oldFormula>'FY 2013 by Agency'!$1:$3,'FY 2013 by Agency'!$227:$241</oldFormula>
  </rdn>
  <rdn rId="0" localSheetId="4" customView="1" name="Z_567C3053_2D8E_4705_8DC7_18896C5303CA_.wvu.Cols" hidden="1" oldHidden="1">
    <formula>'FY 2013 by Agency'!$BC:$BD,'FY 2013 by Agency'!$BF:$BM,'FY 2013 by Agency'!$BP:$BP</formula>
    <oldFormula>'FY 2013 by Agency'!$BC:$BD,'FY 2013 by Agency'!$BF:$BP</oldFormula>
  </rdn>
  <rdn rId="0" localSheetId="5" customView="1" name="Z_567C3053_2D8E_4705_8DC7_18896C5303CA_.wvu.Rows" hidden="1" oldHidden="1">
    <formula>'FY 2013 by Agency-Adj'!$1:$3,'FY 2013 by Agency-Adj'!$228:$242</formula>
    <oldFormula>'FY 2013 by Agency-Adj'!$1:$3,'FY 2013 by Agency-Adj'!$228:$242</oldFormula>
  </rdn>
  <rdn rId="0" localSheetId="5" customView="1" name="Z_567C3053_2D8E_4705_8DC7_18896C5303CA_.wvu.Cols" hidden="1" oldHidden="1">
    <formula>'FY 2013 by Agency-Adj'!$V:$AB,'FY 2013 by Agency-Adj'!$AJ:$AM,'FY 2013 by Agency-Adj'!$AP:$AS,'FY 2013 by Agency-Adj'!$BX:$BX</formula>
    <oldFormula>'FY 2013 by Agency-Adj'!$V:$AB,'FY 2013 by Agency-Adj'!$AJ:$AM,'FY 2013 by Agency-Adj'!$AP:$AS,'FY 2013 by Agency-Adj'!$BM:$BQ,'FY 2013 by Agency-Adj'!$BS:$BZ</oldFormula>
  </rdn>
  <rdn rId="0" localSheetId="8" customView="1" name="Z_567C3053_2D8E_4705_8DC7_18896C5303CA_.wvu.Rows" hidden="1" oldHidden="1">
    <formula>'Sheet 4'!$1:$6</formula>
    <oldFormula>'Sheet 4'!$1:$6</oldFormula>
  </rdn>
  <rcv guid="{567C3053-2D8E-4705-8DC7-18896C5303CA}" action="add"/>
</revisions>
</file>

<file path=xl/revisions/revisionLog1111.xml><?xml version="1.0" encoding="utf-8"?>
<revisions xmlns="http://schemas.openxmlformats.org/spreadsheetml/2006/main" xmlns:r="http://schemas.openxmlformats.org/officeDocument/2006/relationships">
  <rcc rId="42451" sId="5">
    <oc r="CB244">
      <f>CA244-BR244</f>
    </oc>
    <nc r="CB244">
      <f>CA244-BR244</f>
    </nc>
  </rcc>
  <rcc rId="42452" sId="5">
    <oc r="CB222">
      <f>CA222-BR222</f>
    </oc>
    <nc r="CB222">
      <f>CA222-BR222</f>
    </nc>
  </rcc>
  <rcv guid="{78CA186D-B240-44D5-8A24-D241DE0B0FD9}" action="delete"/>
  <rdn rId="0" localSheetId="2" customView="1" name="Z_78CA186D_B240_44D5_8A24_D241DE0B0FD9_.wvu.Cols" hidden="1" oldHidden="1">
    <formula>'FY2013 by Approp Title'!$AA:$AA</formula>
    <oldFormula>'FY2013 by Approp Title'!$AA:$AA</oldFormula>
  </rdn>
  <rdn rId="0" localSheetId="3" customView="1" name="Z_78CA186D_B240_44D5_8A24_D241DE0B0FD9_.wvu.Cols" hidden="1" oldHidden="1">
    <formula>'FY2013 By Approp Title-Adj'!$AA:$AA</formula>
    <oldFormula>'FY2013 By Approp Title-Adj'!$AA:$AA</oldFormula>
  </rdn>
  <rdn rId="0" localSheetId="4" customView="1" name="Z_78CA186D_B240_44D5_8A24_D241DE0B0FD9_.wvu.Rows" hidden="1" oldHidden="1">
    <formula>'FY 2013 by Agency'!$1:$3,'FY 2013 by Agency'!$227:$241</formula>
    <oldFormula>'FY 2013 by Agency'!$1:$3,'FY 2013 by Agency'!$227:$241</oldFormula>
  </rdn>
  <rdn rId="0" localSheetId="4" customView="1" name="Z_78CA186D_B240_44D5_8A24_D241DE0B0FD9_.wvu.Cols" hidden="1" oldHidden="1">
    <formula>'FY 2013 by Agency'!$D:$E,'FY 2013 by Agency'!$G:$H,'FY 2013 by Agency'!$J:$K,'FY 2013 by Agency'!$M:$N,'FY 2013 by Agency'!$P:$Q,'FY 2013 by Agency'!$S:$T,'FY 2013 by Agency'!$V:$W,'FY 2013 by Agency'!$Y:$Z,'FY 2013 by Agency'!$AB:$AE,'FY 2013 by Agency'!$AV:$AW,'FY 2013 by Agency'!$AY:$AZ,'FY 2013 by Agency'!$BF:$BG,'FY 2013 by Agency'!$BM:$BN</formula>
    <oldFormula>'FY 2013 by Agency'!$D:$E,'FY 2013 by Agency'!$G:$H,'FY 2013 by Agency'!$J:$K,'FY 2013 by Agency'!$M:$N,'FY 2013 by Agency'!$P:$Q,'FY 2013 by Agency'!$S:$T,'FY 2013 by Agency'!$V:$W,'FY 2013 by Agency'!$Y:$Z,'FY 2013 by Agency'!$AB:$AE,'FY 2013 by Agency'!$AV:$AW,'FY 2013 by Agency'!$AY:$AZ,'FY 2013 by Agency'!$BF:$BG,'FY 2013 by Agency'!$BM:$BN</oldFormula>
  </rdn>
  <rdn rId="0" localSheetId="5" customView="1" name="Z_78CA186D_B240_44D5_8A24_D241DE0B0FD9_.wvu.Rows" hidden="1" oldHidden="1">
    <formula>'FY 2013 by Agency-Adj'!$1:$3,'FY 2013 by Agency-Adj'!$14:$14,'FY 2013 by Agency-Adj'!$19:$19,'FY 2013 by Agency-Adj'!$157:$157,'FY 2013 by Agency-Adj'!$164:$164,'FY 2013 by Agency-Adj'!$228:$242</formula>
    <oldFormula>'FY 2013 by Agency-Adj'!$1:$3,'FY 2013 by Agency-Adj'!$14:$14,'FY 2013 by Agency-Adj'!$19:$19,'FY 2013 by Agency-Adj'!$157:$157,'FY 2013 by Agency-Adj'!$164:$164,'FY 2013 by Agency-Adj'!$228:$242</oldFormula>
  </rdn>
  <rdn rId="0" localSheetId="5" customView="1" name="Z_78CA186D_B240_44D5_8A24_D241DE0B0FD9_.wvu.Cols" hidden="1" oldHidden="1">
    <formula>'FY 2013 by Agency-Adj'!$AD:$AE,'FY 2013 by Agency-Adj'!$AI:$BK,'FY 2013 by Agency-Adj'!$BS:$BZ</formula>
    <oldFormula>'FY 2013 by Agency-Adj'!$AD:$AE,'FY 2013 by Agency-Adj'!$AI:$BK,'FY 2013 by Agency-Adj'!$BO:$BT</oldFormula>
  </rdn>
  <rdn rId="0" localSheetId="8" customView="1" name="Z_78CA186D_B240_44D5_8A24_D241DE0B0FD9_.wvu.Rows" hidden="1" oldHidden="1">
    <formula>'Sheet 4'!$1:$6</formula>
    <oldFormula>'Sheet 4'!$1:$6</oldFormula>
  </rdn>
  <rcv guid="{78CA186D-B240-44D5-8A24-D241DE0B0FD9}" action="add"/>
</revisions>
</file>

<file path=xl/revisions/revisionLog11111.xml><?xml version="1.0" encoding="utf-8"?>
<revisions xmlns="http://schemas.openxmlformats.org/spreadsheetml/2006/main" xmlns:r="http://schemas.openxmlformats.org/officeDocument/2006/relationships">
  <rcv guid="{78CA186D-B240-44D5-8A24-D241DE0B0FD9}" action="delete"/>
  <rdn rId="0" localSheetId="2" customView="1" name="Z_78CA186D_B240_44D5_8A24_D241DE0B0FD9_.wvu.Cols" hidden="1" oldHidden="1">
    <formula>'FY2012 by Approp Title'!$AA:$AA</formula>
    <oldFormula>'FY2012 by Approp Title'!$AA:$AA</oldFormula>
  </rdn>
  <rdn rId="0" localSheetId="3" customView="1" name="Z_78CA186D_B240_44D5_8A24_D241DE0B0FD9_.wvu.Cols" hidden="1" oldHidden="1">
    <formula>'FY2013 By Approp Title-Adj'!$AA:$AA</formula>
    <oldFormula>'FY2013 By Approp Title-Adj'!$AA:$AA</oldFormula>
  </rdn>
  <rdn rId="0" localSheetId="4" customView="1" name="Z_78CA186D_B240_44D5_8A24_D241DE0B0FD9_.wvu.Rows" hidden="1" oldHidden="1">
    <formula>'FY 2012 by Agency'!$1:$3,'FY 2012 by Agency'!$226:$240</formula>
    <oldFormula>'FY 2012 by Agency'!$1:$3,'FY 2012 by Agency'!$226:$240</oldFormula>
  </rdn>
  <rdn rId="0" localSheetId="4" customView="1" name="Z_78CA186D_B240_44D5_8A24_D241DE0B0FD9_.wvu.Cols" hidden="1" oldHidden="1">
    <formula>'FY 2012 by Agency'!$D:$E,'FY 2012 by Agency'!$G:$H,'FY 2012 by Agency'!$J:$K,'FY 2012 by Agency'!$M:$N,'FY 2012 by Agency'!$P:$Q,'FY 2012 by Agency'!$S:$T,'FY 2012 by Agency'!$V:$W,'FY 2012 by Agency'!$Y:$Z,'FY 2012 by Agency'!$AB:$AE,'FY 2012 by Agency'!$AG:$AO,'FY 2012 by Agency'!$AV:$AW,'FY 2012 by Agency'!$AY:$AZ,'FY 2012 by Agency'!$BF:$BG</formula>
    <oldFormula>'FY 2012 by Agency'!$D:$E,'FY 2012 by Agency'!$G:$H,'FY 2012 by Agency'!$J:$K,'FY 2012 by Agency'!$M:$N,'FY 2012 by Agency'!$P:$Q,'FY 2012 by Agency'!$S:$T,'FY 2012 by Agency'!$V:$W,'FY 2012 by Agency'!$Y:$Z,'FY 2012 by Agency'!$AB:$AE,'FY 2012 by Agency'!$AG:$AO,'FY 2012 by Agency'!$AV:$AW,'FY 2012 by Agency'!$AY:$AZ,'FY 2012 by Agency'!$BF:$BG</oldFormula>
  </rdn>
  <rdn rId="0" localSheetId="5" customView="1" name="Z_78CA186D_B240_44D5_8A24_D241DE0B0FD9_.wvu.Rows" hidden="1" oldHidden="1">
    <formula>'FY 2012 by Agency-Adj'!$1:$3,'FY 2012 by Agency-Adj'!$14:$14,'FY 2012 by Agency-Adj'!$19:$19,'FY 2012 by Agency-Adj'!$155:$155,'FY 2012 by Agency-Adj'!$162:$162,'FY 2012 by Agency-Adj'!$224:$238</formula>
    <oldFormula>'FY 2012 by Agency-Adj'!$1:$3,'FY 2012 by Agency-Adj'!$14:$14,'FY 2012 by Agency-Adj'!$19:$19,'FY 2012 by Agency-Adj'!$155:$155,'FY 2012 by Agency-Adj'!$162:$162,'FY 2012 by Agency-Adj'!$224:$238</oldFormula>
  </rdn>
  <rdn rId="0" localSheetId="5" customView="1" name="Z_78CA186D_B240_44D5_8A24_D241DE0B0FD9_.wvu.Cols" hidden="1" oldHidden="1">
    <formula>'FY 2012 by Agency-Adj'!$AD:$AE,'FY 2012 by Agency-Adj'!$AI:$BK,'FY 2012 by Agency-Adj'!$BO:$BT</formula>
    <oldFormula>'FY 2012 by Agency-Adj'!$AD:$AE,'FY 2012 by Agency-Adj'!$AI:$BK,'FY 2012 by Agency-Adj'!$BO:$BT</oldFormula>
  </rdn>
  <rdn rId="0" localSheetId="6" customView="1" name="Z_78CA186D_B240_44D5_8A24_D241DE0B0FD9_.wvu.Rows" hidden="1" oldHidden="1">
    <formula>'FY2010 FTEs'!$1:$7,'FY2010 FTEs'!$163:$177</formula>
    <oldFormula>'FY2010 FTEs'!$1:$7,'FY2010 FTEs'!$163:$177</oldFormula>
  </rdn>
  <rdn rId="0" localSheetId="7" customView="1" name="Z_78CA186D_B240_44D5_8A24_D241DE0B0FD9_.wvu.Rows" hidden="1" oldHidden="1">
    <formula>'FY2010 Gross'!$1:$6</formula>
    <oldFormula>'FY2010 Gross'!$1:$6</oldFormula>
  </rdn>
  <rdn rId="0" localSheetId="8" customView="1" name="Z_78CA186D_B240_44D5_8A24_D241DE0B0FD9_.wvu.Rows" hidden="1" oldHidden="1">
    <formula>'FY2010 Gross-Adj'!$1:$6</formula>
    <oldFormula>'FY2010 Gross-Adj'!$1:$6</oldFormula>
  </rdn>
  <rcv guid="{78CA186D-B240-44D5-8A24-D241DE0B0FD9}" action="add"/>
  <rsnm rId="34913" sheetId="3" oldName="[FY2012 General Fund Budget - Approved #'s.xlsx]FY2012 By Approp Title-Adj" newName="[FY2013 General Fund Budget.xlsx]FY2013 By Approp Title-Adj"/>
</revisions>
</file>

<file path=xl/revisions/revisionLog1112.xml><?xml version="1.0" encoding="utf-8"?>
<revisions xmlns="http://schemas.openxmlformats.org/spreadsheetml/2006/main" xmlns:r="http://schemas.openxmlformats.org/officeDocument/2006/relationships">
  <rfmt sheetId="4" sqref="BB121:BO121">
    <dxf>
      <fill>
        <patternFill patternType="solid">
          <bgColor rgb="FFFFFF00"/>
        </patternFill>
      </fill>
    </dxf>
  </rfmt>
  <rfmt sheetId="4" sqref="BB122:BO122">
    <dxf>
      <fill>
        <patternFill patternType="solid">
          <bgColor rgb="FFFFFF00"/>
        </patternFill>
      </fill>
    </dxf>
  </rfmt>
  <rfmt sheetId="4" sqref="BB123:BO123">
    <dxf>
      <fill>
        <patternFill patternType="solid">
          <bgColor rgb="FFFFFF00"/>
        </patternFill>
      </fill>
    </dxf>
  </rfmt>
  <rfmt sheetId="4" sqref="BB124:BO124">
    <dxf>
      <fill>
        <patternFill patternType="solid">
          <bgColor rgb="FFFFFF00"/>
        </patternFill>
      </fill>
    </dxf>
  </rfmt>
  <rfmt sheetId="4" sqref="BB125:BO125">
    <dxf>
      <fill>
        <patternFill patternType="solid">
          <bgColor rgb="FFFFFF00"/>
        </patternFill>
      </fill>
    </dxf>
  </rfmt>
  <rfmt sheetId="4" sqref="BB126:BO126">
    <dxf>
      <fill>
        <patternFill patternType="solid">
          <bgColor rgb="FFFFFF00"/>
        </patternFill>
      </fill>
    </dxf>
  </rfmt>
  <rfmt sheetId="4" sqref="BB127:BO127">
    <dxf>
      <fill>
        <patternFill patternType="solid">
          <bgColor rgb="FFFFFF00"/>
        </patternFill>
      </fill>
    </dxf>
  </rfmt>
  <rfmt sheetId="4" sqref="BB120:BO120">
    <dxf>
      <fill>
        <patternFill patternType="solid">
          <bgColor rgb="FFFFFF00"/>
        </patternFill>
      </fill>
    </dxf>
  </rfmt>
  <rfmt sheetId="4" sqref="BB129:BO129">
    <dxf>
      <fill>
        <patternFill patternType="solid">
          <bgColor rgb="FFFFFF00"/>
        </patternFill>
      </fill>
    </dxf>
  </rfmt>
  <rfmt sheetId="4" sqref="BB130:BO130">
    <dxf>
      <fill>
        <patternFill patternType="solid">
          <bgColor rgb="FFFFFF00"/>
        </patternFill>
      </fill>
    </dxf>
  </rfmt>
  <rfmt sheetId="4" sqref="BB131:BO131">
    <dxf>
      <fill>
        <patternFill patternType="solid">
          <bgColor rgb="FFFFFF00"/>
        </patternFill>
      </fill>
    </dxf>
  </rfmt>
  <rfmt sheetId="4" sqref="BB132:BO132">
    <dxf>
      <fill>
        <patternFill patternType="solid">
          <bgColor rgb="FFFFFF00"/>
        </patternFill>
      </fill>
    </dxf>
  </rfmt>
  <rcv guid="{567C3053-2D8E-4705-8DC7-18896C5303CA}" action="delete"/>
  <rdn rId="0" localSheetId="2" customView="1" name="Z_567C3053_2D8E_4705_8DC7_18896C5303CA_.wvu.Cols" hidden="1" oldHidden="1">
    <formula>'FY2013 by Approp Title'!$AA:$AA</formula>
    <oldFormula>'FY2013 by Approp Title'!$AA:$AA</oldFormula>
  </rdn>
  <rdn rId="0" localSheetId="3" customView="1" name="Z_567C3053_2D8E_4705_8DC7_18896C5303CA_.wvu.Cols" hidden="1" oldHidden="1">
    <formula>'FY2013 By Approp Title-Adj'!$AA:$AA</formula>
    <oldFormula>'FY2013 By Approp Title-Adj'!$AA:$AA</oldFormula>
  </rdn>
  <rdn rId="0" localSheetId="4" customView="1" name="Z_567C3053_2D8E_4705_8DC7_18896C5303CA_.wvu.Rows" hidden="1" oldHidden="1">
    <formula>'FY 2013 by Agency'!$1:$3,'FY 2013 by Agency'!$227:$241</formula>
    <oldFormula>'FY 2013 by Agency'!$1:$3,'FY 2013 by Agency'!$227:$241</oldFormula>
  </rdn>
  <rdn rId="0" localSheetId="4" customView="1" name="Z_567C3053_2D8E_4705_8DC7_18896C5303CA_.wvu.Cols" hidden="1" oldHidden="1">
    <formula>'FY 2013 by Agency'!$BC:$BD,'FY 2013 by Agency'!$BF:$BN</formula>
  </rdn>
  <rdn rId="0" localSheetId="5" customView="1" name="Z_567C3053_2D8E_4705_8DC7_18896C5303CA_.wvu.Rows" hidden="1" oldHidden="1">
    <formula>'FY 2013 by Agency-Adj'!$1:$3,'FY 2013 by Agency-Adj'!$228:$242</formula>
    <oldFormula>'FY 2013 by Agency-Adj'!$1:$3,'FY 2013 by Agency-Adj'!$228:$242</oldFormula>
  </rdn>
  <rdn rId="0" localSheetId="5" customView="1" name="Z_567C3053_2D8E_4705_8DC7_18896C5303CA_.wvu.Cols" hidden="1" oldHidden="1">
    <formula>'FY 2013 by Agency-Adj'!$V:$AB,'FY 2013 by Agency-Adj'!$AJ:$AM,'FY 2013 by Agency-Adj'!$AP:$AS,'FY 2013 by Agency-Adj'!$BM:$BQ,'FY 2013 by Agency-Adj'!$BS:$BZ</formula>
    <oldFormula>'FY 2013 by Agency-Adj'!$V:$AB,'FY 2013 by Agency-Adj'!$AJ:$AM,'FY 2013 by Agency-Adj'!$AP:$AS,'FY 2013 by Agency-Adj'!$BP:$BQ,'FY 2013 by Agency-Adj'!$BS:$BZ</oldFormula>
  </rdn>
  <rdn rId="0" localSheetId="8" customView="1" name="Z_567C3053_2D8E_4705_8DC7_18896C5303CA_.wvu.Rows" hidden="1" oldHidden="1">
    <formula>'Sheet 4'!$1:$6</formula>
    <oldFormula>'Sheet 4'!$1:$6</oldFormula>
  </rdn>
  <rcv guid="{567C3053-2D8E-4705-8DC7-18896C5303CA}" action="add"/>
</revisions>
</file>

<file path=xl/revisions/revisionLog11121.xml><?xml version="1.0" encoding="utf-8"?>
<revisions xmlns="http://schemas.openxmlformats.org/spreadsheetml/2006/main" xmlns:r="http://schemas.openxmlformats.org/officeDocument/2006/relationships">
  <rcc rId="34914" sId="6">
    <oc r="A1" t="inlineStr">
      <is>
        <t xml:space="preserve">Government of the District of Columbia </t>
      </is>
    </oc>
    <nc r="A1"/>
  </rcc>
  <rcc rId="34915" sId="6">
    <oc r="A2" t="inlineStr">
      <is>
        <t>Fiscal Year 2009 Budget</t>
      </is>
    </oc>
    <nc r="A2"/>
  </rcc>
  <rcc rId="34916" sId="6">
    <oc r="A4" t="inlineStr">
      <is>
        <t>* Includes Local and Special Purpose (General) Funds only</t>
      </is>
    </oc>
    <nc r="A4"/>
  </rcc>
  <rcc rId="34917" sId="6">
    <oc r="A5" t="inlineStr">
      <is>
        <t>* All dollar figures are in thousands ($000's)</t>
      </is>
    </oc>
    <nc r="A5"/>
  </rcc>
  <rcc rId="34918" sId="6">
    <oc r="B8" t="inlineStr">
      <is>
        <t>FY2008</t>
      </is>
    </oc>
    <nc r="B8"/>
  </rcc>
  <rcc rId="34919" sId="6">
    <oc r="C8" t="inlineStr">
      <is>
        <t>FY2009</t>
      </is>
    </oc>
    <nc r="C8"/>
  </rcc>
  <rcc rId="34920" sId="6">
    <oc r="D8" t="inlineStr">
      <is>
        <t>Change FY '08-'09</t>
      </is>
    </oc>
    <nc r="D8"/>
  </rcc>
  <rcc rId="34921" sId="6">
    <oc r="F8" t="inlineStr">
      <is>
        <t>FY 2010</t>
      </is>
    </oc>
    <nc r="F8"/>
  </rcc>
  <rcc rId="34922" sId="6">
    <oc r="G8" t="inlineStr">
      <is>
        <t>Change FY '09-'10</t>
      </is>
    </oc>
    <nc r="G8"/>
  </rcc>
  <rcc rId="34923" sId="6">
    <oc r="A9" t="inlineStr">
      <is>
        <t>Appropriation Title</t>
      </is>
    </oc>
    <nc r="A9"/>
  </rcc>
  <rcc rId="34924" sId="6">
    <oc r="B9" t="inlineStr">
      <is>
        <t>Approved FTEs</t>
      </is>
    </oc>
    <nc r="B9"/>
  </rcc>
  <rcc rId="34925" sId="6">
    <oc r="C9" t="inlineStr">
      <is>
        <t>Approved FTEs</t>
      </is>
    </oc>
    <nc r="C9"/>
  </rcc>
  <rcc rId="34926" sId="6">
    <oc r="D9" t="inlineStr">
      <is>
        <t># FTEs</t>
      </is>
    </oc>
    <nc r="D9"/>
  </rcc>
  <rcc rId="34927" sId="6">
    <oc r="E9" t="inlineStr">
      <is>
        <t>%</t>
      </is>
    </oc>
    <nc r="E9"/>
  </rcc>
  <rcc rId="34928" sId="6">
    <oc r="F9" t="inlineStr">
      <is>
        <t>Proposed FTEs</t>
      </is>
    </oc>
    <nc r="F9"/>
  </rcc>
  <rcc rId="34929" sId="6">
    <oc r="G9" t="inlineStr">
      <is>
        <t># FTEs</t>
      </is>
    </oc>
    <nc r="G9"/>
  </rcc>
  <rcc rId="34930" sId="6">
    <oc r="H9" t="inlineStr">
      <is>
        <t>%</t>
      </is>
    </oc>
    <nc r="H9"/>
  </rcc>
  <rcc rId="34931" sId="6">
    <oc r="A10" t="inlineStr">
      <is>
        <t>Governmental Direction &amp; Support</t>
      </is>
    </oc>
    <nc r="A10"/>
  </rcc>
  <rcc rId="34932" sId="6">
    <oc r="A11" t="inlineStr">
      <is>
        <t>Council of the District of Columbia (AB)</t>
      </is>
    </oc>
    <nc r="A11"/>
  </rcc>
  <rcc rId="34933" sId="6" numFmtId="4">
    <oc r="B11">
      <v>169.9</v>
    </oc>
    <nc r="B11"/>
  </rcc>
  <rcc rId="34934" sId="6" numFmtId="4">
    <oc r="C11">
      <v>198</v>
    </oc>
    <nc r="C11"/>
  </rcc>
  <rcc rId="34935" sId="6">
    <oc r="D11">
      <f>C11-B11</f>
    </oc>
    <nc r="D11"/>
  </rcc>
  <rcc rId="34936" sId="6">
    <oc r="E11">
      <f>D11/B11</f>
    </oc>
    <nc r="E11"/>
  </rcc>
  <rcc rId="34937" sId="6" numFmtId="4">
    <oc r="F11">
      <v>198</v>
    </oc>
    <nc r="F11"/>
  </rcc>
  <rcc rId="34938" sId="6">
    <oc r="G11">
      <f>F11-C11</f>
    </oc>
    <nc r="G11"/>
  </rcc>
  <rcc rId="34939" sId="6">
    <oc r="H11">
      <f>G11/C11</f>
    </oc>
    <nc r="H11"/>
  </rcc>
  <rcc rId="34940" sId="6">
    <oc r="A12" t="inlineStr">
      <is>
        <t>Office of the District of Columbia Auditor (AC)</t>
      </is>
    </oc>
    <nc r="A12"/>
  </rcc>
  <rcc rId="34941" sId="6" numFmtId="4">
    <oc r="B12">
      <v>16</v>
    </oc>
    <nc r="B12"/>
  </rcc>
  <rcc rId="34942" sId="6" numFmtId="4">
    <oc r="C12">
      <v>30</v>
    </oc>
    <nc r="C12"/>
  </rcc>
  <rcc rId="34943" sId="6">
    <oc r="D12">
      <f>C12-B12</f>
    </oc>
    <nc r="D12"/>
  </rcc>
  <rcc rId="34944" sId="6">
    <oc r="E12">
      <f>D12/B12</f>
    </oc>
    <nc r="E12"/>
  </rcc>
  <rcc rId="34945" sId="6" numFmtId="4">
    <oc r="F12">
      <v>30</v>
    </oc>
    <nc r="F12"/>
  </rcc>
  <rcc rId="34946" sId="6">
    <oc r="G12">
      <f>F12-C12</f>
    </oc>
    <nc r="G12"/>
  </rcc>
  <rcc rId="34947" sId="6">
    <oc r="H12">
      <f>G12/C12</f>
    </oc>
    <nc r="H12"/>
  </rcc>
  <rcc rId="34948" sId="6">
    <oc r="A13" t="inlineStr">
      <is>
        <t>Advisory Neighborhood Commissions (DX)</t>
      </is>
    </oc>
    <nc r="A13"/>
  </rcc>
  <rcc rId="34949" sId="6" numFmtId="4">
    <oc r="B13">
      <v>1</v>
    </oc>
    <nc r="B13"/>
  </rcc>
  <rcc rId="34950" sId="6" numFmtId="4">
    <oc r="C13">
      <v>2.5</v>
    </oc>
    <nc r="C13"/>
  </rcc>
  <rcc rId="34951" sId="6">
    <oc r="D13">
      <f>C13-B13</f>
    </oc>
    <nc r="D13"/>
  </rcc>
  <rcc rId="34952" sId="6">
    <oc r="E13">
      <f>D13/B13</f>
    </oc>
    <nc r="E13"/>
  </rcc>
  <rcc rId="34953" sId="6" numFmtId="4">
    <oc r="F13">
      <v>2.5</v>
    </oc>
    <nc r="F13"/>
  </rcc>
  <rcc rId="34954" sId="6">
    <oc r="G13">
      <f>F13-C13</f>
    </oc>
    <nc r="G13"/>
  </rcc>
  <rcc rId="34955" sId="6">
    <oc r="H13">
      <f>G13/C13</f>
    </oc>
    <nc r="H13"/>
  </rcc>
  <rcc rId="34956" sId="6">
    <oc r="A14" t="inlineStr">
      <is>
        <t>Office of the Mayor (AA)</t>
      </is>
    </oc>
    <nc r="A14"/>
  </rcc>
  <rcc rId="34957" sId="6" numFmtId="4">
    <oc r="B14">
      <v>57.5</v>
    </oc>
    <nc r="B14"/>
  </rcc>
  <rcc rId="34958" sId="6" numFmtId="4">
    <oc r="C14">
      <v>55</v>
    </oc>
    <nc r="C14"/>
  </rcc>
  <rcc rId="34959" sId="6">
    <oc r="D14">
      <f>C14-B14</f>
    </oc>
    <nc r="D14"/>
  </rcc>
  <rcc rId="34960" sId="6">
    <oc r="E14">
      <f>D14/B14</f>
    </oc>
    <nc r="E14"/>
  </rcc>
  <rcc rId="34961" sId="6" numFmtId="4">
    <oc r="F14">
      <v>55</v>
    </oc>
    <nc r="F14"/>
  </rcc>
  <rcc rId="34962" sId="6">
    <oc r="G14">
      <f>F14-C14</f>
    </oc>
    <nc r="G14"/>
  </rcc>
  <rcc rId="34963" sId="6">
    <oc r="H14">
      <f>G14/C14</f>
    </oc>
    <nc r="H14"/>
  </rcc>
  <rcc rId="34964" sId="6">
    <oc r="A15" t="inlineStr">
      <is>
        <t>Office of the Community Affairs (RP)</t>
      </is>
    </oc>
    <nc r="A15"/>
  </rcc>
  <rcc rId="34965" sId="6" numFmtId="4">
    <oc r="B15">
      <v>28.1</v>
    </oc>
    <nc r="B15"/>
  </rcc>
  <rcc rId="34966" sId="6" numFmtId="4">
    <oc r="C15">
      <v>36</v>
    </oc>
    <nc r="C15"/>
  </rcc>
  <rcc rId="34967" sId="6">
    <oc r="D15">
      <f>C15-B15</f>
    </oc>
    <nc r="D15"/>
  </rcc>
  <rcc rId="34968" sId="6">
    <oc r="E15">
      <f>D15/B15</f>
    </oc>
    <nc r="E15"/>
  </rcc>
  <rcc rId="34969" sId="6" numFmtId="4">
    <oc r="F15">
      <v>40</v>
    </oc>
    <nc r="F15"/>
  </rcc>
  <rcc rId="34970" sId="6">
    <oc r="G15">
      <f>F15-C15</f>
    </oc>
    <nc r="G15"/>
  </rcc>
  <rcc rId="34971" sId="6">
    <oc r="H15">
      <f>G15/C15</f>
    </oc>
    <nc r="H15"/>
  </rcc>
  <rcc rId="34972" sId="6">
    <oc r="A16" t="inlineStr">
      <is>
        <t>Serve DC (RS)</t>
      </is>
    </oc>
    <nc r="A16"/>
  </rcc>
  <rcc rId="34973" sId="6" numFmtId="4">
    <oc r="B16">
      <v>8</v>
    </oc>
    <nc r="B16"/>
  </rcc>
  <rcc rId="34974" sId="6" numFmtId="4">
    <oc r="C16">
      <v>12</v>
    </oc>
    <nc r="C16"/>
  </rcc>
  <rcc rId="34975" sId="6">
    <oc r="D16">
      <f>C16-B16</f>
    </oc>
    <nc r="D16"/>
  </rcc>
  <rcc rId="34976" sId="6">
    <oc r="E16">
      <f>D16/B16</f>
    </oc>
    <nc r="E16"/>
  </rcc>
  <rcc rId="34977" sId="6" numFmtId="4">
    <oc r="F16">
      <v>12.1</v>
    </oc>
    <nc r="F16"/>
  </rcc>
  <rcc rId="34978" sId="6">
    <oc r="G16">
      <f>F16-C16</f>
    </oc>
    <nc r="G16"/>
  </rcc>
  <rcc rId="34979" sId="6">
    <oc r="H16">
      <f>G16/C16</f>
    </oc>
    <nc r="H16"/>
  </rcc>
  <rcc rId="34980" sId="6">
    <oc r="A17" t="inlineStr">
      <is>
        <t>Office of the Secretary (BA)</t>
      </is>
    </oc>
    <nc r="A17"/>
  </rcc>
  <rcc rId="34981" sId="6" numFmtId="4">
    <oc r="B17">
      <v>27</v>
    </oc>
    <nc r="B17"/>
  </rcc>
  <rcc rId="34982" sId="6" numFmtId="4">
    <oc r="C17">
      <v>29</v>
    </oc>
    <nc r="C17"/>
  </rcc>
  <rcc rId="34983" sId="6">
    <oc r="D17">
      <f>C17-B17</f>
    </oc>
    <nc r="D17"/>
  </rcc>
  <rcc rId="34984" sId="6">
    <oc r="E17">
      <f>D17/B17</f>
    </oc>
    <nc r="E17"/>
  </rcc>
  <rcc rId="34985" sId="6" numFmtId="4">
    <oc r="F17">
      <v>27</v>
    </oc>
    <nc r="F17"/>
  </rcc>
  <rcc rId="34986" sId="6">
    <oc r="G17">
      <f>F17-C17</f>
    </oc>
    <nc r="G17"/>
  </rcc>
  <rcc rId="34987" sId="6">
    <oc r="H17">
      <f>G17/C17</f>
    </oc>
    <nc r="H17"/>
  </rcc>
  <rcc rId="34988" sId="6">
    <oc r="A18" t="inlineStr">
      <is>
        <t>Office of the City Administrator (AE)</t>
      </is>
    </oc>
    <nc r="A18"/>
  </rcc>
  <rcc rId="34989" sId="6" numFmtId="4">
    <oc r="B18">
      <v>60.2</v>
    </oc>
    <nc r="B18"/>
  </rcc>
  <rcc rId="34990" sId="6" numFmtId="4">
    <oc r="C18">
      <v>49</v>
    </oc>
    <nc r="C18"/>
  </rcc>
  <rcc rId="34991" sId="6">
    <oc r="D18">
      <f>C18-B18</f>
    </oc>
    <nc r="D18"/>
  </rcc>
  <rcc rId="34992" sId="6">
    <oc r="E18">
      <f>D18/B18</f>
    </oc>
    <nc r="E18"/>
  </rcc>
  <rcc rId="34993" sId="6" numFmtId="4">
    <oc r="F18">
      <v>46</v>
    </oc>
    <nc r="F18"/>
  </rcc>
  <rcc rId="34994" sId="6">
    <oc r="G18">
      <f>F18-C18</f>
    </oc>
    <nc r="G18"/>
  </rcc>
  <rcc rId="34995" sId="6">
    <oc r="H18">
      <f>G18/C18</f>
    </oc>
    <nc r="H18"/>
  </rcc>
  <rcc rId="34996" sId="6">
    <oc r="A19" t="inlineStr">
      <is>
        <t>D.C. Office of Risk Management (RK)</t>
      </is>
    </oc>
    <nc r="A19"/>
  </rcc>
  <rcc rId="34997" sId="6" numFmtId="4">
    <oc r="B19">
      <v>26</v>
    </oc>
    <nc r="B19"/>
  </rcc>
  <rcc rId="34998" sId="6" numFmtId="4">
    <oc r="C19">
      <v>14.5</v>
    </oc>
    <nc r="C19"/>
  </rcc>
  <rcc rId="34999" sId="6">
    <oc r="D19">
      <f>C19-B19</f>
    </oc>
    <nc r="D19"/>
  </rcc>
  <rcc rId="35000" sId="6">
    <oc r="E19">
      <f>D19/B19</f>
    </oc>
    <nc r="E19"/>
  </rcc>
  <rcc rId="35001" sId="6" numFmtId="4">
    <oc r="F19">
      <v>11.8</v>
    </oc>
    <nc r="F19"/>
  </rcc>
  <rcc rId="35002" sId="6">
    <oc r="G19">
      <f>F19-C19</f>
    </oc>
    <nc r="G19"/>
  </rcc>
  <rcc rId="35003" sId="6">
    <oc r="H19">
      <f>G19/C19</f>
    </oc>
    <nc r="H19"/>
  </rcc>
  <rcc rId="35004" sId="6">
    <oc r="A20" t="inlineStr">
      <is>
        <t>D.C. Human Resources (BE)</t>
      </is>
    </oc>
    <nc r="A20"/>
  </rcc>
  <rcc rId="35005" sId="6" numFmtId="4">
    <oc r="B20">
      <v>89.7</v>
    </oc>
    <nc r="B20"/>
  </rcc>
  <rcc rId="35006" sId="6" numFmtId="4">
    <oc r="C20">
      <v>112.3</v>
    </oc>
    <nc r="C20"/>
  </rcc>
  <rcc rId="35007" sId="6">
    <oc r="D20">
      <f>C20-B20</f>
    </oc>
    <nc r="D20"/>
  </rcc>
  <rcc rId="35008" sId="6">
    <oc r="E20">
      <f>D20/B20</f>
    </oc>
    <nc r="E20"/>
  </rcc>
  <rcc rId="35009" sId="6" numFmtId="4">
    <oc r="F20">
      <v>81.900000000000006</v>
    </oc>
    <nc r="F20"/>
  </rcc>
  <rcc rId="35010" sId="6">
    <oc r="G20">
      <f>F20-C20</f>
    </oc>
    <nc r="G20"/>
  </rcc>
  <rcc rId="35011" sId="6">
    <oc r="H20">
      <f>G20/C20</f>
    </oc>
    <nc r="H20"/>
  </rcc>
  <rcc rId="35012" sId="6">
    <oc r="A21" t="inlineStr">
      <is>
        <t>Office of Disability Rights (JR)*</t>
      </is>
    </oc>
    <nc r="A21"/>
  </rcc>
  <rcc rId="35013" sId="6" numFmtId="4">
    <oc r="B21">
      <v>10</v>
    </oc>
    <nc r="B21"/>
  </rcc>
  <rcc rId="35014" sId="6" numFmtId="4">
    <oc r="C21">
      <v>11</v>
    </oc>
    <nc r="C21"/>
  </rcc>
  <rcc rId="35015" sId="6">
    <oc r="D21">
      <f>C21-B21</f>
    </oc>
    <nc r="D21"/>
  </rcc>
  <rcc rId="35016" sId="6">
    <oc r="E21">
      <f>D21/B21</f>
    </oc>
    <nc r="E21"/>
  </rcc>
  <rcc rId="35017" sId="6" numFmtId="4">
    <oc r="F21">
      <v>10</v>
    </oc>
    <nc r="F21"/>
  </rcc>
  <rcc rId="35018" sId="6">
    <oc r="G21">
      <f>F21-C21</f>
    </oc>
    <nc r="G21"/>
  </rcc>
  <rcc rId="35019" sId="6">
    <oc r="H21">
      <f>G21/C21</f>
    </oc>
    <nc r="H21"/>
  </rcc>
  <rcc rId="35020" sId="6">
    <oc r="A22" t="inlineStr">
      <is>
        <t>Office of Finance and Resource Management (AS)</t>
      </is>
    </oc>
    <nc r="A22"/>
  </rcc>
  <rcc rId="35021" sId="6" numFmtId="4">
    <oc r="B22">
      <v>41.6</v>
    </oc>
    <nc r="B22"/>
  </rcc>
  <rcc rId="35022" sId="6" numFmtId="4">
    <oc r="C22">
      <v>47.2</v>
    </oc>
    <nc r="C22"/>
  </rcc>
  <rcc rId="35023" sId="6">
    <oc r="D22">
      <f>C22-B22</f>
    </oc>
    <nc r="D22"/>
  </rcc>
  <rcc rId="35024" sId="6">
    <oc r="E22">
      <f>D22/B22</f>
    </oc>
    <nc r="E22"/>
  </rcc>
  <rcc rId="35025" sId="6" numFmtId="4">
    <oc r="F22">
      <v>47.2</v>
    </oc>
    <nc r="F22"/>
  </rcc>
  <rcc rId="35026" sId="6">
    <oc r="G22">
      <f>F22-C22</f>
    </oc>
    <nc r="G22"/>
  </rcc>
  <rcc rId="35027" sId="6">
    <oc r="H22">
      <f>G22/C22</f>
    </oc>
    <nc r="H22"/>
  </rcc>
  <rcc rId="35028" sId="6">
    <oc r="A23" t="inlineStr">
      <is>
        <t>Office of Partnerships and Grants and Services (BU)</t>
      </is>
    </oc>
    <nc r="A23"/>
  </rcc>
  <rcc rId="35029" sId="6" numFmtId="4">
    <oc r="B23">
      <v>0</v>
    </oc>
    <nc r="B23"/>
  </rcc>
  <rcc rId="35030" sId="6" numFmtId="4">
    <oc r="C23">
      <v>10</v>
    </oc>
    <nc r="C23"/>
  </rcc>
  <rcc rId="35031" sId="6">
    <oc r="D23">
      <f>C23-B23</f>
    </oc>
    <nc r="D23"/>
  </rcc>
  <rcc rId="35032" sId="6">
    <oc r="E23" t="inlineStr">
      <is>
        <t>—</t>
      </is>
    </oc>
    <nc r="E23"/>
  </rcc>
  <rcc rId="35033" sId="6" numFmtId="4">
    <oc r="F23">
      <v>4</v>
    </oc>
    <nc r="F23"/>
  </rcc>
  <rcc rId="35034" sId="6">
    <oc r="G23">
      <f>F23-C23</f>
    </oc>
    <nc r="G23"/>
  </rcc>
  <rcc rId="35035" sId="6">
    <oc r="H23">
      <f>G23/C23</f>
    </oc>
    <nc r="H23"/>
  </rcc>
  <rcc rId="35036" sId="6">
    <oc r="A24" t="inlineStr">
      <is>
        <t>Office of Contracting and Procurement (PO)</t>
      </is>
    </oc>
    <nc r="A24"/>
  </rcc>
  <rcc rId="35037" sId="6" numFmtId="4">
    <oc r="B24">
      <v>111.9</v>
    </oc>
    <nc r="B24"/>
  </rcc>
  <rcc rId="35038" sId="6" numFmtId="4">
    <oc r="C24">
      <v>49</v>
    </oc>
    <nc r="C24"/>
  </rcc>
  <rcc rId="35039" sId="6">
    <oc r="D24">
      <f>C24-B24</f>
    </oc>
    <nc r="D24"/>
  </rcc>
  <rcc rId="35040" sId="6">
    <oc r="E24">
      <f>D24/B24</f>
    </oc>
    <nc r="E24"/>
  </rcc>
  <rcc rId="35041" sId="6" numFmtId="4">
    <oc r="F24">
      <v>26</v>
    </oc>
    <nc r="F24"/>
  </rcc>
  <rcc rId="35042" sId="6">
    <oc r="G24">
      <f>F24-C24</f>
    </oc>
    <nc r="G24"/>
  </rcc>
  <rcc rId="35043" sId="6">
    <oc r="H24">
      <f>G24/C24</f>
    </oc>
    <nc r="H24"/>
  </rcc>
  <rcc rId="35044" sId="6">
    <oc r="A25" t="inlineStr">
      <is>
        <t>Office of the Chief Technology Officer (TO)</t>
      </is>
    </oc>
    <nc r="A25"/>
  </rcc>
  <rcc rId="35045" sId="6" numFmtId="4">
    <oc r="B25">
      <v>193</v>
    </oc>
    <nc r="B25"/>
  </rcc>
  <rcc rId="35046" sId="6" numFmtId="4">
    <oc r="C25">
      <v>298</v>
    </oc>
    <nc r="C25"/>
  </rcc>
  <rcc rId="35047" sId="6">
    <oc r="D25">
      <f>C25-B25</f>
    </oc>
    <nc r="D25"/>
  </rcc>
  <rcc rId="35048" sId="6">
    <oc r="E25">
      <f>D25/B25</f>
    </oc>
    <nc r="E25"/>
  </rcc>
  <rcc rId="35049" sId="6" numFmtId="4">
    <oc r="F25">
      <v>276</v>
    </oc>
    <nc r="F25"/>
  </rcc>
  <rcc rId="35050" sId="6">
    <oc r="G25">
      <f>F25-C25</f>
    </oc>
    <nc r="G25"/>
  </rcc>
  <rcc rId="35051" sId="6">
    <oc r="H25">
      <f>G25/C25</f>
    </oc>
    <nc r="H25"/>
  </rcc>
  <rcc rId="35052" sId="6">
    <oc r="A26" t="inlineStr">
      <is>
        <t>Office of Property Management (AM)</t>
      </is>
    </oc>
    <nc r="A26"/>
  </rcc>
  <rcc rId="35053" sId="6" numFmtId="4">
    <oc r="B26">
      <v>50.8</v>
    </oc>
    <nc r="B26"/>
  </rcc>
  <rcc rId="35054" sId="6" numFmtId="4">
    <oc r="C26">
      <v>67</v>
    </oc>
    <nc r="C26"/>
  </rcc>
  <rcc rId="35055" sId="6">
    <oc r="D26">
      <f>C26-B26</f>
    </oc>
    <nc r="D26"/>
  </rcc>
  <rcc rId="35056" sId="6">
    <oc r="E26">
      <f>D26/B26</f>
    </oc>
    <nc r="E26"/>
  </rcc>
  <rcc rId="35057" sId="6" numFmtId="4">
    <oc r="F26">
      <v>65</v>
    </oc>
    <nc r="F26"/>
  </rcc>
  <rcc rId="35058" sId="6">
    <oc r="G26">
      <f>F26-C26</f>
    </oc>
    <nc r="G26"/>
  </rcc>
  <rcc rId="35059" sId="6">
    <oc r="H26">
      <f>G26/C26</f>
    </oc>
    <nc r="H26"/>
  </rcc>
  <rcc rId="35060" sId="6">
    <oc r="A27" t="inlineStr">
      <is>
        <t>Contract Appeals Board (AF)</t>
      </is>
    </oc>
    <nc r="A27"/>
  </rcc>
  <rcc rId="35061" sId="6" numFmtId="4">
    <oc r="B27">
      <v>5</v>
    </oc>
    <nc r="B27"/>
  </rcc>
  <rcc rId="35062" sId="6" numFmtId="4">
    <oc r="C27">
      <v>6</v>
    </oc>
    <nc r="C27"/>
  </rcc>
  <rcc rId="35063" sId="6">
    <oc r="D27">
      <f>C27-B27</f>
    </oc>
    <nc r="D27"/>
  </rcc>
  <rcc rId="35064" sId="6">
    <oc r="E27">
      <f>D27/B27</f>
    </oc>
    <nc r="E27"/>
  </rcc>
  <rcc rId="35065" sId="6" numFmtId="4">
    <oc r="F27">
      <v>6</v>
    </oc>
    <nc r="F27"/>
  </rcc>
  <rcc rId="35066" sId="6">
    <oc r="G27">
      <f>F27-C27</f>
    </oc>
    <nc r="G27"/>
  </rcc>
  <rcc rId="35067" sId="6">
    <oc r="H27">
      <f>G27/C27</f>
    </oc>
    <nc r="H27"/>
  </rcc>
  <rcc rId="35068" sId="6">
    <oc r="A28" t="inlineStr">
      <is>
        <t>Board of Elections and Ethics (DL)</t>
      </is>
    </oc>
    <nc r="A28"/>
  </rcc>
  <rcc rId="35069" sId="6" numFmtId="4">
    <oc r="B28">
      <v>53.4</v>
    </oc>
    <nc r="B28"/>
  </rcc>
  <rcc rId="35070" sId="6" numFmtId="4">
    <oc r="C28">
      <v>48</v>
    </oc>
    <nc r="C28"/>
  </rcc>
  <rcc rId="35071" sId="6">
    <oc r="D28">
      <f>C28-B28</f>
    </oc>
    <nc r="D28"/>
  </rcc>
  <rcc rId="35072" sId="6">
    <oc r="E28">
      <f>D28/B28</f>
    </oc>
    <nc r="E28"/>
  </rcc>
  <rcc rId="35073" sId="6" numFmtId="4">
    <oc r="F28">
      <v>48</v>
    </oc>
    <nc r="F28"/>
  </rcc>
  <rcc rId="35074" sId="6">
    <oc r="G28">
      <f>F28-C28</f>
    </oc>
    <nc r="G28"/>
  </rcc>
  <rcc rId="35075" sId="6">
    <oc r="H28">
      <f>G28/C28</f>
    </oc>
    <nc r="H28"/>
  </rcc>
  <rcc rId="35076" sId="6">
    <oc r="A29" t="inlineStr">
      <is>
        <t>Office of Campaign Finance (CJ)</t>
      </is>
    </oc>
    <nc r="A29"/>
  </rcc>
  <rcc rId="35077" sId="6" numFmtId="4">
    <oc r="B29">
      <v>15</v>
    </oc>
    <nc r="B29"/>
  </rcc>
  <rcc rId="35078" sId="6" numFmtId="4">
    <oc r="C29">
      <v>18</v>
    </oc>
    <nc r="C29"/>
  </rcc>
  <rcc rId="35079" sId="6">
    <oc r="D29">
      <f>C29-B29</f>
    </oc>
    <nc r="D29"/>
  </rcc>
  <rcc rId="35080" sId="6">
    <oc r="E29">
      <f>D29/B29</f>
    </oc>
    <nc r="E29"/>
  </rcc>
  <rcc rId="35081" sId="6" numFmtId="4">
    <oc r="F29">
      <v>18</v>
    </oc>
    <nc r="F29"/>
  </rcc>
  <rcc rId="35082" sId="6">
    <oc r="G29">
      <f>F29-C29</f>
    </oc>
    <nc r="G29"/>
  </rcc>
  <rcc rId="35083" sId="6">
    <oc r="H29">
      <f>G29/C29</f>
    </oc>
    <nc r="H29"/>
  </rcc>
  <rcc rId="35084" sId="6">
    <oc r="A30" t="inlineStr">
      <is>
        <t>Public Employee Relations Board (CG)</t>
      </is>
    </oc>
    <nc r="A30"/>
  </rcc>
  <rcc rId="35085" sId="6" numFmtId="4">
    <oc r="B30">
      <v>9</v>
    </oc>
    <nc r="B30"/>
  </rcc>
  <rcc rId="35086" sId="6" numFmtId="4">
    <oc r="C30">
      <v>5</v>
    </oc>
    <nc r="C30"/>
  </rcc>
  <rcc rId="35087" sId="6">
    <oc r="D30">
      <f>C30-B30</f>
    </oc>
    <nc r="D30"/>
  </rcc>
  <rcc rId="35088" sId="6">
    <oc r="E30">
      <f>D30/B30</f>
    </oc>
    <nc r="E30"/>
  </rcc>
  <rcc rId="35089" sId="6" numFmtId="4">
    <oc r="F30">
      <v>6</v>
    </oc>
    <nc r="F30"/>
  </rcc>
  <rcc rId="35090" sId="6">
    <oc r="G30">
      <f>F30-C30</f>
    </oc>
    <nc r="G30"/>
  </rcc>
  <rcc rId="35091" sId="6">
    <oc r="H30">
      <f>G30/C30</f>
    </oc>
    <nc r="H30"/>
  </rcc>
  <rcc rId="35092" sId="6">
    <oc r="A31" t="inlineStr">
      <is>
        <t>Office of Employee Appeals (CH)</t>
      </is>
    </oc>
    <nc r="A31"/>
  </rcc>
  <rcc rId="35093" sId="6" numFmtId="4">
    <oc r="B31">
      <v>12.8</v>
    </oc>
    <nc r="B31"/>
  </rcc>
  <rcc rId="35094" sId="6" numFmtId="4">
    <oc r="C31">
      <v>13.2</v>
    </oc>
    <nc r="C31"/>
  </rcc>
  <rcc rId="35095" sId="6">
    <oc r="D31">
      <f>C31-B31</f>
    </oc>
    <nc r="D31"/>
  </rcc>
  <rcc rId="35096" sId="6">
    <oc r="E31">
      <f>D31/B31</f>
    </oc>
    <nc r="E31"/>
  </rcc>
  <rcc rId="35097" sId="6" numFmtId="4">
    <oc r="F31">
      <v>13.2</v>
    </oc>
    <nc r="F31"/>
  </rcc>
  <rcc rId="35098" sId="6">
    <oc r="G31">
      <f>F31-C31</f>
    </oc>
    <nc r="G31"/>
  </rcc>
  <rcc rId="35099" sId="6">
    <oc r="H31">
      <f>G31/C31</f>
    </oc>
    <nc r="H31"/>
  </rcc>
  <rcc rId="35100" sId="6">
    <oc r="A32" t="inlineStr">
      <is>
        <t>Metropolitan Washington Council of Governments (EA)</t>
      </is>
    </oc>
    <nc r="A32"/>
  </rcc>
  <rcc rId="35101" sId="6" numFmtId="4">
    <oc r="B32">
      <v>0</v>
    </oc>
    <nc r="B32"/>
  </rcc>
  <rcc rId="35102" sId="6" numFmtId="4">
    <oc r="C32">
      <v>0</v>
    </oc>
    <nc r="C32"/>
  </rcc>
  <rcc rId="35103" sId="6">
    <oc r="D32">
      <f>C32-B32</f>
    </oc>
    <nc r="D32"/>
  </rcc>
  <rcc rId="35104" sId="6">
    <oc r="E32" t="inlineStr">
      <is>
        <t>—</t>
      </is>
    </oc>
    <nc r="E32"/>
  </rcc>
  <rcc rId="35105" sId="6" numFmtId="4">
    <oc r="F32">
      <v>0</v>
    </oc>
    <nc r="F32"/>
  </rcc>
  <rcc rId="35106" sId="6">
    <oc r="G32">
      <f>F32-C32</f>
    </oc>
    <nc r="G32"/>
  </rcc>
  <rcc rId="35107" sId="6">
    <oc r="H32" t="inlineStr">
      <is>
        <t>—</t>
      </is>
    </oc>
    <nc r="H32"/>
  </rcc>
  <rcc rId="35108" sId="6">
    <oc r="A33" t="inlineStr">
      <is>
        <t>Office of the Attorney General of the District of Columbia (CB)</t>
      </is>
    </oc>
    <nc r="A33"/>
  </rcc>
  <rcc rId="35109" sId="6" numFmtId="4">
    <oc r="B33">
      <v>611.79999999999995</v>
    </oc>
    <nc r="B33"/>
  </rcc>
  <rcc rId="35110" sId="6" numFmtId="4">
    <oc r="C33">
      <v>626.70000000000005</v>
    </oc>
    <nc r="C33"/>
  </rcc>
  <rcc rId="35111" sId="6">
    <oc r="D33">
      <f>C33-B33</f>
    </oc>
    <nc r="D33"/>
  </rcc>
  <rcc rId="35112" sId="6">
    <oc r="E33">
      <f>D33/B33</f>
    </oc>
    <nc r="E33"/>
  </rcc>
  <rcc rId="35113" sId="6" numFmtId="4">
    <oc r="F33">
      <v>620.70000000000005</v>
    </oc>
    <nc r="F33"/>
  </rcc>
  <rcc rId="35114" sId="6">
    <oc r="G33">
      <f>F33-C33</f>
    </oc>
    <nc r="G33"/>
  </rcc>
  <rcc rId="35115" sId="6">
    <oc r="H33">
      <f>G33/C33</f>
    </oc>
    <nc r="H33"/>
  </rcc>
  <rcc rId="35116" sId="6">
    <oc r="A34" t="inlineStr">
      <is>
        <t>Office of the Inspector General (AD)</t>
      </is>
    </oc>
    <nc r="A34"/>
  </rcc>
  <rcc rId="35117" sId="6" numFmtId="4">
    <oc r="B34">
      <v>120</v>
    </oc>
    <nc r="B34"/>
  </rcc>
  <rcc rId="35118" sId="6" numFmtId="4">
    <oc r="C34">
      <v>124</v>
    </oc>
    <nc r="C34"/>
  </rcc>
  <rcc rId="35119" sId="6">
    <oc r="D34">
      <f>C34-B34</f>
    </oc>
    <nc r="D34"/>
  </rcc>
  <rcc rId="35120" sId="6">
    <oc r="E34">
      <f>D34/B34</f>
    </oc>
    <nc r="E34"/>
  </rcc>
  <rcc rId="35121" sId="6" numFmtId="4">
    <oc r="F34">
      <v>124</v>
    </oc>
    <nc r="F34"/>
  </rcc>
  <rcc rId="35122" sId="6">
    <oc r="G34">
      <f>F34-C34</f>
    </oc>
    <nc r="G34"/>
  </rcc>
  <rcc rId="35123" sId="6">
    <oc r="H34">
      <f>G34/C34</f>
    </oc>
    <nc r="H34"/>
  </rcc>
  <rcc rId="35124" sId="6">
    <oc r="A35" t="inlineStr">
      <is>
        <t>Office of the Chief Financial Officer (AT)</t>
      </is>
    </oc>
    <nc r="A35"/>
  </rcc>
  <rcc rId="35125" sId="6" numFmtId="4">
    <oc r="B35">
      <v>901.4</v>
    </oc>
    <nc r="B35"/>
  </rcc>
  <rcc rId="35126" sId="6" numFmtId="4">
    <oc r="C35">
      <v>1028.9000000000001</v>
    </oc>
    <nc r="C35"/>
  </rcc>
  <rcc rId="35127" sId="6">
    <oc r="D35">
      <f>C35-B35</f>
    </oc>
    <nc r="D35"/>
  </rcc>
  <rcc rId="35128" sId="6">
    <oc r="E35">
      <f>D35/B35</f>
    </oc>
    <nc r="E35"/>
  </rcc>
  <rcc rId="35129" sId="6" numFmtId="4">
    <oc r="F35">
      <v>916.3</v>
    </oc>
    <nc r="F35"/>
  </rcc>
  <rcc rId="35130" sId="6">
    <oc r="G35">
      <f>F35-C35</f>
    </oc>
    <nc r="G35"/>
  </rcc>
  <rcc rId="35131" sId="6">
    <oc r="H35">
      <f>G35/C35</f>
    </oc>
    <nc r="H35"/>
  </rcc>
  <rcc rId="35132" sId="6">
    <oc r="A36" t="inlineStr">
      <is>
        <t>Medical Liability Captive Insurance Agency (RJ)**</t>
      </is>
    </oc>
    <nc r="A36"/>
  </rcc>
  <rcc rId="35133" sId="6" numFmtId="4">
    <oc r="B36">
      <v>0</v>
    </oc>
    <nc r="B36"/>
  </rcc>
  <rcc rId="35134" sId="6" numFmtId="4">
    <oc r="C36">
      <v>0</v>
    </oc>
    <nc r="C36"/>
  </rcc>
  <rcc rId="35135" sId="6">
    <oc r="D36">
      <f>C36-B36</f>
    </oc>
    <nc r="D36"/>
  </rcc>
  <rcc rId="35136" sId="6">
    <oc r="E36" t="inlineStr">
      <is>
        <t>—</t>
      </is>
    </oc>
    <nc r="E36"/>
  </rcc>
  <rcc rId="35137" sId="6" numFmtId="4">
    <oc r="F36">
      <v>0</v>
    </oc>
    <nc r="F36"/>
  </rcc>
  <rcc rId="35138" sId="6">
    <oc r="G36">
      <f>F36-C36</f>
    </oc>
    <nc r="G36"/>
  </rcc>
  <rcc rId="35139" sId="6">
    <oc r="H36" t="inlineStr">
      <is>
        <t>—</t>
      </is>
    </oc>
    <nc r="H36"/>
  </rcc>
  <rcc rId="35140" sId="6">
    <oc r="A37" t="inlineStr">
      <is>
        <t xml:space="preserve">Subtotal: Governmental Direction &amp; Support </t>
      </is>
    </oc>
    <nc r="A37"/>
  </rcc>
  <rcc rId="35141" sId="6">
    <oc r="B37">
      <f>SUM(B11:B35)</f>
    </oc>
    <nc r="B37"/>
  </rcc>
  <rcc rId="35142" sId="6">
    <oc r="C37">
      <f>SUM(C11:C36)</f>
    </oc>
    <nc r="C37"/>
  </rcc>
  <rcc rId="35143" sId="6">
    <oc r="D37">
      <f>C37-B37</f>
    </oc>
    <nc r="D37"/>
  </rcc>
  <rcc rId="35144" sId="6">
    <oc r="E37">
      <f>D37/B37</f>
    </oc>
    <nc r="E37"/>
  </rcc>
  <rcc rId="35145" sId="6">
    <oc r="F37">
      <f>SUM(F11:F36)</f>
    </oc>
    <nc r="F37"/>
  </rcc>
  <rcc rId="35146" sId="6">
    <oc r="G37">
      <f>F37-C37</f>
    </oc>
    <nc r="G37"/>
  </rcc>
  <rcc rId="35147" sId="6">
    <oc r="H37">
      <f>G37/C37</f>
    </oc>
    <nc r="H37"/>
  </rcc>
  <rcc rId="35148" sId="6">
    <oc r="A39" t="inlineStr">
      <is>
        <t>Notes for Government Direction &amp; Support</t>
      </is>
    </oc>
    <nc r="A39"/>
  </rcc>
  <rcc rId="35149" sId="6">
    <oc r="A40" t="inlineStr">
      <is>
        <t>*This agency does not exist after 2007</t>
      </is>
    </oc>
    <nc r="A40"/>
  </rcc>
  <rcc rId="35150" sId="6">
    <oc r="A41" t="inlineStr">
      <is>
        <t>**This agency was first proposed n 2010</t>
      </is>
    </oc>
    <nc r="A41"/>
  </rcc>
  <rcc rId="35151" sId="6">
    <oc r="A42" t="inlineStr">
      <is>
        <t>***This line item first appears in 2008</t>
      </is>
    </oc>
    <nc r="A42"/>
  </rcc>
  <rcc rId="35152" sId="6">
    <oc r="A44" t="inlineStr">
      <is>
        <t xml:space="preserve">Economic Development &amp; Regulation  </t>
      </is>
    </oc>
    <nc r="A44"/>
  </rcc>
  <rcc rId="35153" sId="6">
    <oc r="A45" t="inlineStr">
      <is>
        <t>Deputy Mayor for Planning and Economic Development*</t>
      </is>
    </oc>
    <nc r="A45"/>
  </rcc>
  <rcc rId="35154" sId="6" numFmtId="4">
    <oc r="B45">
      <v>56.6</v>
    </oc>
    <nc r="B45"/>
  </rcc>
  <rcc rId="35155" sId="6" numFmtId="4">
    <oc r="C45">
      <v>73.5</v>
    </oc>
    <nc r="C45"/>
  </rcc>
  <rcc rId="35156" sId="6">
    <oc r="D45">
      <f>C45-B45</f>
    </oc>
    <nc r="D45"/>
  </rcc>
  <rcc rId="35157" sId="6">
    <oc r="E45">
      <f>D45/B45</f>
    </oc>
    <nc r="E45"/>
  </rcc>
  <rcc rId="35158" sId="6" numFmtId="4">
    <oc r="F45">
      <v>69.5</v>
    </oc>
    <nc r="F45"/>
  </rcc>
  <rcc rId="35159" sId="6">
    <oc r="G45">
      <f>F45-C45</f>
    </oc>
    <nc r="G45"/>
  </rcc>
  <rcc rId="35160" sId="6">
    <oc r="H45">
      <f>G45/C45</f>
    </oc>
    <nc r="H45"/>
  </rcc>
  <rcc rId="35161" sId="6">
    <oc r="A46" t="inlineStr">
      <is>
        <t>Office of Planning</t>
      </is>
    </oc>
    <nc r="A46"/>
  </rcc>
  <rcc rId="35162" sId="6" numFmtId="4">
    <oc r="B46">
      <v>49.8</v>
    </oc>
    <nc r="B46"/>
  </rcc>
  <rcc rId="35163" sId="6" numFmtId="4">
    <oc r="C46">
      <v>72</v>
    </oc>
    <nc r="C46"/>
  </rcc>
  <rcc rId="35164" sId="6">
    <oc r="D46">
      <f>C46-B46</f>
    </oc>
    <nc r="D46"/>
  </rcc>
  <rcc rId="35165" sId="6">
    <oc r="E46">
      <f>D46/B46</f>
    </oc>
    <nc r="E46"/>
  </rcc>
  <rcc rId="35166" sId="6" numFmtId="4">
    <oc r="F46">
      <v>72</v>
    </oc>
    <nc r="F46"/>
  </rcc>
  <rcc rId="35167" sId="6">
    <oc r="G46">
      <f>F46-C46</f>
    </oc>
    <nc r="G46"/>
  </rcc>
  <rcc rId="35168" sId="6">
    <oc r="H46">
      <f>G46/C46</f>
    </oc>
    <nc r="H46"/>
  </rcc>
  <rcc rId="35169" sId="6">
    <oc r="A47" t="inlineStr">
      <is>
        <t xml:space="preserve">Office of Small and Local Business Development*   </t>
      </is>
    </oc>
    <nc r="A47"/>
  </rcc>
  <rcc rId="35170" sId="6" numFmtId="4">
    <oc r="B47">
      <v>23.6</v>
    </oc>
    <nc r="B47"/>
  </rcc>
  <rcc rId="35171" sId="6" numFmtId="4">
    <oc r="C47">
      <v>31</v>
    </oc>
    <nc r="C47"/>
  </rcc>
  <rcc rId="35172" sId="6">
    <oc r="D47">
      <f>C47-B47</f>
    </oc>
    <nc r="D47"/>
  </rcc>
  <rcc rId="35173" sId="6">
    <oc r="E47">
      <f>D47/B47</f>
    </oc>
    <nc r="E47"/>
  </rcc>
  <rcc rId="35174" sId="6" numFmtId="4">
    <oc r="F47">
      <v>30</v>
    </oc>
    <nc r="F47"/>
  </rcc>
  <rcc rId="35175" sId="6">
    <oc r="G47">
      <f>F47-C47</f>
    </oc>
    <nc r="G47"/>
  </rcc>
  <rcc rId="35176" sId="6">
    <oc r="H47">
      <f>G47/C47</f>
    </oc>
    <nc r="H47"/>
  </rcc>
  <rcc rId="35177" sId="6">
    <oc r="A48" t="inlineStr">
      <is>
        <t>Office of Motion Picture &amp; Television Development*</t>
      </is>
    </oc>
    <nc r="A48"/>
  </rcc>
  <rcc rId="35178" sId="6" numFmtId="4">
    <oc r="B48">
      <v>5</v>
    </oc>
    <nc r="B48"/>
  </rcc>
  <rcc rId="35179" sId="6" numFmtId="4">
    <oc r="C48">
      <v>5</v>
    </oc>
    <nc r="C48"/>
  </rcc>
  <rcc rId="35180" sId="6">
    <oc r="D48">
      <f>C48-B48</f>
    </oc>
    <nc r="D48"/>
  </rcc>
  <rcc rId="35181" sId="6">
    <oc r="E48">
      <f>D48/B48</f>
    </oc>
    <nc r="E48"/>
  </rcc>
  <rcc rId="35182" sId="6" numFmtId="4">
    <oc r="F48">
      <v>4</v>
    </oc>
    <nc r="F48"/>
  </rcc>
  <rcc rId="35183" sId="6">
    <oc r="G48">
      <f>F48-C48</f>
    </oc>
    <nc r="G48"/>
  </rcc>
  <rcc rId="35184" sId="6">
    <oc r="H48">
      <f>G48/C48</f>
    </oc>
    <nc r="H48"/>
  </rcc>
  <rcc rId="35185" sId="6">
    <oc r="A49" t="inlineStr">
      <is>
        <t>Office of Zoning</t>
      </is>
    </oc>
    <nc r="A49"/>
  </rcc>
  <rcc rId="35186" sId="6" numFmtId="4">
    <oc r="B49">
      <v>27.4</v>
    </oc>
    <nc r="B49"/>
  </rcc>
  <rcc rId="35187" sId="6" numFmtId="4">
    <oc r="C49">
      <v>19</v>
    </oc>
    <nc r="C49"/>
  </rcc>
  <rcc rId="35188" sId="6">
    <oc r="D49">
      <f>C49-B49</f>
    </oc>
    <nc r="D49"/>
  </rcc>
  <rcc rId="35189" sId="6">
    <oc r="E49">
      <f>D49/B49</f>
    </oc>
    <nc r="E49"/>
  </rcc>
  <rcc rId="35190" sId="6" numFmtId="4">
    <oc r="F49">
      <v>19</v>
    </oc>
    <nc r="F49"/>
  </rcc>
  <rcc rId="35191" sId="6">
    <oc r="G49">
      <f>F49-C49</f>
    </oc>
    <nc r="G49"/>
  </rcc>
  <rcc rId="35192" sId="6">
    <oc r="H49">
      <f>G49/C49</f>
    </oc>
    <nc r="H49"/>
  </rcc>
  <rcc rId="35193" sId="6">
    <oc r="A50" t="inlineStr">
      <is>
        <t xml:space="preserve">Department of Housing and Community Development  </t>
      </is>
    </oc>
    <nc r="A50"/>
  </rcc>
  <rcc rId="35194" sId="6" numFmtId="4">
    <oc r="B50">
      <v>134.6</v>
    </oc>
    <nc r="B50"/>
  </rcc>
  <rcc rId="35195" sId="6" numFmtId="4">
    <oc r="C50">
      <v>160.5</v>
    </oc>
    <nc r="C50"/>
  </rcc>
  <rcc rId="35196" sId="6">
    <oc r="D50">
      <f>C50-B50</f>
    </oc>
    <nc r="D50"/>
  </rcc>
  <rcc rId="35197" sId="6">
    <oc r="E50">
      <f>D50/B50</f>
    </oc>
    <nc r="E50"/>
  </rcc>
  <rcc rId="35198" sId="6" numFmtId="4">
    <oc r="F50">
      <v>127</v>
    </oc>
    <nc r="F50"/>
  </rcc>
  <rcc rId="35199" sId="6">
    <oc r="G50">
      <f>F50-C50</f>
    </oc>
    <nc r="G50"/>
  </rcc>
  <rcc rId="35200" sId="6">
    <oc r="H50">
      <f>G50/C50</f>
    </oc>
    <nc r="H50"/>
  </rcc>
  <rcc rId="35201" sId="6">
    <oc r="A51" t="inlineStr">
      <is>
        <t>DC Housing Authority Subsidy</t>
      </is>
    </oc>
    <nc r="A51"/>
  </rcc>
  <rcc rId="35202" sId="6" numFmtId="4">
    <oc r="B51">
      <v>0</v>
    </oc>
    <nc r="B51"/>
  </rcc>
  <rcc rId="35203" sId="6" numFmtId="4">
    <oc r="C51">
      <v>0</v>
    </oc>
    <nc r="C51"/>
  </rcc>
  <rcc rId="35204" sId="6">
    <oc r="D51">
      <f>C51-B51</f>
    </oc>
    <nc r="D51"/>
  </rcc>
  <rcc rId="35205" sId="6">
    <oc r="E51" t="inlineStr">
      <is>
        <t>—</t>
      </is>
    </oc>
    <nc r="E51"/>
  </rcc>
  <rcc rId="35206" sId="6" numFmtId="4">
    <oc r="F51">
      <v>0</v>
    </oc>
    <nc r="F51"/>
  </rcc>
  <rcc rId="35207" sId="6">
    <oc r="G51">
      <f>F51-C51</f>
    </oc>
    <nc r="G51"/>
  </rcc>
  <rcc rId="35208" sId="6">
    <oc r="H51" t="inlineStr">
      <is>
        <t>—</t>
      </is>
    </oc>
    <nc r="H51"/>
  </rcc>
  <rcc rId="35209" sId="6">
    <oc r="A52" t="inlineStr">
      <is>
        <t>Department of Employment Services</t>
      </is>
    </oc>
    <nc r="A52"/>
  </rcc>
  <rcc rId="35210" sId="6" numFmtId="4">
    <oc r="B52">
      <v>438.1</v>
    </oc>
    <nc r="B52"/>
  </rcc>
  <rcc rId="35211" sId="6" numFmtId="4">
    <oc r="C52">
      <v>589</v>
    </oc>
    <nc r="C52"/>
  </rcc>
  <rcc rId="35212" sId="6">
    <oc r="D52">
      <f>C52-B52</f>
    </oc>
    <nc r="D52"/>
  </rcc>
  <rcc rId="35213" sId="6">
    <oc r="E52">
      <f>D52/B52</f>
    </oc>
    <nc r="E52"/>
  </rcc>
  <rcc rId="35214" sId="6" numFmtId="4">
    <oc r="F52">
      <v>590.9</v>
    </oc>
    <nc r="F52"/>
  </rcc>
  <rcc rId="35215" sId="6">
    <oc r="G52">
      <f>F52-C52</f>
    </oc>
    <nc r="G52"/>
  </rcc>
  <rcc rId="35216" sId="6">
    <oc r="H52">
      <f>G52/C52</f>
    </oc>
    <nc r="H52"/>
  </rcc>
  <rcc rId="35217" sId="6">
    <oc r="A53" t="inlineStr">
      <is>
        <t xml:space="preserve">Board of Real Property Assessments and Appeals </t>
      </is>
    </oc>
    <nc r="A53"/>
  </rcc>
  <rcc rId="35218" sId="6" numFmtId="4">
    <oc r="B53">
      <v>1.6</v>
    </oc>
    <nc r="B53"/>
  </rcc>
  <rcc rId="35219" sId="6" numFmtId="4">
    <oc r="C53">
      <v>4</v>
    </oc>
    <nc r="C53"/>
  </rcc>
  <rcc rId="35220" sId="6">
    <oc r="D53">
      <f>C53-B53</f>
    </oc>
    <nc r="D53"/>
  </rcc>
  <rcc rId="35221" sId="6">
    <oc r="E53">
      <f>D53/B53</f>
    </oc>
    <nc r="E53"/>
  </rcc>
  <rcc rId="35222" sId="6" numFmtId="4">
    <oc r="F53">
      <v>4</v>
    </oc>
    <nc r="F53"/>
  </rcc>
  <rcc rId="35223" sId="6">
    <oc r="G53">
      <f>F53-C53</f>
    </oc>
    <nc r="G53"/>
  </rcc>
  <rcc rId="35224" sId="6">
    <oc r="H53">
      <f>G53/C53</f>
    </oc>
    <nc r="H53"/>
  </rcc>
  <rcc rId="35225" sId="6">
    <oc r="A54" t="inlineStr">
      <is>
        <t>Department of Consumer and Regulatory Affairs</t>
      </is>
    </oc>
    <nc r="A54"/>
  </rcc>
  <rcc rId="35226" sId="6" numFmtId="4">
    <oc r="B54">
      <v>326.39999999999998</v>
    </oc>
    <nc r="B54"/>
  </rcc>
  <rcc rId="35227" sId="6" numFmtId="4">
    <oc r="C54">
      <v>350</v>
    </oc>
    <nc r="C54"/>
  </rcc>
  <rcc rId="35228" sId="6">
    <oc r="D54">
      <f>C54-B54</f>
    </oc>
    <nc r="D54"/>
  </rcc>
  <rcc rId="35229" sId="6">
    <oc r="E54">
      <f>D54/B54</f>
    </oc>
    <nc r="E54"/>
  </rcc>
  <rcc rId="35230" sId="6" numFmtId="4">
    <oc r="F54">
      <v>321</v>
    </oc>
    <nc r="F54"/>
  </rcc>
  <rcc rId="35231" sId="6">
    <oc r="G54">
      <f>F54-C54</f>
    </oc>
    <nc r="G54"/>
  </rcc>
  <rcc rId="35232" sId="6">
    <oc r="H54">
      <f>G54/C54</f>
    </oc>
    <nc r="H54"/>
  </rcc>
  <rcc rId="35233" sId="6">
    <oc r="A55" t="inlineStr">
      <is>
        <t>Office of the Tenant Advocate***</t>
      </is>
    </oc>
    <nc r="A55"/>
  </rcc>
  <rcc rId="35234" sId="6" numFmtId="4">
    <oc r="B55">
      <v>1</v>
    </oc>
    <nc r="B55"/>
  </rcc>
  <rcc rId="35235" sId="6" numFmtId="4">
    <oc r="C55">
      <v>17</v>
    </oc>
    <nc r="C55"/>
  </rcc>
  <rcc rId="35236" sId="6">
    <oc r="D55">
      <f>C55-B55</f>
    </oc>
    <nc r="D55"/>
  </rcc>
  <rcc rId="35237" sId="6">
    <oc r="E55">
      <f>D55/B55</f>
    </oc>
    <nc r="E55"/>
  </rcc>
  <rcc rId="35238" sId="6" numFmtId="4">
    <oc r="F55">
      <v>14.5</v>
    </oc>
    <nc r="F55"/>
  </rcc>
  <rcc rId="35239" sId="6">
    <oc r="G55">
      <f>F55-C55</f>
    </oc>
    <nc r="G55"/>
  </rcc>
  <rcc rId="35240" sId="6">
    <oc r="H55">
      <f>G55/C55</f>
    </oc>
    <nc r="H55"/>
  </rcc>
  <rcc rId="35241" sId="6">
    <oc r="A56" t="inlineStr">
      <is>
        <t>Commission of the Arts and Humanities</t>
      </is>
    </oc>
    <nc r="A56"/>
  </rcc>
  <rcc rId="35242" sId="6" numFmtId="4">
    <oc r="B56">
      <v>13.8</v>
    </oc>
    <nc r="B56"/>
  </rcc>
  <rcc rId="35243" sId="6" numFmtId="4">
    <oc r="C56">
      <v>17</v>
    </oc>
    <nc r="C56"/>
  </rcc>
  <rcc rId="35244" sId="6">
    <oc r="D56">
      <f>C56-B56</f>
    </oc>
    <nc r="D56"/>
  </rcc>
  <rcc rId="35245" sId="6">
    <oc r="E56">
      <f>D56/B56</f>
    </oc>
    <nc r="E56"/>
  </rcc>
  <rcc rId="35246" sId="6" numFmtId="4">
    <oc r="F56">
      <v>15</v>
    </oc>
    <nc r="F56"/>
  </rcc>
  <rcc rId="35247" sId="6">
    <oc r="G56">
      <f>F56-C56</f>
    </oc>
    <nc r="G56"/>
  </rcc>
  <rcc rId="35248" sId="6">
    <oc r="H56">
      <f>G56/C56</f>
    </oc>
    <nc r="H56"/>
  </rcc>
  <rcc rId="35249" sId="6">
    <oc r="A57" t="inlineStr">
      <is>
        <t>Alcoholic Beverage Regulation Administration</t>
      </is>
    </oc>
    <nc r="A57"/>
  </rcc>
  <rcc rId="35250" sId="6" numFmtId="4">
    <oc r="B57">
      <v>61.8</v>
    </oc>
    <nc r="B57"/>
  </rcc>
  <rcc rId="35251" sId="6" numFmtId="4">
    <oc r="C57">
      <v>47</v>
    </oc>
    <nc r="C57"/>
  </rcc>
  <rcc rId="35252" sId="6">
    <oc r="D57">
      <f>C57-B57</f>
    </oc>
    <nc r="D57"/>
  </rcc>
  <rcc rId="35253" sId="6">
    <oc r="E57">
      <f>D57/B57</f>
    </oc>
    <nc r="E57"/>
  </rcc>
  <rcc rId="35254" sId="6" numFmtId="4">
    <oc r="F57">
      <v>39</v>
    </oc>
    <nc r="F57"/>
  </rcc>
  <rcc rId="35255" sId="6">
    <oc r="G57">
      <f>F57-C57</f>
    </oc>
    <nc r="G57"/>
  </rcc>
  <rcc rId="35256" sId="6">
    <oc r="H57">
      <f>G57/C57</f>
    </oc>
    <nc r="H57"/>
  </rcc>
  <rcc rId="35257" sId="6">
    <oc r="A58" t="inlineStr">
      <is>
        <t>Public Service Commission</t>
      </is>
    </oc>
    <nc r="A58"/>
  </rcc>
  <rcc rId="35258" sId="6" numFmtId="4">
    <oc r="B58">
      <v>44.2</v>
    </oc>
    <nc r="B58"/>
  </rcc>
  <rcc rId="35259" sId="6" numFmtId="4">
    <oc r="C58">
      <v>67.599999999999994</v>
    </oc>
    <nc r="C58"/>
  </rcc>
  <rcc rId="35260" sId="6">
    <oc r="D58">
      <f>C58-B58</f>
    </oc>
    <nc r="D58"/>
  </rcc>
  <rcc rId="35261" sId="6">
    <oc r="E58">
      <f>D58/B58</f>
    </oc>
    <nc r="E58"/>
  </rcc>
  <rcc rId="35262" sId="6" numFmtId="4">
    <oc r="F58">
      <v>67.599999999999994</v>
    </oc>
    <nc r="F58"/>
  </rcc>
  <rcc rId="35263" sId="6">
    <oc r="G58">
      <f>F58-C58</f>
    </oc>
    <nc r="G58"/>
  </rcc>
  <rcc rId="35264" sId="6">
    <oc r="H58">
      <f>G58/C58</f>
    </oc>
    <nc r="H58"/>
  </rcc>
  <rcc rId="35265" sId="6">
    <oc r="A59" t="inlineStr">
      <is>
        <t>Office of the People's Counsel</t>
      </is>
    </oc>
    <nc r="A59"/>
  </rcc>
  <rcc rId="35266" sId="6" numFmtId="4">
    <oc r="B59">
      <v>27</v>
    </oc>
    <nc r="B59"/>
  </rcc>
  <rcc rId="35267" sId="6" numFmtId="4">
    <oc r="C59">
      <v>33.4</v>
    </oc>
    <nc r="C59"/>
  </rcc>
  <rcc rId="35268" sId="6">
    <oc r="D59">
      <f>C59-B59</f>
    </oc>
    <nc r="D59"/>
  </rcc>
  <rcc rId="35269" sId="6">
    <oc r="E59">
      <f>D59/B59</f>
    </oc>
    <nc r="E59"/>
  </rcc>
  <rcc rId="35270" sId="6" numFmtId="4">
    <oc r="F59">
      <v>33.4</v>
    </oc>
    <nc r="F59"/>
  </rcc>
  <rcc rId="35271" sId="6">
    <oc r="G59">
      <f>F59-C59</f>
    </oc>
    <nc r="G59"/>
  </rcc>
  <rcc rId="35272" sId="6">
    <oc r="H59">
      <f>G59/C59</f>
    </oc>
    <nc r="H59"/>
  </rcc>
  <rcc rId="35273" sId="6">
    <oc r="A60" t="inlineStr">
      <is>
        <t>Department of Insurance, Securities and Banking</t>
      </is>
    </oc>
    <nc r="A60"/>
  </rcc>
  <rcc rId="35274" sId="6" numFmtId="4">
    <oc r="B60">
      <v>107.7</v>
    </oc>
    <nc r="B60"/>
  </rcc>
  <rcc rId="35275" sId="6" numFmtId="4">
    <oc r="C60">
      <v>111</v>
    </oc>
    <nc r="C60"/>
  </rcc>
  <rcc rId="35276" sId="6">
    <oc r="D60">
      <f>C60-B60</f>
    </oc>
    <nc r="D60"/>
  </rcc>
  <rcc rId="35277" sId="6">
    <oc r="E60">
      <f>D60/B60</f>
    </oc>
    <nc r="E60"/>
  </rcc>
  <rcc rId="35278" sId="6" numFmtId="4">
    <oc r="F60">
      <v>111</v>
    </oc>
    <nc r="F60"/>
  </rcc>
  <rcc rId="35279" sId="6">
    <oc r="G60">
      <f>F60-C60</f>
    </oc>
    <nc r="G60"/>
  </rcc>
  <rcc rId="35280" sId="6">
    <oc r="H60">
      <f>G60/C60</f>
    </oc>
    <nc r="H60"/>
  </rcc>
  <rcc rId="35281" sId="6">
    <oc r="A61" t="inlineStr">
      <is>
        <t>Office of Cable Television and Telecommunications</t>
      </is>
    </oc>
    <nc r="A61"/>
  </rcc>
  <rcc rId="35282" sId="6" numFmtId="4">
    <oc r="B61">
      <v>38.9</v>
    </oc>
    <nc r="B61"/>
  </rcc>
  <rcc rId="35283" sId="6" numFmtId="4">
    <oc r="C61">
      <v>39</v>
    </oc>
    <nc r="C61"/>
  </rcc>
  <rcc rId="35284" sId="6">
    <oc r="D61">
      <f>C61-B61</f>
    </oc>
    <nc r="D61"/>
  </rcc>
  <rcc rId="35285" sId="6">
    <oc r="E61">
      <f>D61/B61</f>
    </oc>
    <nc r="E61"/>
  </rcc>
  <rcc rId="35286" sId="6" numFmtId="4">
    <oc r="F61">
      <v>32.5</v>
    </oc>
    <nc r="F61"/>
  </rcc>
  <rcc rId="35287" sId="6">
    <oc r="G61">
      <f>F61-C61</f>
    </oc>
    <nc r="G61"/>
  </rcc>
  <rcc rId="35288" sId="6">
    <oc r="H61">
      <f>G61/C61</f>
    </oc>
    <nc r="H61"/>
  </rcc>
  <rcc rId="35289" sId="6">
    <oc r="A62" t="inlineStr">
      <is>
        <t>Housing Production Trust Fund****</t>
      </is>
    </oc>
    <nc r="A62"/>
  </rcc>
  <rcc rId="35290" sId="6" numFmtId="4">
    <oc r="B62">
      <v>0</v>
    </oc>
    <nc r="B62"/>
  </rcc>
  <rcc rId="35291" sId="6" numFmtId="4">
    <oc r="C62">
      <v>0</v>
    </oc>
    <nc r="C62"/>
  </rcc>
  <rcc rId="35292" sId="6">
    <oc r="D62">
      <f>C62-B62</f>
    </oc>
    <nc r="D62"/>
  </rcc>
  <rcc rId="35293" sId="6">
    <oc r="E62" t="inlineStr">
      <is>
        <t>—</t>
      </is>
    </oc>
    <nc r="E62"/>
  </rcc>
  <rcc rId="35294" sId="6" numFmtId="4">
    <oc r="F62">
      <v>0</v>
    </oc>
    <nc r="F62"/>
  </rcc>
  <rcc rId="35295" sId="6">
    <oc r="G62">
      <f>F62-C62</f>
    </oc>
    <nc r="G62"/>
  </rcc>
  <rcc rId="35296" sId="6">
    <oc r="H62" t="inlineStr">
      <is>
        <t>—</t>
      </is>
    </oc>
    <nc r="H62"/>
  </rcc>
  <rcc rId="35297" sId="6">
    <oc r="A63" t="inlineStr">
      <is>
        <t>DC Sports Commission Subsidy</t>
      </is>
    </oc>
    <nc r="A63"/>
  </rcc>
  <rcc rId="35298" sId="6" numFmtId="4">
    <oc r="B63">
      <v>0</v>
    </oc>
    <nc r="B63"/>
  </rcc>
  <rcc rId="35299" sId="6" numFmtId="4">
    <oc r="C63">
      <v>0</v>
    </oc>
    <nc r="C63"/>
  </rcc>
  <rcc rId="35300" sId="6">
    <oc r="D63">
      <f>C63-B63</f>
    </oc>
    <nc r="D63"/>
  </rcc>
  <rcc rId="35301" sId="6">
    <oc r="E63" t="inlineStr">
      <is>
        <t>—</t>
      </is>
    </oc>
    <nc r="E63"/>
  </rcc>
  <rcc rId="35302" sId="6" numFmtId="4">
    <oc r="F63">
      <v>0</v>
    </oc>
    <nc r="F63"/>
  </rcc>
  <rcc rId="35303" sId="6">
    <oc r="G63">
      <f>F63-C63</f>
    </oc>
    <nc r="G63"/>
  </rcc>
  <rcc rId="35304" sId="6">
    <oc r="H63" t="inlineStr">
      <is>
        <t>—</t>
      </is>
    </oc>
    <nc r="H63"/>
  </rcc>
  <rcc rId="35305" sId="6">
    <oc r="A64" t="inlineStr">
      <is>
        <t>Subtotal: Economic Development &amp; Regulation</t>
      </is>
    </oc>
    <nc r="A64"/>
  </rcc>
  <rcc rId="35306" sId="6">
    <oc r="B64">
      <f>SUM(B45:B63)</f>
    </oc>
    <nc r="B64"/>
  </rcc>
  <rcc rId="35307" sId="6">
    <oc r="C64">
      <f>SUM(C45:C63)</f>
    </oc>
    <nc r="C64"/>
  </rcc>
  <rcc rId="35308" sId="6">
    <oc r="D64">
      <f>C64-B64</f>
    </oc>
    <nc r="D64"/>
  </rcc>
  <rcc rId="35309" sId="6">
    <oc r="E64">
      <f>D64/B64</f>
    </oc>
    <nc r="E64"/>
  </rcc>
  <rcc rId="35310" sId="6">
    <oc r="F64">
      <f>SUM(F45:F63)</f>
    </oc>
    <nc r="F64"/>
  </rcc>
  <rcc rId="35311" sId="6">
    <oc r="G64">
      <f>F64-C64</f>
    </oc>
    <nc r="G64"/>
  </rcc>
  <rcc rId="35312" sId="6">
    <oc r="H64">
      <f>G64/C64</f>
    </oc>
    <nc r="H64"/>
  </rcc>
  <rcc rId="35313" sId="6">
    <oc r="A66" t="inlineStr">
      <is>
        <t>Notes for Economic Development &amp; Regulation:</t>
      </is>
    </oc>
    <nc r="A66"/>
  </rcc>
  <rcc rId="35314" sId="6">
    <oc r="A67" t="inlineStr">
      <is>
        <t>* Prior to FY 2003, these three agencies were budgeted together under the Deputy Mayor for Planning and Economic Development.</t>
      </is>
    </oc>
    <nc r="A67"/>
  </rcc>
  <rcc rId="35315" sId="6">
    <oc r="A68" t="inlineStr">
      <is>
        <t>** This agency was removed in 2005.</t>
      </is>
    </oc>
    <nc r="A68"/>
  </rcc>
  <rcc rId="35316" sId="6">
    <oc r="A69" t="inlineStr">
      <is>
        <t>*** This agency was established in the FY 2008 budget.</t>
      </is>
    </oc>
    <nc r="A69"/>
  </rcc>
  <rcc rId="35317" sId="6">
    <oc r="A70" t="inlineStr">
      <is>
        <t>**** Prior to FY 2007, HPTF was part of the budget of the Deputy Mayor for Planning and Economic Development.</t>
      </is>
    </oc>
    <nc r="A70"/>
  </rcc>
  <rcc rId="35318" sId="6">
    <oc r="A72" t="inlineStr">
      <is>
        <t>Public Safety &amp; Justice</t>
      </is>
    </oc>
    <nc r="A72"/>
  </rcc>
  <rcc rId="35319" sId="6">
    <oc r="A73" t="inlineStr">
      <is>
        <t>Metropolitan Police Department</t>
      </is>
    </oc>
    <nc r="A73"/>
  </rcc>
  <rcc rId="35320" sId="6" numFmtId="4">
    <oc r="B73">
      <v>4280.8999999999996</v>
    </oc>
    <nc r="B73"/>
  </rcc>
  <rcc rId="35321" sId="6" numFmtId="4">
    <oc r="C73">
      <v>4925.5</v>
    </oc>
    <nc r="C73"/>
  </rcc>
  <rcc rId="35322" sId="6">
    <oc r="D73">
      <f>C73-B73</f>
    </oc>
    <nc r="D73"/>
  </rcc>
  <rcc rId="35323" sId="6">
    <oc r="E73">
      <f>D73/B73</f>
    </oc>
    <nc r="E73"/>
  </rcc>
  <rcc rId="35324" sId="6" numFmtId="4">
    <oc r="F73">
      <v>4880.5</v>
    </oc>
    <nc r="F73"/>
  </rcc>
  <rcc rId="35325" sId="6">
    <oc r="G73">
      <f>F73-C73</f>
    </oc>
    <nc r="G73"/>
  </rcc>
  <rcc rId="35326" sId="6">
    <oc r="H73">
      <f>G73/C73</f>
    </oc>
    <nc r="H73"/>
  </rcc>
  <rcc rId="35327" sId="6">
    <oc r="A74" t="inlineStr">
      <is>
        <t>Fire and Emergency Medical Services Department</t>
      </is>
    </oc>
    <nc r="A74"/>
  </rcc>
  <rcc rId="35328" sId="6" numFmtId="4">
    <oc r="B74">
      <v>2290.6</v>
    </oc>
    <nc r="B74"/>
  </rcc>
  <rcc rId="35329" sId="6" numFmtId="4">
    <oc r="C74">
      <v>2226.6</v>
    </oc>
    <nc r="C74"/>
  </rcc>
  <rcc rId="35330" sId="6">
    <oc r="D74">
      <f>C74-B74</f>
    </oc>
    <nc r="D74"/>
  </rcc>
  <rcc rId="35331" sId="6">
    <oc r="E74">
      <f>D74/B74</f>
    </oc>
    <nc r="E74"/>
  </rcc>
  <rcc rId="35332" sId="6" numFmtId="4">
    <oc r="F74">
      <v>2223</v>
    </oc>
    <nc r="F74"/>
  </rcc>
  <rcc rId="35333" sId="6">
    <oc r="G74">
      <f>F74-C74</f>
    </oc>
    <nc r="G74"/>
  </rcc>
  <rcc rId="35334" sId="6">
    <oc r="H74">
      <f>G74/C74</f>
    </oc>
    <nc r="H74"/>
  </rcc>
  <rcc rId="35335" sId="6">
    <oc r="A75" t="inlineStr">
      <is>
        <t>Police Officers' and Fire Fighters' Retirement</t>
      </is>
    </oc>
    <nc r="A75"/>
  </rcc>
  <rcc rId="35336" sId="6" numFmtId="4">
    <oc r="B75">
      <v>0</v>
    </oc>
    <nc r="B75"/>
  </rcc>
  <rcc rId="35337" sId="6" numFmtId="4">
    <oc r="C75">
      <v>0</v>
    </oc>
    <nc r="C75"/>
  </rcc>
  <rcc rId="35338" sId="6">
    <oc r="D75">
      <f>C75-B75</f>
    </oc>
    <nc r="D75"/>
  </rcc>
  <rcc rId="35339" sId="6">
    <oc r="E75" t="inlineStr">
      <is>
        <t>—</t>
      </is>
    </oc>
    <nc r="E75"/>
  </rcc>
  <rcc rId="35340" sId="6" numFmtId="4">
    <oc r="F75">
      <v>0</v>
    </oc>
    <nc r="F75"/>
  </rcc>
  <rcc rId="35341" sId="6">
    <oc r="G75">
      <f>F75-C75</f>
    </oc>
    <nc r="G75"/>
  </rcc>
  <rcc rId="35342" sId="6">
    <oc r="H75" t="inlineStr">
      <is>
        <t>—</t>
      </is>
    </oc>
    <nc r="H75"/>
  </rcc>
  <rcc rId="35343" sId="6">
    <oc r="A76" t="inlineStr">
      <is>
        <t>Department of Corrections</t>
      </is>
    </oc>
    <nc r="A76"/>
  </rcc>
  <rcc rId="35344" sId="6" numFmtId="4">
    <oc r="B76">
      <v>856.7</v>
    </oc>
    <nc r="B76"/>
  </rcc>
  <rcc rId="35345" sId="6" numFmtId="4">
    <oc r="C76">
      <v>921</v>
    </oc>
    <nc r="C76"/>
  </rcc>
  <rcc rId="35346" sId="6">
    <oc r="D76">
      <f>C76-B76</f>
    </oc>
    <nc r="D76"/>
  </rcc>
  <rcc rId="35347" sId="6">
    <oc r="E76">
      <f>D76/B76</f>
    </oc>
    <nc r="E76"/>
  </rcc>
  <rcc rId="35348" sId="6" numFmtId="4">
    <oc r="F76">
      <v>917</v>
    </oc>
    <nc r="F76"/>
  </rcc>
  <rcc rId="35349" sId="6">
    <oc r="G76">
      <f>F76-C76</f>
    </oc>
    <nc r="G76"/>
  </rcc>
  <rcc rId="35350" sId="6">
    <oc r="H76">
      <f>G76/C76</f>
    </oc>
    <nc r="H76"/>
  </rcc>
  <rcc rId="35351" sId="6">
    <oc r="A77" t="inlineStr">
      <is>
        <t>National Guard</t>
      </is>
    </oc>
    <nc r="A77"/>
  </rcc>
  <rcc rId="35352" sId="6" numFmtId="4">
    <oc r="B77">
      <v>54.9</v>
    </oc>
    <nc r="B77"/>
  </rcc>
  <rcc rId="35353" sId="6" numFmtId="4">
    <oc r="C77">
      <v>106.1</v>
    </oc>
    <nc r="C77"/>
  </rcc>
  <rcc rId="35354" sId="6">
    <oc r="D77">
      <f>C77-B77</f>
    </oc>
    <nc r="D77"/>
  </rcc>
  <rcc rId="35355" sId="6">
    <oc r="E77">
      <f>D77/B77</f>
    </oc>
    <nc r="E77"/>
  </rcc>
  <rcc rId="35356" sId="6" numFmtId="4">
    <oc r="F77">
      <v>63</v>
    </oc>
    <nc r="F77"/>
  </rcc>
  <rcc rId="35357" sId="6">
    <oc r="G77">
      <f>F77-C77</f>
    </oc>
    <nc r="G77"/>
  </rcc>
  <rcc rId="35358" sId="6">
    <oc r="H77">
      <f>G77/C77</f>
    </oc>
    <nc r="H77"/>
  </rcc>
  <rcc rId="35359" sId="6">
    <oc r="A78" t="inlineStr">
      <is>
        <t>Homeland Security and Emergency Management Agency</t>
      </is>
    </oc>
    <nc r="A78"/>
  </rcc>
  <rcc rId="35360" sId="6" numFmtId="4">
    <oc r="B78">
      <v>34.799999999999997</v>
    </oc>
    <nc r="B78"/>
  </rcc>
  <rcc rId="35361" sId="6" numFmtId="4">
    <oc r="C78">
      <v>46</v>
    </oc>
    <nc r="C78"/>
  </rcc>
  <rcc rId="35362" sId="6">
    <oc r="D78">
      <f>C78-B78</f>
    </oc>
    <nc r="D78"/>
  </rcc>
  <rcc rId="35363" sId="6">
    <oc r="E78">
      <f>D78/B78</f>
    </oc>
    <nc r="E78"/>
  </rcc>
  <rcc rId="35364" sId="6" numFmtId="4">
    <oc r="F78">
      <v>55</v>
    </oc>
    <nc r="F78"/>
  </rcc>
  <rcc rId="35365" sId="6">
    <oc r="G78">
      <f>F78-C78</f>
    </oc>
    <nc r="G78"/>
  </rcc>
  <rcc rId="35366" sId="6">
    <oc r="H78">
      <f>G78/C78</f>
    </oc>
    <nc r="H78"/>
  </rcc>
  <rcc rId="35367" sId="6">
    <oc r="A79" t="inlineStr">
      <is>
        <t>Commission on Judicial Disabilities and Tenure</t>
      </is>
    </oc>
    <nc r="A79"/>
  </rcc>
  <rcc rId="35368" sId="6" numFmtId="4">
    <oc r="B79">
      <v>2</v>
    </oc>
    <nc r="B79"/>
  </rcc>
  <rcc rId="35369" sId="6" numFmtId="4">
    <oc r="C79">
      <v>2</v>
    </oc>
    <nc r="C79"/>
  </rcc>
  <rcc rId="35370" sId="6">
    <oc r="D79">
      <f>C79-B79</f>
    </oc>
    <nc r="D79"/>
  </rcc>
  <rcc rId="35371" sId="6">
    <oc r="E79">
      <f>D79/B79</f>
    </oc>
    <nc r="E79"/>
  </rcc>
  <rcc rId="35372" sId="6" numFmtId="4">
    <oc r="F79">
      <v>2</v>
    </oc>
    <nc r="F79"/>
  </rcc>
  <rcc rId="35373" sId="6">
    <oc r="G79">
      <f>F79-C79</f>
    </oc>
    <nc r="G79"/>
  </rcc>
  <rcc rId="35374" sId="6">
    <oc r="H79">
      <f>G79/C79</f>
    </oc>
    <nc r="H79"/>
  </rcc>
  <rcc rId="35375" sId="6">
    <oc r="A80" t="inlineStr">
      <is>
        <t>Judicial Nomination Commission</t>
      </is>
    </oc>
    <nc r="A80"/>
  </rcc>
  <rcc rId="35376" sId="6" numFmtId="4">
    <oc r="B80">
      <v>1</v>
    </oc>
    <nc r="B80"/>
  </rcc>
  <rcc rId="35377" sId="6" numFmtId="4">
    <oc r="C80">
      <v>1</v>
    </oc>
    <nc r="C80"/>
  </rcc>
  <rcc rId="35378" sId="6">
    <oc r="D80">
      <f>C80-B80</f>
    </oc>
    <nc r="D80"/>
  </rcc>
  <rcc rId="35379" sId="6">
    <oc r="E80">
      <f>D80/B80</f>
    </oc>
    <nc r="E80"/>
  </rcc>
  <rcc rId="35380" sId="6" numFmtId="4">
    <oc r="F80">
      <v>1</v>
    </oc>
    <nc r="F80"/>
  </rcc>
  <rcc rId="35381" sId="6">
    <oc r="G80">
      <f>F80-C80</f>
    </oc>
    <nc r="G80"/>
  </rcc>
  <rcc rId="35382" sId="6">
    <oc r="H80">
      <f>G80/C80</f>
    </oc>
    <nc r="H80"/>
  </rcc>
  <rcc rId="35383" sId="6">
    <oc r="A81" t="inlineStr">
      <is>
        <t>Office of Police Complaints*</t>
      </is>
    </oc>
    <nc r="A81"/>
  </rcc>
  <rcc rId="35384" sId="6" numFmtId="4">
    <oc r="B81">
      <v>20</v>
    </oc>
    <nc r="B81"/>
  </rcc>
  <rcc rId="35385" sId="6" numFmtId="4">
    <oc r="C81">
      <v>22.3</v>
    </oc>
    <nc r="C81"/>
  </rcc>
  <rcc rId="35386" sId="6">
    <oc r="D81">
      <f>C81-B81</f>
    </oc>
    <nc r="D81"/>
  </rcc>
  <rcc rId="35387" sId="6">
    <oc r="E81">
      <f>D81/B81</f>
    </oc>
    <nc r="E81"/>
  </rcc>
  <rcc rId="35388" sId="6" numFmtId="4">
    <oc r="F81">
      <v>21</v>
    </oc>
    <nc r="F81"/>
  </rcc>
  <rcc rId="35389" sId="6">
    <oc r="G81">
      <f>F81-C81</f>
    </oc>
    <nc r="G81"/>
  </rcc>
  <rcc rId="35390" sId="6">
    <oc r="H81">
      <f>G81/C81</f>
    </oc>
    <nc r="H81"/>
  </rcc>
  <rcc rId="35391" sId="6">
    <oc r="A82" t="inlineStr">
      <is>
        <t>Sentencing and Criminal Code Revision Commision</t>
      </is>
    </oc>
    <nc r="A82"/>
  </rcc>
  <rcc rId="35392" sId="6" numFmtId="4">
    <oc r="B82">
      <v>5</v>
    </oc>
    <nc r="B82"/>
  </rcc>
  <rcc rId="35393" sId="6" numFmtId="4">
    <oc r="C82">
      <v>7</v>
    </oc>
    <nc r="C82"/>
  </rcc>
  <rcc rId="35394" sId="6">
    <oc r="D82">
      <f>C82-B82</f>
    </oc>
    <nc r="D82"/>
  </rcc>
  <rcc rId="35395" sId="6">
    <oc r="E82">
      <f>D82/B82</f>
    </oc>
    <nc r="E82"/>
  </rcc>
  <rcc rId="35396" sId="6" numFmtId="4">
    <oc r="F82">
      <v>6</v>
    </oc>
    <nc r="F82"/>
  </rcc>
  <rcc rId="35397" sId="6">
    <oc r="G82">
      <f>F82-C82</f>
    </oc>
    <nc r="G82"/>
  </rcc>
  <rcc rId="35398" sId="6">
    <oc r="H82">
      <f>G82/C82</f>
    </oc>
    <nc r="H82"/>
  </rcc>
  <rcc rId="35399" sId="6">
    <oc r="A83" t="inlineStr">
      <is>
        <t>Office of the Chief Medical Examiner</t>
      </is>
    </oc>
    <nc r="A83"/>
  </rcc>
  <rcc rId="35400" sId="6" numFmtId="4">
    <oc r="B83">
      <v>59.4</v>
    </oc>
    <nc r="B83"/>
  </rcc>
  <rcc rId="35401" sId="6" numFmtId="4">
    <oc r="C83">
      <v>87</v>
    </oc>
    <nc r="C83"/>
  </rcc>
  <rcc rId="35402" sId="6">
    <oc r="D83">
      <f>C83-B83</f>
    </oc>
    <nc r="D83"/>
  </rcc>
  <rcc rId="35403" sId="6">
    <oc r="E83">
      <f>D83/B83</f>
    </oc>
    <nc r="E83"/>
  </rcc>
  <rcc rId="35404" sId="6" numFmtId="4">
    <oc r="F83">
      <v>84</v>
    </oc>
    <nc r="F83"/>
  </rcc>
  <rcc rId="35405" sId="6">
    <oc r="G83">
      <f>F83-C83</f>
    </oc>
    <nc r="G83"/>
  </rcc>
  <rcc rId="35406" sId="6">
    <oc r="H83">
      <f>G83/C83</f>
    </oc>
    <nc r="H83"/>
  </rcc>
  <rcc rId="35407" sId="6">
    <oc r="A84" t="inlineStr">
      <is>
        <t>Office of Administrative Hearings</t>
      </is>
    </oc>
    <nc r="A84"/>
  </rcc>
  <rcc rId="35408" sId="6" numFmtId="4">
    <oc r="B84">
      <v>61.2</v>
    </oc>
    <nc r="B84"/>
  </rcc>
  <rcc rId="35409" sId="6" numFmtId="4">
    <oc r="C84">
      <v>64.099999999999994</v>
    </oc>
    <nc r="C84"/>
  </rcc>
  <rcc rId="35410" sId="6">
    <oc r="D84">
      <f>C84-B84</f>
    </oc>
    <nc r="D84"/>
  </rcc>
  <rcc rId="35411" sId="6">
    <oc r="E84">
      <f>D84/B84</f>
    </oc>
    <nc r="E84"/>
  </rcc>
  <rcc rId="35412" sId="6" numFmtId="4">
    <oc r="F84">
      <v>56.1</v>
    </oc>
    <nc r="F84"/>
  </rcc>
  <rcc rId="35413" sId="6">
    <oc r="G84">
      <f>F84-C84</f>
    </oc>
    <nc r="G84"/>
  </rcc>
  <rcc rId="35414" sId="6">
    <oc r="H84">
      <f>G84/C84</f>
    </oc>
    <nc r="H84"/>
  </rcc>
  <rcc rId="35415" sId="6">
    <oc r="A85" t="inlineStr">
      <is>
        <t>Corrections Information Council</t>
      </is>
    </oc>
    <nc r="A85"/>
  </rcc>
  <rcc rId="35416" sId="6" numFmtId="4">
    <oc r="B85">
      <v>0</v>
    </oc>
    <nc r="B85"/>
  </rcc>
  <rcc rId="35417" sId="6" numFmtId="4">
    <oc r="C85">
      <v>0</v>
    </oc>
    <nc r="C85"/>
  </rcc>
  <rcc rId="35418" sId="6">
    <oc r="D85">
      <f>C85-B85</f>
    </oc>
    <nc r="D85"/>
  </rcc>
  <rcc rId="35419" sId="6">
    <oc r="E85" t="inlineStr">
      <is>
        <t>—</t>
      </is>
    </oc>
    <nc r="E85"/>
  </rcc>
  <rcc rId="35420" sId="6" numFmtId="4">
    <oc r="F85">
      <v>0</v>
    </oc>
    <nc r="F85"/>
  </rcc>
  <rcc rId="35421" sId="6">
    <oc r="G85">
      <f>F85-C85</f>
    </oc>
    <nc r="G85"/>
  </rcc>
  <rcc rId="35422" sId="6">
    <oc r="H85" t="inlineStr">
      <is>
        <t>—</t>
      </is>
    </oc>
    <nc r="H85"/>
  </rcc>
  <rcc rId="35423" sId="6">
    <oc r="A86" t="inlineStr">
      <is>
        <t>Criminal Justice Coordinating Council</t>
      </is>
    </oc>
    <nc r="A86"/>
  </rcc>
  <rcc rId="35424" sId="6" numFmtId="4">
    <oc r="B86">
      <v>6</v>
    </oc>
    <nc r="B86"/>
  </rcc>
  <rcc rId="35425" sId="6" numFmtId="4">
    <oc r="C86">
      <v>10</v>
    </oc>
    <nc r="C86"/>
  </rcc>
  <rcc rId="35426" sId="6">
    <oc r="D86">
      <f>C86-B86</f>
    </oc>
    <nc r="D86"/>
  </rcc>
  <rcc rId="35427" sId="6">
    <oc r="E86">
      <f>D86/B86</f>
    </oc>
    <nc r="E86"/>
  </rcc>
  <rcc rId="35428" sId="6" numFmtId="4">
    <oc r="F86">
      <v>12</v>
    </oc>
    <nc r="F86"/>
  </rcc>
  <rcc rId="35429" sId="6">
    <oc r="G86">
      <f>F86-C86</f>
    </oc>
    <nc r="G86"/>
  </rcc>
  <rcc rId="35430" sId="6">
    <oc r="H86">
      <f>G86/C86</f>
    </oc>
    <nc r="H86"/>
  </rcc>
  <rcc rId="35431" sId="6">
    <oc r="A87" t="inlineStr">
      <is>
        <t>Office of Victim Services</t>
      </is>
    </oc>
    <nc r="A87"/>
  </rcc>
  <rcc rId="35432" sId="6" numFmtId="4">
    <oc r="B87">
      <v>3</v>
    </oc>
    <nc r="B87"/>
  </rcc>
  <rcc rId="35433" sId="6" numFmtId="4">
    <oc r="C87">
      <v>6</v>
    </oc>
    <nc r="C87"/>
  </rcc>
  <rcc rId="35434" sId="6">
    <oc r="D87">
      <f>C87-B87</f>
    </oc>
    <nc r="D87"/>
  </rcc>
  <rcc rId="35435" sId="6">
    <oc r="E87">
      <f>D87/B87</f>
    </oc>
    <nc r="E87"/>
  </rcc>
  <rcc rId="35436" sId="6" numFmtId="4">
    <oc r="F87">
      <v>6</v>
    </oc>
    <nc r="F87"/>
  </rcc>
  <rcc rId="35437" sId="6">
    <oc r="G87">
      <f>F87-C87</f>
    </oc>
    <nc r="G87"/>
  </rcc>
  <rcc rId="35438" sId="6">
    <oc r="H87">
      <f>G87/C87</f>
    </oc>
    <nc r="H87"/>
  </rcc>
  <rcc rId="35439" sId="6">
    <oc r="A88" t="inlineStr">
      <is>
        <t>Justice Grants Administration</t>
      </is>
    </oc>
    <nc r="A88"/>
  </rcc>
  <rcc rId="35440" sId="6" numFmtId="4">
    <oc r="B88">
      <v>3</v>
    </oc>
    <nc r="B88"/>
  </rcc>
  <rcc rId="35441" sId="6" numFmtId="4">
    <oc r="C88">
      <v>5</v>
    </oc>
    <nc r="C88"/>
  </rcc>
  <rcc rId="35442" sId="6">
    <oc r="D88">
      <f>C88-B88</f>
    </oc>
    <nc r="D88"/>
  </rcc>
  <rcc rId="35443" sId="6">
    <oc r="E88">
      <f>D88/B88</f>
    </oc>
    <nc r="E88"/>
  </rcc>
  <rcc rId="35444" sId="6" numFmtId="4">
    <oc r="F88">
      <v>5</v>
    </oc>
    <nc r="F88"/>
  </rcc>
  <rcc rId="35445" sId="6">
    <oc r="G88">
      <f>F88-C88</f>
    </oc>
    <nc r="G88"/>
  </rcc>
  <rcc rId="35446" sId="6">
    <oc r="H88">
      <f>G88/C88</f>
    </oc>
    <nc r="H88"/>
  </rcc>
  <rcc rId="35447" sId="6">
    <oc r="A89" t="inlineStr">
      <is>
        <t>Office of Unified Communications</t>
      </is>
    </oc>
    <nc r="A89"/>
  </rcc>
  <rcc rId="35448" sId="6" numFmtId="4">
    <oc r="B89">
      <v>321.8</v>
    </oc>
    <nc r="B89"/>
  </rcc>
  <rcc rId="35449" sId="6" numFmtId="4">
    <oc r="C89">
      <v>397</v>
    </oc>
    <nc r="C89"/>
  </rcc>
  <rcc rId="35450" sId="6">
    <oc r="D89">
      <f>C89-B89</f>
    </oc>
    <nc r="D89"/>
  </rcc>
  <rcc rId="35451" sId="6">
    <oc r="E89">
      <f>D89/B89</f>
    </oc>
    <nc r="E89"/>
  </rcc>
  <rcc rId="35452" sId="6" numFmtId="4">
    <oc r="F89">
      <v>380</v>
    </oc>
    <nc r="F89"/>
  </rcc>
  <rcc rId="35453" sId="6">
    <oc r="G89">
      <f>F89-C89</f>
    </oc>
    <nc r="G89"/>
  </rcc>
  <rcc rId="35454" sId="6">
    <oc r="H89">
      <f>G89/C89</f>
    </oc>
    <nc r="H89"/>
  </rcc>
  <rcc rId="35455" sId="6">
    <oc r="A90" t="inlineStr">
      <is>
        <t>Subtotal: Public Safety &amp; Justice</t>
      </is>
    </oc>
    <nc r="A90"/>
  </rcc>
  <rcc rId="35456" sId="6">
    <oc r="B90">
      <f>SUM(B73:B89)</f>
    </oc>
    <nc r="B90"/>
  </rcc>
  <rcc rId="35457" sId="6">
    <oc r="C90">
      <f>SUM(C73:C89)</f>
    </oc>
    <nc r="C90"/>
  </rcc>
  <rcc rId="35458" sId="6">
    <oc r="D90">
      <f>C90-B90</f>
    </oc>
    <nc r="D90"/>
  </rcc>
  <rcc rId="35459" sId="6">
    <oc r="E90">
      <f>D90/B90</f>
    </oc>
    <nc r="E90"/>
  </rcc>
  <rcc rId="35460" sId="6">
    <oc r="F90">
      <f>SUM(F73:F89)</f>
    </oc>
    <nc r="F90"/>
  </rcc>
  <rcc rId="35461" sId="6">
    <oc r="G90">
      <f>F90-C90</f>
    </oc>
    <nc r="G90"/>
  </rcc>
  <rcc rId="35462" sId="6">
    <oc r="H90">
      <f>G90/C90</f>
    </oc>
    <nc r="H90"/>
  </rcc>
  <rcc rId="35463" sId="6">
    <oc r="A92" t="inlineStr">
      <is>
        <t>Notes for Public Safety &amp; Justice:</t>
      </is>
    </oc>
    <nc r="A92"/>
  </rcc>
  <rcc rId="35464" sId="6">
    <oc r="A93" t="inlineStr">
      <is>
        <t>* Formerly the Office of Citizen Complaints</t>
      </is>
    </oc>
    <nc r="A93"/>
  </rcc>
  <rcc rId="35465" sId="6">
    <oc r="A94" t="inlineStr">
      <is>
        <t>** Formerly the Forensic Health and Science Laboratory</t>
      </is>
    </oc>
    <nc r="A94"/>
  </rcc>
  <rcc rId="35466" sId="6">
    <oc r="A95" t="inlineStr">
      <is>
        <t>*** This agency was eliminated in 2006</t>
      </is>
    </oc>
    <nc r="A95"/>
  </rcc>
  <rcc rId="35467" sId="6">
    <oc r="A96" t="inlineStr">
      <is>
        <t>**** This line item added in 2008</t>
      </is>
    </oc>
    <nc r="A96"/>
  </rcc>
  <rcc rId="35468" sId="6">
    <oc r="A98" t="inlineStr">
      <is>
        <t>Public Education</t>
      </is>
    </oc>
    <nc r="A98"/>
  </rcc>
  <rcc rId="35469" sId="6">
    <oc r="A99" t="inlineStr">
      <is>
        <t>Deputy Mayor for Education*</t>
      </is>
    </oc>
    <nc r="A99"/>
  </rcc>
  <rcc rId="35470" sId="6" numFmtId="4">
    <oc r="B99">
      <v>1</v>
    </oc>
    <nc r="B99"/>
  </rcc>
  <rcc rId="35471" sId="6" numFmtId="4">
    <oc r="C99">
      <v>16</v>
    </oc>
    <nc r="C99"/>
  </rcc>
  <rcc rId="35472" sId="6">
    <oc r="D99">
      <f>C99-B99</f>
    </oc>
    <nc r="D99"/>
  </rcc>
  <rcc rId="35473" sId="6">
    <oc r="E99">
      <f>D99/B99</f>
    </oc>
    <nc r="E99"/>
  </rcc>
  <rcc rId="35474" sId="6" numFmtId="4">
    <oc r="F99">
      <v>21</v>
    </oc>
    <nc r="F99"/>
  </rcc>
  <rcc rId="35475" sId="6">
    <oc r="G99">
      <f>F99-C99</f>
    </oc>
    <nc r="G99"/>
  </rcc>
  <rcc rId="35476" sId="6">
    <oc r="H99">
      <f>G99/C99</f>
    </oc>
    <nc r="H99"/>
  </rcc>
  <rcc rId="35477" sId="6">
    <oc r="A100" t="inlineStr">
      <is>
        <t>DC Public Schools**</t>
      </is>
    </oc>
    <nc r="A100"/>
  </rcc>
  <rcc rId="35478" sId="6" numFmtId="4">
    <oc r="B100">
      <v>8567.5</v>
    </oc>
    <nc r="B100"/>
  </rcc>
  <rcc rId="35479" sId="6" numFmtId="4">
    <oc r="C100">
      <v>6217.5</v>
    </oc>
    <nc r="C100"/>
  </rcc>
  <rcc rId="35480" sId="6">
    <oc r="D100">
      <f>C100-B100</f>
    </oc>
    <nc r="D100"/>
  </rcc>
  <rcc rId="35481" sId="6">
    <oc r="E100">
      <f>D100/B100</f>
    </oc>
    <nc r="E100"/>
  </rcc>
  <rcc rId="35482" sId="6" numFmtId="4">
    <oc r="F100">
      <v>5987.8</v>
    </oc>
    <nc r="F100"/>
  </rcc>
  <rcc rId="35483" sId="6">
    <oc r="G100">
      <f>F100-C100</f>
    </oc>
    <nc r="G100"/>
  </rcc>
  <rcc rId="35484" sId="6">
    <oc r="H100">
      <f>G100/C100</f>
    </oc>
    <nc r="H100"/>
  </rcc>
  <rcc rId="35485" sId="6">
    <oc r="A101" t="inlineStr">
      <is>
        <t>Teachers' Retirement System</t>
      </is>
    </oc>
    <nc r="A101"/>
  </rcc>
  <rcc rId="35486" sId="6" numFmtId="4">
    <oc r="B101">
      <v>0</v>
    </oc>
    <nc r="B101"/>
  </rcc>
  <rcc rId="35487" sId="6" numFmtId="4">
    <oc r="C101">
      <v>0</v>
    </oc>
    <nc r="C101"/>
  </rcc>
  <rcc rId="35488" sId="6">
    <oc r="D101">
      <f>C101-B101</f>
    </oc>
    <nc r="D101"/>
  </rcc>
  <rcc rId="35489" sId="6">
    <oc r="E101" t="inlineStr">
      <is>
        <t>—</t>
      </is>
    </oc>
    <nc r="E101"/>
  </rcc>
  <rcc rId="35490" sId="6" numFmtId="4">
    <oc r="F101">
      <v>0</v>
    </oc>
    <nc r="F101"/>
  </rcc>
  <rcc rId="35491" sId="6">
    <oc r="G101">
      <f>F101-C101</f>
    </oc>
    <nc r="G101"/>
  </rcc>
  <rcc rId="35492" sId="6">
    <oc r="H101" t="inlineStr">
      <is>
        <t>—</t>
      </is>
    </oc>
    <nc r="H101"/>
  </rcc>
  <rcc rId="35493" sId="6">
    <oc r="A102" t="inlineStr">
      <is>
        <t>Office of the State Superintendent of Education***</t>
      </is>
    </oc>
    <nc r="A102"/>
  </rcc>
  <rcc rId="35494" sId="6" numFmtId="4">
    <oc r="B102">
      <v>223.7</v>
    </oc>
    <nc r="B102"/>
  </rcc>
  <rcc rId="35495" sId="6" numFmtId="4">
    <oc r="C102">
      <v>400.5</v>
    </oc>
    <nc r="C102"/>
  </rcc>
  <rcc rId="35496" sId="6">
    <oc r="D102">
      <f>C102-B102</f>
    </oc>
    <nc r="D102"/>
  </rcc>
  <rcc rId="35497" sId="6">
    <oc r="E102">
      <f>D102/B102</f>
    </oc>
    <nc r="E102"/>
  </rcc>
  <rcc rId="35498" sId="6" numFmtId="4">
    <oc r="F102">
      <v>368.3</v>
    </oc>
    <nc r="F102"/>
  </rcc>
  <rcc rId="35499" sId="6">
    <oc r="G102">
      <f>F102-C102</f>
    </oc>
    <nc r="G102"/>
  </rcc>
  <rcc rId="35500" sId="6">
    <oc r="H102">
      <f>G102/C102</f>
    </oc>
    <nc r="H102"/>
  </rcc>
  <rcc rId="35501" sId="6">
    <oc r="A103" t="inlineStr">
      <is>
        <t xml:space="preserve">DC Public Charter Schools    </t>
      </is>
    </oc>
    <nc r="A103"/>
  </rcc>
  <rcc rId="35502" sId="6" numFmtId="4">
    <oc r="B103">
      <v>0</v>
    </oc>
    <nc r="B103"/>
  </rcc>
  <rcc rId="35503" sId="6" numFmtId="4">
    <oc r="C103">
      <v>0</v>
    </oc>
    <nc r="C103"/>
  </rcc>
  <rcc rId="35504" sId="6">
    <oc r="D103">
      <f>C103-B103</f>
    </oc>
    <nc r="D103"/>
  </rcc>
  <rcc rId="35505" sId="6">
    <oc r="E103" t="inlineStr">
      <is>
        <t>—</t>
      </is>
    </oc>
    <nc r="E103"/>
  </rcc>
  <rcc rId="35506" sId="6" numFmtId="4">
    <oc r="F103">
      <v>0</v>
    </oc>
    <nc r="F103"/>
  </rcc>
  <rcc rId="35507" sId="6">
    <oc r="G103">
      <f>F103-C103</f>
    </oc>
    <nc r="G103"/>
  </rcc>
  <rcc rId="35508" sId="6">
    <oc r="H103" t="inlineStr">
      <is>
        <t>—</t>
      </is>
    </oc>
    <nc r="H103"/>
  </rcc>
  <rcc rId="35509" sId="6">
    <oc r="A104" t="inlineStr">
      <is>
        <t>University of the District of Columbia Subsidy Account</t>
      </is>
    </oc>
    <nc r="A104"/>
  </rcc>
  <rcc rId="35510" sId="6" numFmtId="4">
    <oc r="B104">
      <v>0</v>
    </oc>
    <nc r="B104"/>
  </rcc>
  <rcc rId="35511" sId="6" numFmtId="4">
    <oc r="C104">
      <v>0</v>
    </oc>
    <nc r="C104"/>
  </rcc>
  <rcc rId="35512" sId="6">
    <oc r="D104">
      <f>C104-B104</f>
    </oc>
    <nc r="D104"/>
  </rcc>
  <rcc rId="35513" sId="6">
    <oc r="E104" t="inlineStr">
      <is>
        <t>—</t>
      </is>
    </oc>
    <nc r="E104"/>
  </rcc>
  <rcc rId="35514" sId="6" numFmtId="4">
    <oc r="F104">
      <v>0</v>
    </oc>
    <nc r="F104"/>
  </rcc>
  <rcc rId="35515" sId="6">
    <oc r="G104">
      <f>F104-C104</f>
    </oc>
    <nc r="G104"/>
  </rcc>
  <rcc rId="35516" sId="6">
    <oc r="H104" t="inlineStr">
      <is>
        <t>—</t>
      </is>
    </oc>
    <nc r="H104"/>
  </rcc>
  <rcc rId="35517" sId="6">
    <oc r="A105" t="inlineStr">
      <is>
        <t>Public Library</t>
      </is>
    </oc>
    <nc r="A105"/>
  </rcc>
  <rcc rId="35518" sId="6" numFmtId="4">
    <oc r="B105">
      <v>394.6</v>
    </oc>
    <nc r="B105"/>
  </rcc>
  <rcc rId="35519" sId="6" numFmtId="4">
    <oc r="C105">
      <v>478.6</v>
    </oc>
    <nc r="C105"/>
  </rcc>
  <rcc rId="35520" sId="6">
    <oc r="D105">
      <f>C105-B105</f>
    </oc>
    <nc r="D105"/>
  </rcc>
  <rcc rId="35521" sId="6">
    <oc r="E105">
      <f>D105/B105</f>
    </oc>
    <nc r="E105"/>
  </rcc>
  <rcc rId="35522" sId="6" numFmtId="4">
    <oc r="F105">
      <v>464.2</v>
    </oc>
    <nc r="F105"/>
  </rcc>
  <rcc rId="35523" sId="6">
    <oc r="G105">
      <f>F105-C105</f>
    </oc>
    <nc r="G105"/>
  </rcc>
  <rcc rId="35524" sId="6">
    <oc r="H105">
      <f>G105/C105</f>
    </oc>
    <nc r="H105"/>
  </rcc>
  <rcc rId="35525" sId="6">
    <oc r="A106" t="inlineStr">
      <is>
        <t>DC Public Charter School Board</t>
      </is>
    </oc>
    <nc r="A106"/>
  </rcc>
  <rcc rId="35526" sId="6" numFmtId="4">
    <oc r="B106">
      <v>0</v>
    </oc>
    <nc r="B106"/>
  </rcc>
  <rcc rId="35527" sId="6" numFmtId="4">
    <oc r="C106">
      <v>23</v>
    </oc>
    <nc r="C106"/>
  </rcc>
  <rcc rId="35528" sId="6">
    <oc r="D106">
      <f>C106-B106</f>
    </oc>
    <nc r="D106"/>
  </rcc>
  <rcc rId="35529" sId="6">
    <oc r="E106" t="inlineStr">
      <is>
        <t>—</t>
      </is>
    </oc>
    <nc r="E106"/>
  </rcc>
  <rcc rId="35530" sId="6" numFmtId="4">
    <oc r="F106">
      <v>23</v>
    </oc>
    <nc r="F106"/>
  </rcc>
  <rcc rId="35531" sId="6">
    <oc r="G106">
      <f>F106-C106</f>
    </oc>
    <nc r="G106"/>
  </rcc>
  <rcc rId="35532" sId="6">
    <oc r="H106">
      <f>G106/C106</f>
    </oc>
    <nc r="H106"/>
  </rcc>
  <rcc rId="35533" sId="6">
    <oc r="A107" t="inlineStr">
      <is>
        <t>Public education facilities modernization office****</t>
      </is>
    </oc>
    <nc r="A107"/>
  </rcc>
  <rcc rId="35534" sId="6" numFmtId="4">
    <oc r="B107">
      <v>5</v>
    </oc>
    <nc r="B107"/>
  </rcc>
  <rcc rId="35535" sId="6" numFmtId="4">
    <oc r="C107">
      <v>400</v>
    </oc>
    <nc r="C107"/>
  </rcc>
  <rcc rId="35536" sId="6">
    <oc r="D107">
      <f>C107-B107</f>
    </oc>
    <nc r="D107"/>
  </rcc>
  <rcc rId="35537" sId="6">
    <oc r="E107">
      <f>D107/B107</f>
    </oc>
    <nc r="E107"/>
  </rcc>
  <rcc rId="35538" sId="6" numFmtId="4">
    <oc r="F107">
      <v>274</v>
    </oc>
    <nc r="F107"/>
  </rcc>
  <rcc rId="35539" sId="6">
    <oc r="G107">
      <f>F107-C107</f>
    </oc>
    <nc r="G107"/>
  </rcc>
  <rcc rId="35540" sId="6">
    <oc r="H107">
      <f>G107/C107</f>
    </oc>
    <nc r="H107"/>
  </rcc>
  <rcc rId="35541" sId="6">
    <oc r="A108" t="inlineStr">
      <is>
        <t>Non-public Tuition**</t>
      </is>
    </oc>
    <nc r="A108"/>
  </rcc>
  <rcc rId="35542" sId="6" numFmtId="4">
    <oc r="B108">
      <v>0</v>
    </oc>
    <nc r="B108"/>
  </rcc>
  <rcc rId="35543" sId="6" numFmtId="4">
    <oc r="C108">
      <v>0</v>
    </oc>
    <nc r="C108"/>
  </rcc>
  <rcc rId="35544" sId="6">
    <oc r="D108">
      <f>C108-B108</f>
    </oc>
    <nc r="D108"/>
  </rcc>
  <rcc rId="35545" sId="6">
    <oc r="E108" t="inlineStr">
      <is>
        <t>—</t>
      </is>
    </oc>
    <nc r="E108"/>
  </rcc>
  <rcc rId="35546" sId="6" numFmtId="4">
    <oc r="F108">
      <v>0</v>
    </oc>
    <nc r="F108"/>
  </rcc>
  <rcc rId="35547" sId="6">
    <oc r="G108">
      <f>F108-C108</f>
    </oc>
    <nc r="G108"/>
  </rcc>
  <rcc rId="35548" sId="6">
    <oc r="H108" t="inlineStr">
      <is>
        <t>—</t>
      </is>
    </oc>
    <nc r="H108"/>
  </rcc>
  <rcc rId="35549" sId="6">
    <oc r="A109" t="inlineStr">
      <is>
        <t>Special Education Transportation**</t>
      </is>
    </oc>
    <nc r="A109"/>
  </rcc>
  <rcc rId="35550" sId="6" numFmtId="4">
    <oc r="B109">
      <v>0</v>
    </oc>
    <nc r="B109"/>
  </rcc>
  <rcc rId="35551" sId="6" numFmtId="4">
    <oc r="C109">
      <v>1146</v>
    </oc>
    <nc r="C109"/>
  </rcc>
  <rcc rId="35552" sId="6">
    <oc r="D109">
      <f>C109-B109</f>
    </oc>
    <nc r="D109"/>
  </rcc>
  <rcc rId="35553" sId="6">
    <oc r="E109" t="inlineStr">
      <is>
        <t>—</t>
      </is>
    </oc>
    <nc r="E109"/>
  </rcc>
  <rcc rId="35554" sId="6" numFmtId="4">
    <oc r="F109">
      <v>1570.1</v>
    </oc>
    <nc r="F109"/>
  </rcc>
  <rcc rId="35555" sId="6">
    <oc r="G109">
      <f>F109-C109</f>
    </oc>
    <nc r="G109"/>
  </rcc>
  <rcc rId="35556" sId="6">
    <oc r="H109">
      <f>G109/C109</f>
    </oc>
    <nc r="H109"/>
  </rcc>
  <rcc rId="35557" sId="6">
    <oc r="A110" t="inlineStr">
      <is>
        <t>Subtotal: Public Education</t>
      </is>
    </oc>
    <nc r="A110"/>
  </rcc>
  <rcc rId="35558" sId="6">
    <oc r="B110">
      <f>SUM(B100:B109)</f>
    </oc>
    <nc r="B110"/>
  </rcc>
  <rcc rId="35559" sId="6">
    <oc r="C110">
      <f>SUM(C100:C109)</f>
    </oc>
    <nc r="C110"/>
  </rcc>
  <rcc rId="35560" sId="6">
    <oc r="D110">
      <f>C110-B110</f>
    </oc>
    <nc r="D110"/>
  </rcc>
  <rcc rId="35561" sId="6">
    <oc r="E110">
      <f>D110/B110</f>
    </oc>
    <nc r="E110"/>
  </rcc>
  <rcc rId="35562" sId="6">
    <oc r="F110">
      <f>SUM(F100:F109)</f>
    </oc>
    <nc r="F110"/>
  </rcc>
  <rcc rId="35563" sId="6">
    <oc r="G110">
      <f>F110-C110</f>
    </oc>
    <nc r="G110"/>
  </rcc>
  <rcc rId="35564" sId="6">
    <oc r="H110">
      <f>G110/C110</f>
    </oc>
    <nc r="H110"/>
  </rcc>
  <rcc rId="35565" sId="6">
    <oc r="A112" t="inlineStr">
      <is>
        <t>Notes for Public Education</t>
      </is>
    </oc>
    <nc r="A112"/>
  </rcc>
  <rcc rId="35566" sId="6">
    <oc r="A113" t="inlineStr">
      <is>
        <t>* Thisagency was first budgeted in FY 2008 called Department of Education.</t>
      </is>
    </oc>
    <nc r="A113"/>
  </rcc>
  <rcc rId="35567" sId="6">
    <oc r="A114" t="inlineStr">
      <is>
        <t>** In FY 2009, these functions were separated from DC Public Schools</t>
      </is>
    </oc>
    <nc r="A114"/>
  </rcc>
  <rcc rId="35568" sId="6">
    <oc r="A115" t="inlineStr">
      <is>
        <t>*** Formerly known as the State Education Office</t>
      </is>
    </oc>
    <nc r="A115"/>
  </rcc>
  <rcc rId="35569" sId="6">
    <oc r="A116" t="inlineStr">
      <is>
        <t>**** This agency was established in FY 2007</t>
      </is>
    </oc>
    <nc r="A116"/>
  </rcc>
  <rcc rId="35570" sId="6">
    <oc r="A117" t="inlineStr">
      <is>
        <t xml:space="preserve">     In FY 2009, maintenance functions in DCPS were transferred to this agency</t>
      </is>
    </oc>
    <nc r="A117"/>
  </rcc>
  <rcc rId="35571" sId="6">
    <oc r="A118" t="inlineStr">
      <is>
        <t>***** This line item added in 2008</t>
      </is>
    </oc>
    <nc r="A118"/>
  </rcc>
  <rcc rId="35572" sId="6">
    <oc r="A120" t="inlineStr">
      <is>
        <t>Human Support Services</t>
      </is>
    </oc>
    <nc r="A120"/>
  </rcc>
  <rcc rId="35573" sId="6">
    <oc r="A121" t="inlineStr">
      <is>
        <t xml:space="preserve">Department of Human Services    </t>
      </is>
    </oc>
    <nc r="A121"/>
  </rcc>
  <rcc rId="35574" sId="6" numFmtId="4">
    <oc r="B121">
      <v>1059.8</v>
    </oc>
    <nc r="B121"/>
  </rcc>
  <rcc rId="35575" sId="6" numFmtId="4">
    <oc r="C121">
      <v>910.1</v>
    </oc>
    <nc r="C121"/>
  </rcc>
  <rcc rId="35576" sId="6">
    <oc r="D121">
      <f>C121-B121</f>
    </oc>
    <nc r="D121"/>
  </rcc>
  <rcc rId="35577" sId="6">
    <oc r="E121">
      <f>D121/B121</f>
    </oc>
    <nc r="E121"/>
  </rcc>
  <rcc rId="35578" sId="6" numFmtId="4">
    <oc r="F121">
      <v>871.8</v>
    </oc>
    <nc r="F121"/>
  </rcc>
  <rcc rId="35579" sId="6">
    <oc r="G121">
      <f>F121-C121</f>
    </oc>
    <nc r="G121"/>
  </rcc>
  <rcc rId="35580" sId="6">
    <oc r="H121">
      <f>G121/C121</f>
    </oc>
    <nc r="H121"/>
  </rcc>
  <rcc rId="35581" sId="6">
    <oc r="A122" t="inlineStr">
      <is>
        <t xml:space="preserve">Child and Family Services   </t>
      </is>
    </oc>
    <nc r="A122"/>
  </rcc>
  <rcc rId="35582" sId="6" numFmtId="4">
    <oc r="B122">
      <v>658.5</v>
    </oc>
    <nc r="B122"/>
  </rcc>
  <rcc rId="35583" sId="6" numFmtId="4">
    <oc r="C122">
      <v>762</v>
    </oc>
    <nc r="C122"/>
  </rcc>
  <rcc rId="35584" sId="6">
    <oc r="D122">
      <f>C122-B122</f>
    </oc>
    <nc r="D122"/>
  </rcc>
  <rcc rId="35585" sId="6">
    <oc r="E122">
      <f>D122/B122</f>
    </oc>
    <nc r="E122"/>
  </rcc>
  <rcc rId="35586" sId="6" numFmtId="4">
    <oc r="F122">
      <v>892</v>
    </oc>
    <nc r="F122"/>
  </rcc>
  <rcc rId="35587" sId="6">
    <oc r="G122">
      <f>F122-C122</f>
    </oc>
    <nc r="G122"/>
  </rcc>
  <rcc rId="35588" sId="6">
    <oc r="H122">
      <f>G122/C122</f>
    </oc>
    <nc r="H122"/>
  </rcc>
  <rcc rId="35589" sId="6">
    <oc r="A123" t="inlineStr">
      <is>
        <t xml:space="preserve">Department of Mental Health   </t>
      </is>
    </oc>
    <nc r="A123"/>
  </rcc>
  <rcc rId="35590" sId="6" numFmtId="4">
    <oc r="B123">
      <v>1366.4</v>
    </oc>
    <nc r="B123"/>
  </rcc>
  <rcc rId="35591" sId="6" numFmtId="4">
    <oc r="C123">
      <v>1536.4</v>
    </oc>
    <nc r="C123"/>
  </rcc>
  <rcc rId="35592" sId="6">
    <oc r="D123">
      <f>C123-B123</f>
    </oc>
    <nc r="D123"/>
  </rcc>
  <rcc rId="35593" sId="6">
    <oc r="E123">
      <f>D123/B123</f>
    </oc>
    <nc r="E123"/>
  </rcc>
  <rcc rId="35594" sId="6" numFmtId="4">
    <oc r="F123">
      <v>1354.1</v>
    </oc>
    <nc r="F123"/>
  </rcc>
  <rcc rId="35595" sId="6">
    <oc r="G123">
      <f>F123-C123</f>
    </oc>
    <nc r="G123"/>
  </rcc>
  <rcc rId="35596" sId="6">
    <oc r="H123">
      <f>G123/C123</f>
    </oc>
    <nc r="H123"/>
  </rcc>
  <rcc rId="35597" sId="6">
    <oc r="A124" t="inlineStr">
      <is>
        <t>Department of Health**</t>
      </is>
    </oc>
    <nc r="A124"/>
  </rcc>
  <rcc rId="35598" sId="6" numFmtId="4">
    <oc r="B124">
      <v>1061.7</v>
    </oc>
    <nc r="B124"/>
  </rcc>
  <rcc rId="35599" sId="6" numFmtId="4">
    <oc r="C124">
      <v>901.3</v>
    </oc>
    <nc r="C124"/>
  </rcc>
  <rcc rId="35600" sId="6">
    <oc r="D124">
      <f>C124-B124</f>
    </oc>
    <nc r="D124"/>
  </rcc>
  <rcc rId="35601" sId="6">
    <oc r="E124">
      <f>D124/B124</f>
    </oc>
    <nc r="E124"/>
  </rcc>
  <rcc rId="35602" sId="6" numFmtId="4">
    <oc r="F124">
      <v>833.4</v>
    </oc>
    <nc r="F124"/>
  </rcc>
  <rcc rId="35603" sId="6">
    <oc r="G124">
      <f>F124-C124</f>
    </oc>
    <nc r="G124"/>
  </rcc>
  <rcc rId="35604" sId="6">
    <oc r="H124">
      <f>G124/C124</f>
    </oc>
    <nc r="H124"/>
  </rcc>
  <rcc rId="35605" sId="6">
    <oc r="A125" t="inlineStr">
      <is>
        <t>Department of Parks and Recreation</t>
      </is>
    </oc>
    <nc r="A125"/>
  </rcc>
  <rcc rId="35606" sId="6" numFmtId="4">
    <oc r="B125">
      <v>605</v>
    </oc>
    <nc r="B125"/>
  </rcc>
  <rcc rId="35607" sId="6" numFmtId="4">
    <oc r="C125">
      <v>690.4</v>
    </oc>
    <nc r="C125"/>
  </rcc>
  <rcc rId="35608" sId="6">
    <oc r="D125">
      <f>C125-B125</f>
    </oc>
    <nc r="D125"/>
  </rcc>
  <rcc rId="35609" sId="6">
    <oc r="E125">
      <f>D125/B125</f>
    </oc>
    <nc r="E125"/>
  </rcc>
  <rcc rId="35610" sId="6" numFmtId="4">
    <oc r="F125">
      <v>558.5</v>
    </oc>
    <nc r="F125"/>
  </rcc>
  <rcc rId="35611" sId="6">
    <oc r="G125">
      <f>F125-C125</f>
    </oc>
    <nc r="G125"/>
  </rcc>
  <rcc rId="35612" sId="6">
    <oc r="H125">
      <f>G125/C125</f>
    </oc>
    <nc r="H125"/>
  </rcc>
  <rcc rId="35613" sId="6">
    <oc r="A126" t="inlineStr">
      <is>
        <t>Office of Aging</t>
      </is>
    </oc>
    <nc r="A126"/>
  </rcc>
  <rcc rId="35614" sId="6" numFmtId="4">
    <oc r="B126">
      <v>26</v>
    </oc>
    <nc r="B126"/>
  </rcc>
  <rcc rId="35615" sId="6" numFmtId="4">
    <oc r="C126">
      <v>25.5</v>
    </oc>
    <nc r="C126"/>
  </rcc>
  <rcc rId="35616" sId="6">
    <oc r="D126">
      <f>C126-B126</f>
    </oc>
    <nc r="D126"/>
  </rcc>
  <rcc rId="35617" sId="6">
    <oc r="E126">
      <f>D126/B126</f>
    </oc>
    <nc r="E126"/>
  </rcc>
  <rcc rId="35618" sId="6" numFmtId="4">
    <oc r="F126">
      <v>26.5</v>
    </oc>
    <nc r="F126"/>
  </rcc>
  <rcc rId="35619" sId="6">
    <oc r="G126">
      <f>F126-C126</f>
    </oc>
    <nc r="G126"/>
  </rcc>
  <rcc rId="35620" sId="6">
    <oc r="H126">
      <f>G126/C126</f>
    </oc>
    <nc r="H126"/>
  </rcc>
  <rcc rId="35621" sId="6">
    <oc r="A127" t="inlineStr">
      <is>
        <t>Unemployment Compensation</t>
      </is>
    </oc>
    <nc r="A127"/>
  </rcc>
  <rcc rId="35622" sId="6" numFmtId="4">
    <oc r="B127">
      <v>0</v>
    </oc>
    <nc r="B127"/>
  </rcc>
  <rcc rId="35623" sId="6" numFmtId="4">
    <oc r="C127">
      <v>0</v>
    </oc>
    <nc r="C127"/>
  </rcc>
  <rcc rId="35624" sId="6">
    <oc r="D127">
      <f>C127-B127</f>
    </oc>
    <nc r="D127"/>
  </rcc>
  <rcc rId="35625" sId="6">
    <oc r="E127" t="inlineStr">
      <is>
        <t>—</t>
      </is>
    </oc>
    <nc r="E127"/>
  </rcc>
  <rcc rId="35626" sId="6" numFmtId="4">
    <oc r="F127">
      <v>0</v>
    </oc>
    <nc r="F127"/>
  </rcc>
  <rcc rId="35627" sId="6">
    <oc r="G127">
      <f>F127-C127</f>
    </oc>
    <nc r="G127"/>
  </rcc>
  <rcc rId="35628" sId="6">
    <oc r="H127" t="inlineStr">
      <is>
        <t>—</t>
      </is>
    </oc>
    <nc r="H127"/>
  </rcc>
  <rcc rId="35629" sId="6">
    <oc r="A128" t="inlineStr">
      <is>
        <t>Disability Compensation</t>
      </is>
    </oc>
    <nc r="A128"/>
  </rcc>
  <rcc rId="35630" sId="6" numFmtId="4">
    <oc r="B128">
      <v>0</v>
    </oc>
    <nc r="B128"/>
  </rcc>
  <rcc rId="35631" sId="6" numFmtId="4">
    <oc r="C128">
      <v>0</v>
    </oc>
    <nc r="C128"/>
  </rcc>
  <rcc rId="35632" sId="6">
    <oc r="D128">
      <f>C128-B128</f>
    </oc>
    <nc r="D128"/>
  </rcc>
  <rcc rId="35633" sId="6">
    <oc r="E128" t="inlineStr">
      <is>
        <t>—</t>
      </is>
    </oc>
    <nc r="E128"/>
  </rcc>
  <rcc rId="35634" sId="6" numFmtId="4">
    <oc r="F128">
      <v>0</v>
    </oc>
    <nc r="F128"/>
  </rcc>
  <rcc rId="35635" sId="6">
    <oc r="G128">
      <f>F128-C128</f>
    </oc>
    <nc r="G128"/>
  </rcc>
  <rcc rId="35636" sId="6">
    <oc r="H128" t="inlineStr">
      <is>
        <t>—</t>
      </is>
    </oc>
    <nc r="H128"/>
  </rcc>
  <rcc rId="35637" sId="6">
    <oc r="A129" t="inlineStr">
      <is>
        <t>Office on Human Rights</t>
      </is>
    </oc>
    <nc r="A129"/>
  </rcc>
  <rcc rId="35638" sId="6" numFmtId="4">
    <oc r="B129">
      <v>23.8</v>
    </oc>
    <nc r="B129"/>
  </rcc>
  <rcc rId="35639" sId="6" numFmtId="4">
    <oc r="C129">
      <v>30</v>
    </oc>
    <nc r="C129"/>
  </rcc>
  <rcc rId="35640" sId="6">
    <oc r="D129">
      <f>C129-B129</f>
    </oc>
    <nc r="D129"/>
  </rcc>
  <rcc rId="35641" sId="6">
    <oc r="E129">
      <f>D129/B129</f>
    </oc>
    <nc r="E129"/>
  </rcc>
  <rcc rId="35642" sId="6" numFmtId="4">
    <oc r="F129">
      <v>27</v>
    </oc>
    <nc r="F129"/>
  </rcc>
  <rcc rId="35643" sId="6">
    <oc r="G129">
      <f>F129-C129</f>
    </oc>
    <nc r="G129"/>
  </rcc>
  <rcc rId="35644" sId="6">
    <oc r="H129">
      <f>G129/C129</f>
    </oc>
    <nc r="H129"/>
  </rcc>
  <rcc rId="35645" sId="6">
    <oc r="A130" t="inlineStr">
      <is>
        <t>Office of Latino Affairs</t>
      </is>
    </oc>
    <nc r="A130"/>
  </rcc>
  <rcc rId="35646" sId="6" numFmtId="4">
    <oc r="B130">
      <v>12</v>
    </oc>
    <nc r="B130"/>
  </rcc>
  <rcc rId="35647" sId="6" numFmtId="4">
    <oc r="C130">
      <v>12</v>
    </oc>
    <nc r="C130"/>
  </rcc>
  <rcc rId="35648" sId="6">
    <oc r="D130">
      <f>C130-B130</f>
    </oc>
    <nc r="D130"/>
  </rcc>
  <rcc rId="35649" sId="6">
    <oc r="E130">
      <f>D130/B130</f>
    </oc>
    <nc r="E130"/>
  </rcc>
  <rcc rId="35650" sId="6" numFmtId="4">
    <oc r="F130">
      <v>10</v>
    </oc>
    <nc r="F130"/>
  </rcc>
  <rcc rId="35651" sId="6">
    <oc r="G130">
      <f>F130-C130</f>
    </oc>
    <nc r="G130"/>
  </rcc>
  <rcc rId="35652" sId="6">
    <oc r="H130">
      <f>G130/C130</f>
    </oc>
    <nc r="H130"/>
  </rcc>
  <rcc rId="35653" sId="6">
    <oc r="A131" t="inlineStr">
      <is>
        <t>Children and Youth Investment Collaborative</t>
      </is>
    </oc>
    <nc r="A131"/>
  </rcc>
  <rcc rId="35654" sId="6" numFmtId="4">
    <oc r="B131">
      <v>0</v>
    </oc>
    <nc r="B131"/>
  </rcc>
  <rcc rId="35655" sId="6" numFmtId="4">
    <oc r="C131">
      <v>0</v>
    </oc>
    <nc r="C131"/>
  </rcc>
  <rcc rId="35656" sId="6">
    <oc r="D131">
      <f>C131-B131</f>
    </oc>
    <nc r="D131"/>
  </rcc>
  <rcc rId="35657" sId="6">
    <oc r="E131" t="inlineStr">
      <is>
        <t>—</t>
      </is>
    </oc>
    <nc r="E131"/>
  </rcc>
  <rcc rId="35658" sId="6" numFmtId="4">
    <oc r="F131">
      <v>0</v>
    </oc>
    <nc r="F131"/>
  </rcc>
  <rcc rId="35659" sId="6">
    <oc r="G131">
      <f>F131-C131</f>
    </oc>
    <nc r="G131"/>
  </rcc>
  <rcc rId="35660" sId="6">
    <oc r="H131" t="inlineStr">
      <is>
        <t>—</t>
      </is>
    </oc>
    <nc r="H131"/>
  </rcc>
  <rcc rId="35661" sId="6">
    <oc r="A132" t="inlineStr">
      <is>
        <t>Asian and Pacific Islander Affairs</t>
      </is>
    </oc>
    <nc r="A132"/>
  </rcc>
  <rcc rId="35662" sId="6" numFmtId="4">
    <oc r="B132">
      <v>6</v>
    </oc>
    <nc r="B132"/>
  </rcc>
  <rcc rId="35663" sId="6" numFmtId="4">
    <oc r="C132">
      <v>7</v>
    </oc>
    <nc r="C132"/>
  </rcc>
  <rcc rId="35664" sId="6">
    <oc r="D132">
      <f>C132-B132</f>
    </oc>
    <nc r="D132"/>
  </rcc>
  <rcc rId="35665" sId="6">
    <oc r="E132">
      <f>D132/B132</f>
    </oc>
    <nc r="E132"/>
  </rcc>
  <rcc rId="35666" sId="6" numFmtId="4">
    <oc r="F132">
      <v>0</v>
    </oc>
    <nc r="F132"/>
  </rcc>
  <rcc rId="35667" sId="6">
    <oc r="G132">
      <f>F132-C132</f>
    </oc>
    <nc r="G132"/>
  </rcc>
  <rcc rId="35668" sId="6">
    <oc r="H132">
      <f>G132/C132</f>
    </oc>
    <nc r="H132"/>
  </rcc>
  <rcc rId="35669" sId="6">
    <oc r="A133" t="inlineStr">
      <is>
        <t>Office of Veterans Affairs</t>
      </is>
    </oc>
    <nc r="A133"/>
  </rcc>
  <rcc rId="35670" sId="6" numFmtId="4">
    <oc r="B133">
      <v>2.2999999999999998</v>
    </oc>
    <nc r="B133"/>
  </rcc>
  <rcc rId="35671" sId="6" numFmtId="4">
    <oc r="C133">
      <v>4</v>
    </oc>
    <nc r="C133"/>
  </rcc>
  <rcc rId="35672" sId="6">
    <oc r="D133">
      <f>C133-B133</f>
    </oc>
    <nc r="D133"/>
  </rcc>
  <rcc rId="35673" sId="6">
    <oc r="E133">
      <f>D133/B133</f>
    </oc>
    <nc r="E133"/>
  </rcc>
  <rcc rId="35674" sId="6" numFmtId="4">
    <oc r="F133">
      <v>0</v>
    </oc>
    <nc r="F133"/>
  </rcc>
  <rcc rId="35675" sId="6">
    <oc r="G133">
      <f>F133-C133</f>
    </oc>
    <nc r="G133"/>
  </rcc>
  <rcc rId="35676" sId="6">
    <oc r="H133">
      <f>G133/C133</f>
    </oc>
    <nc r="H133"/>
  </rcc>
  <rcc rId="35677" sId="6">
    <oc r="A134" t="inlineStr">
      <is>
        <t>Department of Youth Rehabilitation Services****</t>
      </is>
    </oc>
    <nc r="A134"/>
  </rcc>
  <rcc rId="35678" sId="6" numFmtId="4">
    <oc r="B134">
      <v>522.70000000000005</v>
    </oc>
    <nc r="B134"/>
  </rcc>
  <rcc rId="35679" sId="6" numFmtId="4">
    <oc r="C134">
      <v>656</v>
    </oc>
    <nc r="C134"/>
  </rcc>
  <rcc rId="35680" sId="6">
    <oc r="D134">
      <f>C134-B134</f>
    </oc>
    <nc r="D134"/>
  </rcc>
  <rcc rId="35681" sId="6">
    <oc r="E134">
      <f>D134/B134</f>
    </oc>
    <nc r="E134"/>
  </rcc>
  <rcc rId="35682" sId="6" numFmtId="4">
    <oc r="F134">
      <v>608.5</v>
    </oc>
    <nc r="F134"/>
  </rcc>
  <rcc rId="35683" sId="6">
    <oc r="G134">
      <f>F134-C134</f>
    </oc>
    <nc r="G134"/>
  </rcc>
  <rcc rId="35684" sId="6">
    <oc r="H134">
      <f>G134/C134</f>
    </oc>
    <nc r="H134"/>
  </rcc>
  <rcc rId="35685" sId="6">
    <oc r="A135" t="inlineStr">
      <is>
        <t>Department of Disability Services*****</t>
      </is>
    </oc>
    <nc r="A135"/>
  </rcc>
  <rcc rId="35686" sId="6" numFmtId="4">
    <oc r="B135">
      <v>451.8</v>
    </oc>
    <nc r="B135"/>
  </rcc>
  <rcc rId="35687" sId="6" numFmtId="4">
    <oc r="C135">
      <v>466.6</v>
    </oc>
    <nc r="C135"/>
  </rcc>
  <rcc rId="35688" sId="6">
    <oc r="D135">
      <f>C135-B135</f>
    </oc>
    <nc r="D135"/>
  </rcc>
  <rcc rId="35689" sId="6">
    <oc r="E135">
      <f>D135/B135</f>
    </oc>
    <nc r="E135"/>
  </rcc>
  <rcc rId="35690" sId="6" numFmtId="4">
    <oc r="F135">
      <v>421.8</v>
    </oc>
    <nc r="F135"/>
  </rcc>
  <rcc rId="35691" sId="6">
    <oc r="G135">
      <f>F135-C135</f>
    </oc>
    <nc r="G135"/>
  </rcc>
  <rcc rId="35692" sId="6">
    <oc r="H135">
      <f>G135/C135</f>
    </oc>
    <nc r="H135"/>
  </rcc>
  <rcc rId="35693" sId="6">
    <oc r="A136" t="inlineStr">
      <is>
        <t>Department of Health Care Finance**</t>
      </is>
    </oc>
    <nc r="A136"/>
  </rcc>
  <rcc rId="35694" sId="6" numFmtId="4">
    <oc r="B136">
      <v>0</v>
    </oc>
    <nc r="B136"/>
  </rcc>
  <rcc rId="35695" sId="6" numFmtId="4">
    <oc r="C136">
      <v>166.3</v>
    </oc>
    <nc r="C136"/>
  </rcc>
  <rcc rId="35696" sId="6">
    <oc r="D136">
      <f>C136-B136</f>
    </oc>
    <nc r="D136"/>
  </rcc>
  <rcc rId="35697" sId="6">
    <oc r="E136" t="inlineStr">
      <is>
        <t>—</t>
      </is>
    </oc>
    <nc r="E136"/>
  </rcc>
  <rcc rId="35698" sId="6" numFmtId="4">
    <oc r="F136">
      <v>155.30000000000001</v>
    </oc>
    <nc r="F136"/>
  </rcc>
  <rcc rId="35699" sId="6">
    <oc r="G136">
      <f>F136-C136</f>
    </oc>
    <nc r="G136"/>
  </rcc>
  <rcc rId="35700" sId="6">
    <oc r="H136">
      <f>G136/C136</f>
    </oc>
    <nc r="H136"/>
  </rcc>
  <rcc rId="35701" sId="6">
    <oc r="A137" t="inlineStr">
      <is>
        <t>Subtotal: Human Support Services</t>
      </is>
    </oc>
    <nc r="A137"/>
  </rcc>
  <rcc rId="35702" sId="6">
    <oc r="B137">
      <f>SUM(B121:B136)</f>
    </oc>
    <nc r="B137"/>
  </rcc>
  <rcc rId="35703" sId="6">
    <oc r="C137">
      <f>SUM(C121:C136)</f>
    </oc>
    <nc r="C137"/>
  </rcc>
  <rcc rId="35704" sId="6">
    <oc r="D137">
      <f>SUM(D121:D136)</f>
    </oc>
    <nc r="D137"/>
  </rcc>
  <rcc rId="35705" sId="6">
    <oc r="E137">
      <f>D137/B137</f>
    </oc>
    <nc r="E137"/>
  </rcc>
  <rcc rId="35706" sId="6">
    <oc r="F137">
      <f>SUM(F121:F136)</f>
    </oc>
    <nc r="F137"/>
  </rcc>
  <rcc rId="35707" sId="6">
    <oc r="G137">
      <f>F137-C137</f>
    </oc>
    <nc r="G137"/>
  </rcc>
  <rcc rId="35708" sId="6">
    <oc r="H137">
      <f>G137/C137</f>
    </oc>
    <nc r="H137"/>
  </rcc>
  <rcc rId="35709" sId="6">
    <oc r="A139" t="inlineStr">
      <is>
        <t>Notes for Human Support Services:</t>
      </is>
    </oc>
    <nc r="A139"/>
  </rcc>
  <rcc rId="35710" sId="6">
    <oc r="A141" t="inlineStr">
      <is>
        <r>
          <t xml:space="preserve">* </t>
        </r>
        <r>
          <rPr>
            <i/>
            <sz val="10"/>
            <rFont val="Arial"/>
            <family val="2"/>
          </rPr>
          <t>Eliminated in 2004</t>
        </r>
      </is>
    </oc>
    <nc r="A141"/>
  </rcc>
  <rcc rId="35711" sId="6">
    <oc r="A142" t="inlineStr">
      <is>
        <t>** Before FY 2009, the Dept. of Health Care Finance was part of the Dept. of Health</t>
      </is>
    </oc>
    <nc r="A142"/>
  </rcc>
  <rcc rId="35712" sId="6">
    <oc r="A143" t="inlineStr">
      <is>
        <t>*** Before FY 2007, this agency was part of the Human Services Cluster.  As of FY 2007 it is part of the Department of the Environment, under the Public Works *cluster.</t>
      </is>
    </oc>
    <nc r="A143"/>
  </rcc>
  <rcc rId="35713" sId="6">
    <oc r="A144" t="inlineStr">
      <is>
        <t>**** Before FY 2007, this agency was part of the Department of Human Services.</t>
      </is>
    </oc>
    <nc r="A144"/>
  </rcc>
  <rcc rId="35714" sId="6">
    <oc r="A145" t="inlineStr">
      <is>
        <t>***** Before FY 2008, this agency was part of the Department of Human Services.</t>
      </is>
    </oc>
    <nc r="A145"/>
  </rcc>
  <rcc rId="35715" sId="6">
    <oc r="A147" t="inlineStr">
      <is>
        <t>Public Works</t>
      </is>
    </oc>
    <nc r="A147"/>
  </rcc>
  <rcc rId="35716" sId="6">
    <oc r="A148" t="inlineStr">
      <is>
        <t>Department of Public Works</t>
      </is>
    </oc>
    <nc r="A148"/>
  </rcc>
  <rcc rId="35717" sId="6" numFmtId="4">
    <oc r="B148">
      <v>2361.1999999999998</v>
    </oc>
    <nc r="B148"/>
  </rcc>
  <rcc rId="35718" sId="6" numFmtId="4">
    <oc r="C148">
      <v>1336.7</v>
    </oc>
    <nc r="C148"/>
  </rcc>
  <rcc rId="35719" sId="6">
    <oc r="D148">
      <f>C148-B148</f>
    </oc>
    <nc r="D148"/>
  </rcc>
  <rcc rId="35720" sId="6">
    <oc r="E148">
      <f>D148/B148</f>
    </oc>
    <nc r="E148"/>
  </rcc>
  <rcc rId="35721" sId="6" numFmtId="4">
    <oc r="F148">
      <v>1198.8</v>
    </oc>
    <nc r="F148"/>
  </rcc>
  <rcc rId="35722" sId="6">
    <oc r="G148">
      <f>F148-C148</f>
    </oc>
    <nc r="G148"/>
  </rcc>
  <rcc rId="35723" sId="6">
    <oc r="H148">
      <f>G148/C148</f>
    </oc>
    <nc r="H148"/>
  </rcc>
  <rcc rId="35724" sId="6">
    <oc r="A149" t="inlineStr">
      <is>
        <t>Department of Transportation*</t>
      </is>
    </oc>
    <nc r="A149"/>
  </rcc>
  <rcc rId="35725" sId="6" numFmtId="4">
    <oc r="B149">
      <v>157</v>
    </oc>
    <nc r="B149"/>
  </rcc>
  <rcc rId="35726" sId="6" numFmtId="4">
    <oc r="C149">
      <v>362.6</v>
    </oc>
    <nc r="C149"/>
  </rcc>
  <rcc rId="35727" sId="6">
    <oc r="D149">
      <f>C149-B149</f>
    </oc>
    <nc r="D149"/>
  </rcc>
  <rcc rId="35728" sId="6">
    <oc r="E149">
      <f>D149/B149</f>
    </oc>
    <nc r="E149"/>
  </rcc>
  <rcc rId="35729" sId="6" numFmtId="4">
    <oc r="F149">
      <v>307.60000000000002</v>
    </oc>
    <nc r="F149"/>
  </rcc>
  <rcc rId="35730" sId="6">
    <oc r="G149">
      <f>F149-C149</f>
    </oc>
    <nc r="G149"/>
  </rcc>
  <rcc rId="35731" sId="6">
    <oc r="H149">
      <f>G149/C149</f>
    </oc>
    <nc r="H149"/>
  </rcc>
  <rcc rId="35732" sId="6">
    <oc r="A150" t="inlineStr">
      <is>
        <t>Department of Motor Vehicles</t>
      </is>
    </oc>
    <nc r="A150"/>
  </rcc>
  <rcc rId="35733" sId="6" numFmtId="4">
    <oc r="B150">
      <v>296.3</v>
    </oc>
    <nc r="B150"/>
  </rcc>
  <rcc rId="35734" sId="6" numFmtId="4">
    <oc r="C150">
      <v>294.5</v>
    </oc>
    <nc r="C150"/>
  </rcc>
  <rcc rId="35735" sId="6">
    <oc r="D150">
      <f>C150-B150</f>
    </oc>
    <nc r="D150"/>
  </rcc>
  <rcc rId="35736" sId="6">
    <oc r="E150">
      <f>D150/B150</f>
    </oc>
    <nc r="E150"/>
  </rcc>
  <rcc rId="35737" sId="6" numFmtId="4">
    <oc r="F150">
      <v>263.5</v>
    </oc>
    <nc r="F150"/>
  </rcc>
  <rcc rId="35738" sId="6">
    <oc r="G150">
      <f>F150-C150</f>
    </oc>
    <nc r="G150"/>
  </rcc>
  <rcc rId="35739" sId="6">
    <oc r="H150">
      <f>G150/C150</f>
    </oc>
    <nc r="H150"/>
  </rcc>
  <rcc rId="35740" sId="6">
    <oc r="A151" t="inlineStr">
      <is>
        <t>District Department of the Environment**</t>
      </is>
    </oc>
    <nc r="A151"/>
  </rcc>
  <rcc rId="35741" sId="6" numFmtId="4">
    <oc r="B151">
      <v>175.4</v>
    </oc>
    <nc r="B151"/>
  </rcc>
  <rcc rId="35742" sId="6" numFmtId="4">
    <oc r="C151">
      <v>297</v>
    </oc>
    <nc r="C151"/>
  </rcc>
  <rcc rId="35743" sId="6">
    <oc r="D151">
      <f>C151-B151</f>
    </oc>
    <nc r="D151"/>
  </rcc>
  <rcc rId="35744" sId="6">
    <oc r="E151">
      <f>D151/B151</f>
    </oc>
    <nc r="E151"/>
  </rcc>
  <rcc rId="35745" sId="6" numFmtId="4">
    <oc r="F151">
      <v>312.5</v>
    </oc>
    <nc r="F151"/>
  </rcc>
  <rcc rId="35746" sId="6">
    <oc r="G151">
      <f>F151-C151</f>
    </oc>
    <nc r="G151"/>
  </rcc>
  <rcc rId="35747" sId="6">
    <oc r="H151">
      <f>G151/C151</f>
    </oc>
    <nc r="H151"/>
  </rcc>
  <rcc rId="35748" sId="6">
    <oc r="A152" t="inlineStr">
      <is>
        <t>Taxicab Commission</t>
      </is>
    </oc>
    <nc r="A152"/>
  </rcc>
  <rcc rId="35749" sId="6" numFmtId="4">
    <oc r="B152">
      <v>14.9</v>
    </oc>
    <nc r="B152"/>
  </rcc>
  <rcc rId="35750" sId="6" numFmtId="4">
    <oc r="C152">
      <v>19</v>
    </oc>
    <nc r="C152"/>
  </rcc>
  <rcc rId="35751" sId="6">
    <oc r="D152">
      <f>C152-B152</f>
    </oc>
    <nc r="D152"/>
  </rcc>
  <rcc rId="35752" sId="6">
    <oc r="E152">
      <f>D152/B152</f>
    </oc>
    <nc r="E152"/>
  </rcc>
  <rcc rId="35753" sId="6" numFmtId="4">
    <oc r="F152">
      <v>18</v>
    </oc>
    <nc r="F152"/>
  </rcc>
  <rcc rId="35754" sId="6">
    <oc r="G152">
      <f>F152-C152</f>
    </oc>
    <nc r="G152"/>
  </rcc>
  <rcc rId="35755" sId="6">
    <oc r="H152">
      <f>G152/C152</f>
    </oc>
    <nc r="H152"/>
  </rcc>
  <rcc rId="35756" sId="6">
    <oc r="A153" t="inlineStr">
      <is>
        <t>Washington Metropolitan Area Transit Commission</t>
      </is>
    </oc>
    <nc r="A153"/>
  </rcc>
  <rcc rId="35757" sId="6" numFmtId="4">
    <oc r="B153">
      <v>0</v>
    </oc>
    <nc r="B153"/>
  </rcc>
  <rcc rId="35758" sId="6" numFmtId="4">
    <oc r="C153">
      <v>0</v>
    </oc>
    <nc r="C153"/>
  </rcc>
  <rcc rId="35759" sId="6">
    <oc r="D153">
      <f>C153-B153</f>
    </oc>
    <nc r="D153"/>
  </rcc>
  <rcc rId="35760" sId="6">
    <oc r="E153" t="inlineStr">
      <is>
        <t>—</t>
      </is>
    </oc>
    <nc r="E153"/>
  </rcc>
  <rcc rId="35761" sId="6" numFmtId="4">
    <oc r="F153">
      <v>0</v>
    </oc>
    <nc r="F153"/>
  </rcc>
  <rcc rId="35762" sId="6">
    <oc r="G153">
      <f>F153-C153</f>
    </oc>
    <nc r="G153"/>
  </rcc>
  <rcc rId="35763" sId="6">
    <oc r="H153" t="inlineStr">
      <is>
        <t>—</t>
      </is>
    </oc>
    <nc r="H153"/>
  </rcc>
  <rcc rId="35764" sId="6">
    <oc r="A154" t="inlineStr">
      <is>
        <t>Washington Metropolitan Area Transit Authority</t>
      </is>
    </oc>
    <nc r="A154"/>
  </rcc>
  <rcc rId="35765" sId="6" numFmtId="4">
    <oc r="B154">
      <v>0</v>
    </oc>
    <nc r="B154"/>
  </rcc>
  <rcc rId="35766" sId="6" numFmtId="4">
    <oc r="C154">
      <v>0</v>
    </oc>
    <nc r="C154"/>
  </rcc>
  <rcc rId="35767" sId="6">
    <oc r="D154">
      <f>C154-B154</f>
    </oc>
    <nc r="D154"/>
  </rcc>
  <rcc rId="35768" sId="6">
    <oc r="E154" t="inlineStr">
      <is>
        <t>—</t>
      </is>
    </oc>
    <nc r="E154"/>
  </rcc>
  <rcc rId="35769" sId="6" numFmtId="4">
    <oc r="F154">
      <v>0</v>
    </oc>
    <nc r="F154"/>
  </rcc>
  <rcc rId="35770" sId="6">
    <oc r="G154">
      <f>F154-C154</f>
    </oc>
    <nc r="G154"/>
  </rcc>
  <rcc rId="35771" sId="6">
    <oc r="H154" t="inlineStr">
      <is>
        <t>—</t>
      </is>
    </oc>
    <nc r="H154"/>
  </rcc>
  <rcc rId="35772" sId="6">
    <oc r="A155" t="inlineStr">
      <is>
        <t>School Transit Subsidy</t>
      </is>
    </oc>
    <nc r="A155"/>
  </rcc>
  <rcc rId="35773" sId="6" numFmtId="4">
    <oc r="B155">
      <v>0</v>
    </oc>
    <nc r="B155"/>
  </rcc>
  <rcc rId="35774" sId="6" numFmtId="4">
    <oc r="C155">
      <v>0</v>
    </oc>
    <nc r="C155"/>
  </rcc>
  <rcc rId="35775" sId="6">
    <oc r="D155">
      <f>C155-B155</f>
    </oc>
    <nc r="D155"/>
  </rcc>
  <rcc rId="35776" sId="6">
    <oc r="E155" t="inlineStr">
      <is>
        <t>—</t>
      </is>
    </oc>
    <nc r="E155"/>
  </rcc>
  <rcc rId="35777" sId="6" numFmtId="4">
    <oc r="F155">
      <v>0</v>
    </oc>
    <nc r="F155"/>
  </rcc>
  <rcc rId="35778" sId="6">
    <oc r="G155">
      <f>F155-C155</f>
    </oc>
    <nc r="G155"/>
  </rcc>
  <rcc rId="35779" sId="6">
    <oc r="H155" t="inlineStr">
      <is>
        <t>—</t>
      </is>
    </oc>
    <nc r="H155"/>
  </rcc>
  <rcc rId="35780" sId="6">
    <oc r="A156" t="inlineStr">
      <is>
        <t>Subtotal: Public Works</t>
      </is>
    </oc>
    <nc r="A156"/>
  </rcc>
  <rcc rId="35781" sId="6">
    <oc r="B156">
      <f>SUM(B148:B155)</f>
    </oc>
    <nc r="B156"/>
  </rcc>
  <rcc rId="35782" sId="6">
    <oc r="C156">
      <f>SUM(C148:C155)</f>
    </oc>
    <nc r="C156"/>
  </rcc>
  <rcc rId="35783" sId="6">
    <oc r="D156">
      <f>SUM(D148:D155)</f>
    </oc>
    <nc r="D156"/>
  </rcc>
  <rcc rId="35784" sId="6">
    <oc r="E156">
      <f>D156/B156</f>
    </oc>
    <nc r="E156"/>
  </rcc>
  <rcc rId="35785" sId="6">
    <oc r="F156">
      <f>SUM(F148:F155)</f>
    </oc>
    <nc r="F156"/>
  </rcc>
  <rcc rId="35786" sId="6">
    <oc r="G156">
      <f>F156-C156</f>
    </oc>
    <nc r="G156"/>
  </rcc>
  <rcc rId="35787" sId="6">
    <oc r="H156">
      <f>G156/C156</f>
    </oc>
    <nc r="H156"/>
  </rcc>
  <rcc rId="35788" sId="6">
    <oc r="A158" t="inlineStr">
      <is>
        <t xml:space="preserve">Notes for Public Works: </t>
      </is>
    </oc>
    <nc r="A158"/>
  </rcc>
  <rcc rId="35789" sId="6">
    <oc r="A159" t="inlineStr">
      <is>
        <t>* The FY 2008 budget includes roughly $68 million in transportation funds that in prior year were reported in the DOT capital budget</t>
      </is>
    </oc>
    <nc r="A159"/>
  </rcc>
  <rcc rId="35790" sId="6">
    <oc r="A160" t="inlineStr">
      <is>
        <t>**This agency was established in FY 2007.</t>
      </is>
    </oc>
    <nc r="A160"/>
  </rcc>
  <rcc rId="35791" sId="6" numFmtId="4">
    <oc r="B164">
      <v>0</v>
    </oc>
    <nc r="B164"/>
  </rcc>
  <rcc rId="35792" sId="6" numFmtId="4">
    <oc r="C164">
      <v>0</v>
    </oc>
    <nc r="C164"/>
  </rcc>
  <rcc rId="35793" sId="6" numFmtId="4">
    <oc r="F164">
      <v>0</v>
    </oc>
    <nc r="F164"/>
  </rcc>
  <rcc rId="35794" sId="6" numFmtId="4">
    <oc r="B165">
      <v>0</v>
    </oc>
    <nc r="B165"/>
  </rcc>
  <rcc rId="35795" sId="6" numFmtId="4">
    <oc r="C165">
      <v>0</v>
    </oc>
    <nc r="C165"/>
  </rcc>
  <rcc rId="35796" sId="6" numFmtId="4">
    <oc r="F165">
      <v>0</v>
    </oc>
    <nc r="F165"/>
  </rcc>
  <rcc rId="35797" sId="6" numFmtId="4">
    <oc r="B166">
      <v>63.4</v>
    </oc>
    <nc r="B166"/>
  </rcc>
  <rcc rId="35798" sId="6" numFmtId="4">
    <oc r="C166">
      <v>77</v>
    </oc>
    <nc r="C166"/>
  </rcc>
  <rcc rId="35799" sId="6" numFmtId="4">
    <oc r="F166">
      <v>77</v>
    </oc>
    <nc r="F166"/>
  </rcc>
  <rcc rId="35800" sId="6" numFmtId="4">
    <oc r="B167">
      <v>42.9</v>
    </oc>
    <nc r="B167"/>
  </rcc>
  <rcc rId="35801" sId="6" numFmtId="4">
    <oc r="C167">
      <v>0</v>
    </oc>
    <nc r="C167"/>
  </rcc>
  <rcc rId="35802" sId="6" numFmtId="4">
    <oc r="F167">
      <v>0</v>
    </oc>
    <nc r="F167"/>
  </rcc>
  <rcc rId="35803" sId="6" numFmtId="4">
    <oc r="B168">
      <v>44.3</v>
    </oc>
    <nc r="B168"/>
  </rcc>
  <rcc rId="35804" sId="6" numFmtId="4">
    <oc r="C168">
      <v>47.6</v>
    </oc>
    <nc r="C168"/>
  </rcc>
  <rcc rId="35805" sId="6" numFmtId="4">
    <oc r="F168">
      <v>47.6</v>
    </oc>
    <nc r="F168"/>
  </rcc>
  <rcc rId="35806" sId="6" numFmtId="4">
    <oc r="B169">
      <v>0</v>
    </oc>
    <nc r="B169"/>
  </rcc>
  <rcc rId="35807" sId="6" numFmtId="4">
    <oc r="C169">
      <v>0</v>
    </oc>
    <nc r="C169"/>
  </rcc>
  <rcc rId="35808" sId="6" numFmtId="4">
    <oc r="F169">
      <v>0</v>
    </oc>
    <nc r="F169"/>
  </rcc>
  <rcc rId="35809" sId="6" numFmtId="4">
    <oc r="B170">
      <v>0</v>
    </oc>
    <nc r="B170"/>
  </rcc>
  <rcc rId="35810" sId="6" numFmtId="4">
    <oc r="C170">
      <v>0</v>
    </oc>
    <nc r="C170"/>
  </rcc>
  <rcc rId="35811" sId="6" numFmtId="4">
    <oc r="F170">
      <v>0</v>
    </oc>
    <nc r="F170"/>
  </rcc>
  <rcc rId="35812" sId="6" numFmtId="4">
    <oc r="B171">
      <v>1493.4</v>
    </oc>
    <nc r="B171"/>
  </rcc>
  <rcc rId="35813" sId="6" numFmtId="4">
    <oc r="C171">
      <v>1025.0999999999999</v>
    </oc>
    <nc r="C171"/>
  </rcc>
  <rcc rId="35814" sId="6" numFmtId="4">
    <oc r="F171">
      <v>1040.2</v>
    </oc>
    <nc r="F171"/>
  </rcc>
  <rcc rId="35815" sId="6" numFmtId="4">
    <oc r="B172">
      <v>0</v>
    </oc>
    <nc r="B172"/>
  </rcc>
  <rcc rId="35816" sId="6" numFmtId="4">
    <oc r="C172">
      <v>0</v>
    </oc>
    <nc r="C172"/>
  </rcc>
  <rcc rId="35817" sId="6" numFmtId="4">
    <oc r="F172">
      <v>0</v>
    </oc>
    <nc r="F172"/>
  </rcc>
  <rcc rId="35818" sId="6" numFmtId="4">
    <oc r="B173">
      <v>0</v>
    </oc>
    <nc r="B173"/>
  </rcc>
  <rcc rId="35819" sId="6" numFmtId="4">
    <oc r="C173">
      <v>0</v>
    </oc>
    <nc r="C173"/>
  </rcc>
  <rcc rId="35820" sId="6" numFmtId="4">
    <oc r="F173">
      <v>0</v>
    </oc>
    <nc r="F173"/>
  </rcc>
  <rcc rId="35821" sId="6" numFmtId="4">
    <oc r="B174">
      <v>0</v>
    </oc>
    <nc r="B174"/>
  </rcc>
  <rcc rId="35822" sId="6" numFmtId="4">
    <oc r="C174">
      <v>0</v>
    </oc>
    <nc r="C174"/>
  </rcc>
  <rcc rId="35823" sId="6" numFmtId="4">
    <oc r="F174">
      <v>0</v>
    </oc>
    <nc r="F174"/>
  </rcc>
  <rcc rId="35824" sId="6" numFmtId="4">
    <oc r="B175">
      <v>8</v>
    </oc>
    <nc r="B175"/>
  </rcc>
  <rcc rId="35825" sId="6" numFmtId="4">
    <oc r="C175">
      <v>18</v>
    </oc>
    <nc r="C175"/>
  </rcc>
  <rcc rId="35826" sId="6" numFmtId="4">
    <oc r="F175">
      <v>18</v>
    </oc>
    <nc r="F175"/>
  </rcc>
  <rcc rId="35827" sId="6" numFmtId="4">
    <oc r="B176">
      <v>0</v>
    </oc>
    <nc r="B176"/>
  </rcc>
  <rcc rId="35828" sId="6" numFmtId="4">
    <oc r="C176">
      <v>0</v>
    </oc>
    <nc r="C176"/>
  </rcc>
  <rcc rId="35829" sId="6" numFmtId="4">
    <oc r="F176">
      <v>0</v>
    </oc>
    <nc r="F176"/>
  </rcc>
  <rcc rId="35830" sId="6">
    <oc r="B177">
      <f>SUM(B164:B176)</f>
    </oc>
    <nc r="B177"/>
  </rcc>
  <rcc rId="35831" sId="6">
    <oc r="C177">
      <f>SUM(C164:C176)</f>
    </oc>
    <nc r="C177"/>
  </rcc>
  <rcc rId="35832" sId="6">
    <oc r="F177">
      <f>SUM(F164:F176)</f>
    </oc>
    <nc r="F177"/>
  </rcc>
  <rcc rId="35833" sId="6">
    <oc r="A178" t="inlineStr">
      <is>
        <t>TOTAL, GENERAL OPERATING FUNDS</t>
      </is>
    </oc>
    <nc r="A178"/>
  </rcc>
  <rcc rId="35834" sId="6">
    <oc r="B178">
      <f>SUM(B156,B137,B110,B90,B64,B37)</f>
    </oc>
    <nc r="B178"/>
  </rcc>
  <rcc rId="35835" sId="6">
    <oc r="C178">
      <f>SUM(C156,C137,C110,C90,C64,C37)</f>
    </oc>
    <nc r="C178"/>
  </rcc>
  <rcc rId="35836" sId="6">
    <oc r="D178">
      <f>SUM(D156,D137,D110,D90,D64,D37)</f>
    </oc>
    <nc r="D178"/>
  </rcc>
  <rcc rId="35837" sId="6">
    <oc r="E178">
      <f>SUM(E156,E137,E110,E90,E64,E37)</f>
    </oc>
    <nc r="E178"/>
  </rcc>
  <rcc rId="35838" sId="6">
    <oc r="F178">
      <f>SUM(F156,F137,F110,F90,F64,F37)</f>
    </oc>
    <nc r="F178"/>
  </rcc>
  <rcc rId="35839" sId="6">
    <oc r="G178">
      <f>SUM(G156,G137,G110,G90,G64,G37)</f>
    </oc>
    <nc r="G178"/>
  </rcc>
  <rcc rId="35840" sId="6">
    <oc r="H178">
      <f>SUM(H156,H137,H110,H90,H64,H37)</f>
    </oc>
    <nc r="H178"/>
  </rcc>
  <rcc rId="35841" sId="6">
    <oc r="I178">
      <f>SUM(I156,I137,I110,I90,I64,I37)</f>
    </oc>
    <nc r="I178"/>
  </rcc>
  <rcc rId="35842" sId="6">
    <oc r="J178">
      <f>SUM(J156,J137,J110,J90,J64,J37)</f>
    </oc>
    <nc r="J178"/>
  </rcc>
  <rrc rId="35843" sId="6" ref="A1:XFD1" action="deleteRow">
    <undo index="2" exp="area" ref3D="1" dr="$A$163:$XFD$177" dn="Z_78CA186D_B240_44D5_8A24_D241DE0B0FD9_.wvu.Rows" sId="6"/>
    <undo index="1" exp="area" ref3D="1" dr="$A$1:$XFD$7" dn="Z_78CA186D_B240_44D5_8A24_D241DE0B0FD9_.wvu.Rows" sId="6"/>
    <undo index="2" exp="area" ref3D="1" dr="$A$163:$XFD$177" dn="Z_F784130D_F647_4ABA_8943_C79CA5B0FDC4_.wvu.Rows" sId="6"/>
    <undo index="1" exp="area" ref3D="1" dr="$A$1:$XFD$7" dn="Z_F784130D_F647_4ABA_8943_C79CA5B0FDC4_.wvu.Rows" sId="6"/>
    <undo index="2" exp="area" ref3D="1" dr="$A$163:$XFD$177" dn="Z_E44F5FE1_54FC_4AB3_84F9_7D65ACF2DDE7_.wvu.Rows" sId="6"/>
    <undo index="1" exp="area" ref3D="1" dr="$A$1:$XFD$7" dn="Z_E44F5FE1_54FC_4AB3_84F9_7D65ACF2DDE7_.wvu.Rows" sId="6"/>
    <undo index="2" exp="area" ref3D="1" dr="$A$163:$XFD$177" dn="Z_AEFEB150_9213_45F5_A178_7AC71E46DB11_.wvu.Rows" sId="6"/>
    <undo index="1" exp="area" ref3D="1" dr="$A$1:$XFD$7" dn="Z_AEFEB150_9213_45F5_A178_7AC71E46DB11_.wvu.Rows" sId="6"/>
    <undo index="2" exp="area" ref3D="1" dr="$A$163:$XFD$177" dn="Z_9D4F0482_B164_4671_805A_E0D2D4DD4720_.wvu.Rows" sId="6"/>
    <undo index="1" exp="area" ref3D="1" dr="$A$1:$XFD$7" dn="Z_9D4F0482_B164_4671_805A_E0D2D4DD4720_.wvu.Rows" sId="6"/>
    <undo index="2" exp="area" ref3D="1" dr="$A$163:$XFD$177" dn="Z_94DA13B6_7351_40F3_8CF7_A4211EC439DA_.wvu.Rows" sId="6"/>
    <undo index="1" exp="area" ref3D="1" dr="$A$1:$XFD$7" dn="Z_94DA13B6_7351_40F3_8CF7_A4211EC439DA_.wvu.Rows" sId="6"/>
    <undo index="2" exp="area" ref3D="1" dr="$A$163:$XFD$177" dn="Z_8F508F4D_4777_42BE_9707_8CB9355F7BDB_.wvu.Rows" sId="6"/>
    <undo index="1" exp="area" ref3D="1" dr="$A$1:$XFD$7" dn="Z_8F508F4D_4777_42BE_9707_8CB9355F7BDB_.wvu.Rows" sId="6"/>
    <undo index="2" exp="area" ref3D="1" dr="$A$163:$XFD$177" dn="Z_567C3053_2D8E_4705_8DC7_18896C5303CA_.wvu.Rows" sId="6"/>
    <undo index="1" exp="area" ref3D="1" dr="$A$1:$XFD$7" dn="Z_567C3053_2D8E_4705_8DC7_18896C5303CA_.wvu.Rows" sId="6"/>
    <undo index="2" exp="area" ref3D="1" dr="$A$163:$XFD$177" dn="Z_455630F5_40FC_47DB_8AD4_712C20B8FB91_.wvu.Rows" sId="6"/>
    <undo index="1" exp="area" ref3D="1" dr="$A$1:$XFD$7" dn="Z_455630F5_40FC_47DB_8AD4_712C20B8FB91_.wvu.Rows" sId="6"/>
    <undo index="2" exp="area" ref3D="1" dr="$A$163:$XFD$177" dn="Z_1E5198E1_BA46_4CE0_8628_4F695B0D7A3B_.wvu.Rows" sId="6"/>
    <undo index="1" exp="area" ref3D="1" dr="$A$1:$XFD$7" dn="Z_1E5198E1_BA46_4CE0_8628_4F695B0D7A3B_.wvu.Rows" sId="6"/>
    <rfmt sheetId="6" xfDxf="1" sqref="A1:XFD1" start="0" length="0">
      <dxf>
        <font/>
      </dxf>
    </rfmt>
    <rfmt sheetId="6" sqref="A1" start="0" length="0">
      <dxf>
        <font>
          <b/>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F1" start="0" length="0">
      <dxf>
        <numFmt numFmtId="167" formatCode="#,##0.0"/>
      </dxf>
    </rfmt>
    <rfmt sheetId="6" s="1" sqref="H1" start="0" length="0">
      <dxf>
        <numFmt numFmtId="13" formatCode="0%"/>
      </dxf>
    </rfmt>
  </rrc>
  <rrc rId="35844" sId="6" ref="A1:XFD1" action="deleteRow">
    <undo index="2" exp="area" ref3D="1" dr="$A$162:$XFD$176" dn="Z_78CA186D_B240_44D5_8A24_D241DE0B0FD9_.wvu.Rows" sId="6"/>
    <undo index="1" exp="area" ref3D="1" dr="$A$1:$XFD$6" dn="Z_78CA186D_B240_44D5_8A24_D241DE0B0FD9_.wvu.Rows" sId="6"/>
    <undo index="2" exp="area" ref3D="1" dr="$A$162:$XFD$176" dn="Z_F784130D_F647_4ABA_8943_C79CA5B0FDC4_.wvu.Rows" sId="6"/>
    <undo index="1" exp="area" ref3D="1" dr="$A$1:$XFD$6" dn="Z_F784130D_F647_4ABA_8943_C79CA5B0FDC4_.wvu.Rows" sId="6"/>
    <undo index="2" exp="area" ref3D="1" dr="$A$162:$XFD$176" dn="Z_E44F5FE1_54FC_4AB3_84F9_7D65ACF2DDE7_.wvu.Rows" sId="6"/>
    <undo index="1" exp="area" ref3D="1" dr="$A$1:$XFD$6" dn="Z_E44F5FE1_54FC_4AB3_84F9_7D65ACF2DDE7_.wvu.Rows" sId="6"/>
    <undo index="2" exp="area" ref3D="1" dr="$A$162:$XFD$176" dn="Z_AEFEB150_9213_45F5_A178_7AC71E46DB11_.wvu.Rows" sId="6"/>
    <undo index="1" exp="area" ref3D="1" dr="$A$1:$XFD$6" dn="Z_AEFEB150_9213_45F5_A178_7AC71E46DB11_.wvu.Rows" sId="6"/>
    <undo index="2" exp="area" ref3D="1" dr="$A$162:$XFD$176" dn="Z_9D4F0482_B164_4671_805A_E0D2D4DD4720_.wvu.Rows" sId="6"/>
    <undo index="1" exp="area" ref3D="1" dr="$A$1:$XFD$6" dn="Z_9D4F0482_B164_4671_805A_E0D2D4DD4720_.wvu.Rows" sId="6"/>
    <undo index="2" exp="area" ref3D="1" dr="$A$162:$XFD$176" dn="Z_94DA13B6_7351_40F3_8CF7_A4211EC439DA_.wvu.Rows" sId="6"/>
    <undo index="1" exp="area" ref3D="1" dr="$A$1:$XFD$6" dn="Z_94DA13B6_7351_40F3_8CF7_A4211EC439DA_.wvu.Rows" sId="6"/>
    <undo index="2" exp="area" ref3D="1" dr="$A$162:$XFD$176" dn="Z_8F508F4D_4777_42BE_9707_8CB9355F7BDB_.wvu.Rows" sId="6"/>
    <undo index="1" exp="area" ref3D="1" dr="$A$1:$XFD$6" dn="Z_8F508F4D_4777_42BE_9707_8CB9355F7BDB_.wvu.Rows" sId="6"/>
    <undo index="2" exp="area" ref3D="1" dr="$A$162:$XFD$176" dn="Z_567C3053_2D8E_4705_8DC7_18896C5303CA_.wvu.Rows" sId="6"/>
    <undo index="1" exp="area" ref3D="1" dr="$A$1:$XFD$6" dn="Z_567C3053_2D8E_4705_8DC7_18896C5303CA_.wvu.Rows" sId="6"/>
    <undo index="2" exp="area" ref3D="1" dr="$A$162:$XFD$176" dn="Z_455630F5_40FC_47DB_8AD4_712C20B8FB91_.wvu.Rows" sId="6"/>
    <undo index="1" exp="area" ref3D="1" dr="$A$1:$XFD$6" dn="Z_455630F5_40FC_47DB_8AD4_712C20B8FB91_.wvu.Rows" sId="6"/>
    <undo index="2" exp="area" ref3D="1" dr="$A$162:$XFD$176" dn="Z_1E5198E1_BA46_4CE0_8628_4F695B0D7A3B_.wvu.Rows" sId="6"/>
    <undo index="1" exp="area" ref3D="1" dr="$A$1:$XFD$6" dn="Z_1E5198E1_BA46_4CE0_8628_4F695B0D7A3B_.wvu.Rows" sId="6"/>
    <rfmt sheetId="6" xfDxf="1" sqref="A1:XFD1" start="0" length="0">
      <dxf>
        <font/>
      </dxf>
    </rfmt>
    <rfmt sheetId="6" sqref="A1" start="0" length="0">
      <dxf>
        <font>
          <b/>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F1" start="0" length="0">
      <dxf>
        <numFmt numFmtId="167" formatCode="#,##0.0"/>
      </dxf>
    </rfmt>
    <rfmt sheetId="6" s="1" sqref="H1" start="0" length="0">
      <dxf>
        <numFmt numFmtId="13" formatCode="0%"/>
      </dxf>
    </rfmt>
  </rrc>
  <rrc rId="35845" sId="6" ref="A1:XFD1" action="deleteRow">
    <undo index="2" exp="area" ref3D="1" dr="$A$161:$XFD$175" dn="Z_78CA186D_B240_44D5_8A24_D241DE0B0FD9_.wvu.Rows" sId="6"/>
    <undo index="1" exp="area" ref3D="1" dr="$A$1:$XFD$5" dn="Z_78CA186D_B240_44D5_8A24_D241DE0B0FD9_.wvu.Rows" sId="6"/>
    <undo index="2" exp="area" ref3D="1" dr="$A$161:$XFD$175" dn="Z_F784130D_F647_4ABA_8943_C79CA5B0FDC4_.wvu.Rows" sId="6"/>
    <undo index="1" exp="area" ref3D="1" dr="$A$1:$XFD$5" dn="Z_F784130D_F647_4ABA_8943_C79CA5B0FDC4_.wvu.Rows" sId="6"/>
    <undo index="2" exp="area" ref3D="1" dr="$A$161:$XFD$175" dn="Z_E44F5FE1_54FC_4AB3_84F9_7D65ACF2DDE7_.wvu.Rows" sId="6"/>
    <undo index="1" exp="area" ref3D="1" dr="$A$1:$XFD$5" dn="Z_E44F5FE1_54FC_4AB3_84F9_7D65ACF2DDE7_.wvu.Rows" sId="6"/>
    <undo index="2" exp="area" ref3D="1" dr="$A$161:$XFD$175" dn="Z_AEFEB150_9213_45F5_A178_7AC71E46DB11_.wvu.Rows" sId="6"/>
    <undo index="1" exp="area" ref3D="1" dr="$A$1:$XFD$5" dn="Z_AEFEB150_9213_45F5_A178_7AC71E46DB11_.wvu.Rows" sId="6"/>
    <undo index="2" exp="area" ref3D="1" dr="$A$161:$XFD$175" dn="Z_9D4F0482_B164_4671_805A_E0D2D4DD4720_.wvu.Rows" sId="6"/>
    <undo index="1" exp="area" ref3D="1" dr="$A$1:$XFD$5" dn="Z_9D4F0482_B164_4671_805A_E0D2D4DD4720_.wvu.Rows" sId="6"/>
    <undo index="2" exp="area" ref3D="1" dr="$A$161:$XFD$175" dn="Z_94DA13B6_7351_40F3_8CF7_A4211EC439DA_.wvu.Rows" sId="6"/>
    <undo index="1" exp="area" ref3D="1" dr="$A$1:$XFD$5" dn="Z_94DA13B6_7351_40F3_8CF7_A4211EC439DA_.wvu.Rows" sId="6"/>
    <undo index="2" exp="area" ref3D="1" dr="$A$161:$XFD$175" dn="Z_8F508F4D_4777_42BE_9707_8CB9355F7BDB_.wvu.Rows" sId="6"/>
    <undo index="1" exp="area" ref3D="1" dr="$A$1:$XFD$5" dn="Z_8F508F4D_4777_42BE_9707_8CB9355F7BDB_.wvu.Rows" sId="6"/>
    <undo index="2" exp="area" ref3D="1" dr="$A$161:$XFD$175" dn="Z_567C3053_2D8E_4705_8DC7_18896C5303CA_.wvu.Rows" sId="6"/>
    <undo index="1" exp="area" ref3D="1" dr="$A$1:$XFD$5" dn="Z_567C3053_2D8E_4705_8DC7_18896C5303CA_.wvu.Rows" sId="6"/>
    <undo index="2" exp="area" ref3D="1" dr="$A$161:$XFD$175" dn="Z_455630F5_40FC_47DB_8AD4_712C20B8FB91_.wvu.Rows" sId="6"/>
    <undo index="1" exp="area" ref3D="1" dr="$A$1:$XFD$5" dn="Z_455630F5_40FC_47DB_8AD4_712C20B8FB91_.wvu.Rows" sId="6"/>
    <undo index="2" exp="area" ref3D="1" dr="$A$161:$XFD$175" dn="Z_1E5198E1_BA46_4CE0_8628_4F695B0D7A3B_.wvu.Rows" sId="6"/>
    <undo index="1" exp="area" ref3D="1" dr="$A$1:$XFD$5" dn="Z_1E5198E1_BA46_4CE0_8628_4F695B0D7A3B_.wvu.Rows" sId="6"/>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F1" start="0" length="0">
      <dxf>
        <numFmt numFmtId="167" formatCode="#,##0.0"/>
      </dxf>
    </rfmt>
    <rfmt sheetId="6" s="1" sqref="H1" start="0" length="0">
      <dxf>
        <numFmt numFmtId="13" formatCode="0%"/>
      </dxf>
    </rfmt>
  </rrc>
  <rrc rId="35846" sId="6" ref="A1:XFD1" action="deleteRow">
    <undo index="2" exp="area" ref3D="1" dr="$A$160:$XFD$174" dn="Z_78CA186D_B240_44D5_8A24_D241DE0B0FD9_.wvu.Rows" sId="6"/>
    <undo index="1" exp="area" ref3D="1" dr="$A$1:$XFD$4" dn="Z_78CA186D_B240_44D5_8A24_D241DE0B0FD9_.wvu.Rows" sId="6"/>
    <undo index="2" exp="area" ref3D="1" dr="$A$160:$XFD$174" dn="Z_F784130D_F647_4ABA_8943_C79CA5B0FDC4_.wvu.Rows" sId="6"/>
    <undo index="1" exp="area" ref3D="1" dr="$A$1:$XFD$4" dn="Z_F784130D_F647_4ABA_8943_C79CA5B0FDC4_.wvu.Rows" sId="6"/>
    <undo index="2" exp="area" ref3D="1" dr="$A$160:$XFD$174" dn="Z_E44F5FE1_54FC_4AB3_84F9_7D65ACF2DDE7_.wvu.Rows" sId="6"/>
    <undo index="1" exp="area" ref3D="1" dr="$A$1:$XFD$4" dn="Z_E44F5FE1_54FC_4AB3_84F9_7D65ACF2DDE7_.wvu.Rows" sId="6"/>
    <undo index="2" exp="area" ref3D="1" dr="$A$160:$XFD$174" dn="Z_AEFEB150_9213_45F5_A178_7AC71E46DB11_.wvu.Rows" sId="6"/>
    <undo index="1" exp="area" ref3D="1" dr="$A$1:$XFD$4" dn="Z_AEFEB150_9213_45F5_A178_7AC71E46DB11_.wvu.Rows" sId="6"/>
    <undo index="2" exp="area" ref3D="1" dr="$A$160:$XFD$174" dn="Z_9D4F0482_B164_4671_805A_E0D2D4DD4720_.wvu.Rows" sId="6"/>
    <undo index="1" exp="area" ref3D="1" dr="$A$1:$XFD$4" dn="Z_9D4F0482_B164_4671_805A_E0D2D4DD4720_.wvu.Rows" sId="6"/>
    <undo index="2" exp="area" ref3D="1" dr="$A$160:$XFD$174" dn="Z_94DA13B6_7351_40F3_8CF7_A4211EC439DA_.wvu.Rows" sId="6"/>
    <undo index="1" exp="area" ref3D="1" dr="$A$1:$XFD$4" dn="Z_94DA13B6_7351_40F3_8CF7_A4211EC439DA_.wvu.Rows" sId="6"/>
    <undo index="2" exp="area" ref3D="1" dr="$A$160:$XFD$174" dn="Z_8F508F4D_4777_42BE_9707_8CB9355F7BDB_.wvu.Rows" sId="6"/>
    <undo index="1" exp="area" ref3D="1" dr="$A$1:$XFD$4" dn="Z_8F508F4D_4777_42BE_9707_8CB9355F7BDB_.wvu.Rows" sId="6"/>
    <undo index="2" exp="area" ref3D="1" dr="$A$160:$XFD$174" dn="Z_567C3053_2D8E_4705_8DC7_18896C5303CA_.wvu.Rows" sId="6"/>
    <undo index="1" exp="area" ref3D="1" dr="$A$1:$XFD$4" dn="Z_567C3053_2D8E_4705_8DC7_18896C5303CA_.wvu.Rows" sId="6"/>
    <undo index="2" exp="area" ref3D="1" dr="$A$160:$XFD$174" dn="Z_455630F5_40FC_47DB_8AD4_712C20B8FB91_.wvu.Rows" sId="6"/>
    <undo index="1" exp="area" ref3D="1" dr="$A$1:$XFD$4" dn="Z_455630F5_40FC_47DB_8AD4_712C20B8FB91_.wvu.Rows" sId="6"/>
    <undo index="2" exp="area" ref3D="1" dr="$A$160:$XFD$174" dn="Z_1E5198E1_BA46_4CE0_8628_4F695B0D7A3B_.wvu.Rows" sId="6"/>
    <undo index="1" exp="area" ref3D="1" dr="$A$1:$XFD$4" dn="Z_1E5198E1_BA46_4CE0_8628_4F695B0D7A3B_.wvu.Rows" sId="6"/>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F1" start="0" length="0">
      <dxf>
        <numFmt numFmtId="167" formatCode="#,##0.0"/>
      </dxf>
    </rfmt>
    <rfmt sheetId="6" s="1" sqref="H1" start="0" length="0">
      <dxf>
        <numFmt numFmtId="13" formatCode="0%"/>
      </dxf>
    </rfmt>
  </rrc>
  <rrc rId="35847" sId="6" ref="A1:XFD1" action="deleteRow">
    <undo index="2" exp="area" ref3D="1" dr="$A$159:$XFD$173" dn="Z_78CA186D_B240_44D5_8A24_D241DE0B0FD9_.wvu.Rows" sId="6"/>
    <undo index="1" exp="area" ref3D="1" dr="$A$1:$XFD$3" dn="Z_78CA186D_B240_44D5_8A24_D241DE0B0FD9_.wvu.Rows" sId="6"/>
    <undo index="2" exp="area" ref3D="1" dr="$A$159:$XFD$173" dn="Z_F784130D_F647_4ABA_8943_C79CA5B0FDC4_.wvu.Rows" sId="6"/>
    <undo index="1" exp="area" ref3D="1" dr="$A$1:$XFD$3" dn="Z_F784130D_F647_4ABA_8943_C79CA5B0FDC4_.wvu.Rows" sId="6"/>
    <undo index="2" exp="area" ref3D="1" dr="$A$159:$XFD$173" dn="Z_E44F5FE1_54FC_4AB3_84F9_7D65ACF2DDE7_.wvu.Rows" sId="6"/>
    <undo index="1" exp="area" ref3D="1" dr="$A$1:$XFD$3" dn="Z_E44F5FE1_54FC_4AB3_84F9_7D65ACF2DDE7_.wvu.Rows" sId="6"/>
    <undo index="2" exp="area" ref3D="1" dr="$A$159:$XFD$173" dn="Z_AEFEB150_9213_45F5_A178_7AC71E46DB11_.wvu.Rows" sId="6"/>
    <undo index="1" exp="area" ref3D="1" dr="$A$1:$XFD$3" dn="Z_AEFEB150_9213_45F5_A178_7AC71E46DB11_.wvu.Rows" sId="6"/>
    <undo index="2" exp="area" ref3D="1" dr="$A$159:$XFD$173" dn="Z_9D4F0482_B164_4671_805A_E0D2D4DD4720_.wvu.Rows" sId="6"/>
    <undo index="1" exp="area" ref3D="1" dr="$A$1:$XFD$3" dn="Z_9D4F0482_B164_4671_805A_E0D2D4DD4720_.wvu.Rows" sId="6"/>
    <undo index="2" exp="area" ref3D="1" dr="$A$159:$XFD$173" dn="Z_94DA13B6_7351_40F3_8CF7_A4211EC439DA_.wvu.Rows" sId="6"/>
    <undo index="1" exp="area" ref3D="1" dr="$A$1:$XFD$3" dn="Z_94DA13B6_7351_40F3_8CF7_A4211EC439DA_.wvu.Rows" sId="6"/>
    <undo index="2" exp="area" ref3D="1" dr="$A$159:$XFD$173" dn="Z_8F508F4D_4777_42BE_9707_8CB9355F7BDB_.wvu.Rows" sId="6"/>
    <undo index="1" exp="area" ref3D="1" dr="$A$1:$XFD$3" dn="Z_8F508F4D_4777_42BE_9707_8CB9355F7BDB_.wvu.Rows" sId="6"/>
    <undo index="2" exp="area" ref3D="1" dr="$A$159:$XFD$173" dn="Z_567C3053_2D8E_4705_8DC7_18896C5303CA_.wvu.Rows" sId="6"/>
    <undo index="1" exp="area" ref3D="1" dr="$A$1:$XFD$3" dn="Z_567C3053_2D8E_4705_8DC7_18896C5303CA_.wvu.Rows" sId="6"/>
    <undo index="2" exp="area" ref3D="1" dr="$A$159:$XFD$173" dn="Z_455630F5_40FC_47DB_8AD4_712C20B8FB91_.wvu.Rows" sId="6"/>
    <undo index="1" exp="area" ref3D="1" dr="$A$1:$XFD$3" dn="Z_455630F5_40FC_47DB_8AD4_712C20B8FB91_.wvu.Rows" sId="6"/>
    <undo index="2" exp="area" ref3D="1" dr="$A$159:$XFD$173" dn="Z_1E5198E1_BA46_4CE0_8628_4F695B0D7A3B_.wvu.Rows" sId="6"/>
    <undo index="1" exp="area" ref3D="1" dr="$A$1:$XFD$3" dn="Z_1E5198E1_BA46_4CE0_8628_4F695B0D7A3B_.wvu.Rows" sId="6"/>
    <rfmt sheetId="6" xfDxf="1" sqref="A1:XFD1" start="0" length="0">
      <dxf>
        <font/>
      </dxf>
    </rfmt>
    <rfmt sheetId="6" sqref="A1" start="0" length="0">
      <dxf/>
    </rfmt>
    <rfmt sheetId="6" sqref="B1" start="0" length="0">
      <dxf>
        <numFmt numFmtId="167" formatCode="#,##0.0"/>
      </dxf>
    </rfmt>
    <rfmt sheetId="6" sqref="C1" start="0" length="0">
      <dxf>
        <numFmt numFmtId="167" formatCode="#,##0.0"/>
      </dxf>
    </rfmt>
    <rfmt sheetId="6" sqref="D1" start="0" length="0">
      <dxf>
        <numFmt numFmtId="167" formatCode="#,##0.0"/>
      </dxf>
    </rfmt>
    <rfmt sheetId="6" sqref="F1" start="0" length="0">
      <dxf>
        <numFmt numFmtId="167" formatCode="#,##0.0"/>
      </dxf>
    </rfmt>
    <rfmt sheetId="6" s="1" sqref="H1" start="0" length="0">
      <dxf>
        <numFmt numFmtId="13" formatCode="0%"/>
      </dxf>
    </rfmt>
  </rrc>
  <rrc rId="35848" sId="6" ref="A1:XFD1" action="deleteRow">
    <undo index="2" exp="area" ref3D="1" dr="$A$158:$XFD$172" dn="Z_78CA186D_B240_44D5_8A24_D241DE0B0FD9_.wvu.Rows" sId="6"/>
    <undo index="1" exp="area" ref3D="1" dr="$A$1:$XFD$2" dn="Z_78CA186D_B240_44D5_8A24_D241DE0B0FD9_.wvu.Rows" sId="6"/>
    <undo index="2" exp="area" ref3D="1" dr="$A$158:$XFD$172" dn="Z_F784130D_F647_4ABA_8943_C79CA5B0FDC4_.wvu.Rows" sId="6"/>
    <undo index="1" exp="area" ref3D="1" dr="$A$1:$XFD$2" dn="Z_F784130D_F647_4ABA_8943_C79CA5B0FDC4_.wvu.Rows" sId="6"/>
    <undo index="2" exp="area" ref3D="1" dr="$A$158:$XFD$172" dn="Z_E44F5FE1_54FC_4AB3_84F9_7D65ACF2DDE7_.wvu.Rows" sId="6"/>
    <undo index="1" exp="area" ref3D="1" dr="$A$1:$XFD$2" dn="Z_E44F5FE1_54FC_4AB3_84F9_7D65ACF2DDE7_.wvu.Rows" sId="6"/>
    <undo index="2" exp="area" ref3D="1" dr="$A$158:$XFD$172" dn="Z_AEFEB150_9213_45F5_A178_7AC71E46DB11_.wvu.Rows" sId="6"/>
    <undo index="1" exp="area" ref3D="1" dr="$A$1:$XFD$2" dn="Z_AEFEB150_9213_45F5_A178_7AC71E46DB11_.wvu.Rows" sId="6"/>
    <undo index="2" exp="area" ref3D="1" dr="$A$158:$XFD$172" dn="Z_9D4F0482_B164_4671_805A_E0D2D4DD4720_.wvu.Rows" sId="6"/>
    <undo index="1" exp="area" ref3D="1" dr="$A$1:$XFD$2" dn="Z_9D4F0482_B164_4671_805A_E0D2D4DD4720_.wvu.Rows" sId="6"/>
    <undo index="2" exp="area" ref3D="1" dr="$A$158:$XFD$172" dn="Z_94DA13B6_7351_40F3_8CF7_A4211EC439DA_.wvu.Rows" sId="6"/>
    <undo index="1" exp="area" ref3D="1" dr="$A$1:$XFD$2" dn="Z_94DA13B6_7351_40F3_8CF7_A4211EC439DA_.wvu.Rows" sId="6"/>
    <undo index="2" exp="area" ref3D="1" dr="$A$158:$XFD$172" dn="Z_8F508F4D_4777_42BE_9707_8CB9355F7BDB_.wvu.Rows" sId="6"/>
    <undo index="1" exp="area" ref3D="1" dr="$A$1:$XFD$2" dn="Z_8F508F4D_4777_42BE_9707_8CB9355F7BDB_.wvu.Rows" sId="6"/>
    <undo index="2" exp="area" ref3D="1" dr="$A$158:$XFD$172" dn="Z_567C3053_2D8E_4705_8DC7_18896C5303CA_.wvu.Rows" sId="6"/>
    <undo index="1" exp="area" ref3D="1" dr="$A$1:$XFD$2" dn="Z_567C3053_2D8E_4705_8DC7_18896C5303CA_.wvu.Rows" sId="6"/>
    <undo index="2" exp="area" ref3D="1" dr="$A$158:$XFD$172" dn="Z_455630F5_40FC_47DB_8AD4_712C20B8FB91_.wvu.Rows" sId="6"/>
    <undo index="1" exp="area" ref3D="1" dr="$A$1:$XFD$2" dn="Z_455630F5_40FC_47DB_8AD4_712C20B8FB91_.wvu.Rows" sId="6"/>
    <undo index="2" exp="area" ref3D="1" dr="$A$158:$XFD$172" dn="Z_1E5198E1_BA46_4CE0_8628_4F695B0D7A3B_.wvu.Rows" sId="6"/>
    <undo index="1" exp="area" ref3D="1" dr="$A$1:$XFD$2" dn="Z_1E5198E1_BA46_4CE0_8628_4F695B0D7A3B_.wvu.Rows" sId="6"/>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F1" start="0" length="0">
      <dxf>
        <numFmt numFmtId="167" formatCode="#,##0.0"/>
      </dxf>
    </rfmt>
    <rfmt sheetId="6" s="1" sqref="H1" start="0" length="0">
      <dxf>
        <numFmt numFmtId="13" formatCode="0%"/>
      </dxf>
    </rfmt>
  </rrc>
  <rrc rId="35849" sId="6" ref="A1:XFD1" action="deleteRow">
    <undo index="2" exp="area" ref3D="1" dr="$A$157:$XFD$171" dn="Z_78CA186D_B240_44D5_8A24_D241DE0B0FD9_.wvu.Rows" sId="6"/>
    <undo index="1" exp="area" ref3D="1" dr="$A$1:$XFD$1" dn="Z_78CA186D_B240_44D5_8A24_D241DE0B0FD9_.wvu.Rows" sId="6"/>
    <undo index="2" exp="area" ref3D="1" dr="$A$157:$XFD$171" dn="Z_F784130D_F647_4ABA_8943_C79CA5B0FDC4_.wvu.Rows" sId="6"/>
    <undo index="1" exp="area" ref3D="1" dr="$A$1:$XFD$1" dn="Z_F784130D_F647_4ABA_8943_C79CA5B0FDC4_.wvu.Rows" sId="6"/>
    <undo index="2" exp="area" ref3D="1" dr="$A$157:$XFD$171" dn="Z_E44F5FE1_54FC_4AB3_84F9_7D65ACF2DDE7_.wvu.Rows" sId="6"/>
    <undo index="1" exp="area" ref3D="1" dr="$A$1:$XFD$1" dn="Z_E44F5FE1_54FC_4AB3_84F9_7D65ACF2DDE7_.wvu.Rows" sId="6"/>
    <undo index="2" exp="area" ref3D="1" dr="$A$157:$XFD$171" dn="Z_AEFEB150_9213_45F5_A178_7AC71E46DB11_.wvu.Rows" sId="6"/>
    <undo index="1" exp="area" ref3D="1" dr="$A$1:$XFD$1" dn="Z_AEFEB150_9213_45F5_A178_7AC71E46DB11_.wvu.Rows" sId="6"/>
    <undo index="2" exp="area" ref3D="1" dr="$A$157:$XFD$171" dn="Z_9D4F0482_B164_4671_805A_E0D2D4DD4720_.wvu.Rows" sId="6"/>
    <undo index="1" exp="area" ref3D="1" dr="$A$1:$XFD$1" dn="Z_9D4F0482_B164_4671_805A_E0D2D4DD4720_.wvu.Rows" sId="6"/>
    <undo index="2" exp="area" ref3D="1" dr="$A$157:$XFD$171" dn="Z_94DA13B6_7351_40F3_8CF7_A4211EC439DA_.wvu.Rows" sId="6"/>
    <undo index="1" exp="area" ref3D="1" dr="$A$1:$XFD$1" dn="Z_94DA13B6_7351_40F3_8CF7_A4211EC439DA_.wvu.Rows" sId="6"/>
    <undo index="2" exp="area" ref3D="1" dr="$A$157:$XFD$171" dn="Z_8F508F4D_4777_42BE_9707_8CB9355F7BDB_.wvu.Rows" sId="6"/>
    <undo index="1" exp="area" ref3D="1" dr="$A$1:$XFD$1" dn="Z_8F508F4D_4777_42BE_9707_8CB9355F7BDB_.wvu.Rows" sId="6"/>
    <undo index="2" exp="area" ref3D="1" dr="$A$157:$XFD$171" dn="Z_567C3053_2D8E_4705_8DC7_18896C5303CA_.wvu.Rows" sId="6"/>
    <undo index="1" exp="area" ref3D="1" dr="$A$1:$XFD$1" dn="Z_567C3053_2D8E_4705_8DC7_18896C5303CA_.wvu.Rows" sId="6"/>
    <undo index="2" exp="area" ref3D="1" dr="$A$157:$XFD$171" dn="Z_455630F5_40FC_47DB_8AD4_712C20B8FB91_.wvu.Rows" sId="6"/>
    <undo index="1" exp="area" ref3D="1" dr="$A$1:$XFD$1" dn="Z_455630F5_40FC_47DB_8AD4_712C20B8FB91_.wvu.Rows" sId="6"/>
    <undo index="2" exp="area" ref3D="1" dr="$A$157:$XFD$171" dn="Z_1E5198E1_BA46_4CE0_8628_4F695B0D7A3B_.wvu.Rows" sId="6"/>
    <undo index="1" exp="area" ref3D="1" dr="$A$1:$XFD$1" dn="Z_1E5198E1_BA46_4CE0_8628_4F695B0D7A3B_.wvu.Rows" sId="6"/>
    <rfmt sheetId="6" xfDxf="1" sqref="A1:XFD1" start="0" length="0">
      <dxf>
        <font/>
      </dxf>
    </rfmt>
    <rfmt sheetId="6" sqref="A1" start="0" length="0">
      <dxf>
        <fill>
          <patternFill patternType="solid">
            <bgColor indexed="41"/>
          </patternFill>
        </fill>
        <border outline="0">
          <left style="medium">
            <color indexed="64"/>
          </left>
          <right style="medium">
            <color indexed="64"/>
          </right>
          <top style="medium">
            <color indexed="64"/>
          </top>
        </border>
      </dxf>
    </rfmt>
    <rfmt sheetId="6" sqref="B1" start="0" length="0">
      <dxf>
        <numFmt numFmtId="167" formatCode="#,##0.0"/>
      </dxf>
    </rfmt>
    <rfmt sheetId="6" sqref="C1" start="0" length="0">
      <dxf>
        <numFmt numFmtId="167" formatCode="#,##0.0"/>
      </dxf>
    </rfmt>
    <rfmt sheetId="6" sqref="D1" start="0" length="0">
      <dxf>
        <numFmt numFmtId="167" formatCode="#,##0.0"/>
      </dxf>
    </rfmt>
    <rfmt sheetId="6" sqref="F1" start="0" length="0">
      <dxf>
        <numFmt numFmtId="167" formatCode="#,##0.0"/>
      </dxf>
    </rfmt>
    <rfmt sheetId="6" s="1" sqref="H1" start="0" length="0">
      <dxf>
        <numFmt numFmtId="13" formatCode="0%"/>
      </dxf>
    </rfmt>
  </rrc>
  <rrc rId="35850" sId="6" ref="A1:XFD1" action="deleteRow">
    <undo index="2" exp="area" ref3D="1" dr="$A$156:$XFD$170" dn="Z_78CA186D_B240_44D5_8A24_D241DE0B0FD9_.wvu.Rows" sId="6"/>
    <undo index="2" exp="area" ref3D="1" dr="$A$156:$XFD$170" dn="Z_F784130D_F647_4ABA_8943_C79CA5B0FDC4_.wvu.Rows" sId="6"/>
    <undo index="2" exp="area" ref3D="1" dr="$A$156:$XFD$170" dn="Z_E44F5FE1_54FC_4AB3_84F9_7D65ACF2DDE7_.wvu.Rows" sId="6"/>
    <undo index="2" exp="area" ref3D="1" dr="$A$156:$XFD$170" dn="Z_AEFEB150_9213_45F5_A178_7AC71E46DB11_.wvu.Rows" sId="6"/>
    <undo index="2" exp="area" ref3D="1" dr="$A$156:$XFD$170" dn="Z_9D4F0482_B164_4671_805A_E0D2D4DD4720_.wvu.Rows" sId="6"/>
    <undo index="2" exp="area" ref3D="1" dr="$A$156:$XFD$170" dn="Z_94DA13B6_7351_40F3_8CF7_A4211EC439DA_.wvu.Rows" sId="6"/>
    <undo index="2" exp="area" ref3D="1" dr="$A$156:$XFD$170" dn="Z_8F508F4D_4777_42BE_9707_8CB9355F7BDB_.wvu.Rows" sId="6"/>
    <undo index="2" exp="area" ref3D="1" dr="$A$156:$XFD$170" dn="Z_567C3053_2D8E_4705_8DC7_18896C5303CA_.wvu.Rows" sId="6"/>
    <undo index="2" exp="area" ref3D="1" dr="$A$156:$XFD$170" dn="Z_455630F5_40FC_47DB_8AD4_712C20B8FB91_.wvu.Rows" sId="6"/>
    <undo index="2" exp="area" ref3D="1" dr="$A$156:$XFD$170" dn="Z_1E5198E1_BA46_4CE0_8628_4F695B0D7A3B_.wvu.Rows" sId="6"/>
    <rfmt sheetId="6" xfDxf="1" sqref="A1:XFD1" start="0" length="0">
      <dxf>
        <font/>
      </dxf>
    </rfmt>
    <rfmt sheetId="6" sqref="A1" start="0" length="0">
      <dxf>
        <border outline="0">
          <left style="medium">
            <color indexed="64"/>
          </left>
          <right style="medium">
            <color indexed="64"/>
          </right>
        </border>
      </dxf>
    </rfmt>
    <rfmt sheetId="6" sqref="B1" start="0" length="0">
      <dxf>
        <font>
          <b/>
        </font>
        <numFmt numFmtId="13" formatCode="0%"/>
        <fill>
          <patternFill patternType="solid">
            <bgColor indexed="41"/>
          </patternFill>
        </fill>
        <alignment horizontal="center" vertical="top" readingOrder="0"/>
        <border outline="0">
          <right style="medium">
            <color indexed="64"/>
          </right>
          <bottom style="medium">
            <color indexed="64"/>
          </bottom>
        </border>
      </dxf>
    </rfmt>
    <rfmt sheetId="6" sqref="C1" start="0" length="0">
      <dxf>
        <font>
          <b/>
        </font>
        <numFmt numFmtId="165" formatCode="&quot;$&quot;#,##0"/>
        <fill>
          <patternFill patternType="solid">
            <bgColor indexed="49"/>
          </patternFill>
        </fill>
        <alignment horizontal="center" vertical="top" readingOrder="0"/>
        <border outline="0">
          <left style="medium">
            <color indexed="64"/>
          </left>
          <right style="medium">
            <color indexed="64"/>
          </right>
          <bottom style="medium">
            <color indexed="64"/>
          </bottom>
        </border>
      </dxf>
    </rfmt>
    <rfmt sheetId="6" sqref="D1" start="0" length="0">
      <dxf>
        <font>
          <b/>
        </font>
        <numFmt numFmtId="10" formatCode="&quot;$&quot;#,##0_);[Red]\(&quot;$&quot;#,##0\)"/>
        <fill>
          <patternFill patternType="solid">
            <bgColor indexed="49"/>
          </patternFill>
        </fill>
        <alignment horizontal="center" vertical="top" readingOrder="0"/>
        <border outline="0">
          <left style="medium">
            <color indexed="64"/>
          </left>
          <top style="medium">
            <color indexed="64"/>
          </top>
          <bottom style="medium">
            <color indexed="64"/>
          </bottom>
        </border>
      </dxf>
    </rfmt>
    <rfmt sheetId="6" sqref="E1" start="0" length="0">
      <dxf>
        <font>
          <b/>
        </font>
        <numFmt numFmtId="10" formatCode="&quot;$&quot;#,##0_);[Red]\(&quot;$&quot;#,##0\)"/>
        <fill>
          <patternFill patternType="solid">
            <bgColor indexed="49"/>
          </patternFill>
        </fill>
        <alignment horizontal="center" vertical="top" readingOrder="0"/>
        <border outline="0">
          <right style="medium">
            <color indexed="64"/>
          </right>
          <top style="medium">
            <color indexed="64"/>
          </top>
          <bottom style="medium">
            <color indexed="64"/>
          </bottom>
        </border>
      </dxf>
    </rfmt>
    <rfmt sheetId="6" sqref="F1" start="0" length="0">
      <dxf>
        <font>
          <b/>
        </font>
        <numFmt numFmtId="165" formatCode="&quot;$&quot;#,##0"/>
        <fill>
          <patternFill patternType="solid">
            <bgColor indexed="41"/>
          </patternFill>
        </fill>
        <alignment horizontal="center" vertical="top" readingOrder="0"/>
        <border outline="0">
          <left style="medium">
            <color indexed="64"/>
          </left>
          <right style="medium">
            <color indexed="64"/>
          </right>
          <bottom style="medium">
            <color indexed="64"/>
          </bottom>
        </border>
      </dxf>
    </rfmt>
    <rfmt sheetId="6" sqref="G1" start="0" length="0">
      <dxf>
        <font>
          <b/>
        </font>
        <numFmt numFmtId="165" formatCode="&quot;$&quot;#,##0"/>
        <fill>
          <patternFill patternType="solid">
            <bgColor indexed="41"/>
          </patternFill>
        </fill>
        <alignment horizontal="center" vertical="top" readingOrder="0"/>
        <border outline="0">
          <left style="medium">
            <color indexed="64"/>
          </left>
          <bottom style="medium">
            <color indexed="64"/>
          </bottom>
        </border>
      </dxf>
    </rfmt>
    <rfmt sheetId="6" sqref="H1" start="0" length="0">
      <dxf>
        <font>
          <b/>
        </font>
        <numFmt numFmtId="165" formatCode="&quot;$&quot;#,##0"/>
        <fill>
          <patternFill patternType="solid">
            <bgColor indexed="41"/>
          </patternFill>
        </fill>
        <alignment horizontal="center" vertical="top" readingOrder="0"/>
        <border outline="0">
          <right style="medium">
            <color indexed="64"/>
          </right>
          <bottom style="medium">
            <color indexed="64"/>
          </bottom>
        </border>
      </dxf>
    </rfmt>
  </rrc>
  <rrc rId="35851" sId="6" ref="A1:XFD1" action="deleteRow">
    <undo index="2" exp="area" ref3D="1" dr="$A$155:$XFD$169" dn="Z_78CA186D_B240_44D5_8A24_D241DE0B0FD9_.wvu.Rows" sId="6"/>
    <undo index="2" exp="area" ref3D="1" dr="$A$155:$XFD$169" dn="Z_F784130D_F647_4ABA_8943_C79CA5B0FDC4_.wvu.Rows" sId="6"/>
    <undo index="2" exp="area" ref3D="1" dr="$A$155:$XFD$169" dn="Z_E44F5FE1_54FC_4AB3_84F9_7D65ACF2DDE7_.wvu.Rows" sId="6"/>
    <undo index="2" exp="area" ref3D="1" dr="$A$155:$XFD$169" dn="Z_AEFEB150_9213_45F5_A178_7AC71E46DB11_.wvu.Rows" sId="6"/>
    <undo index="2" exp="area" ref3D="1" dr="$A$155:$XFD$169" dn="Z_9D4F0482_B164_4671_805A_E0D2D4DD4720_.wvu.Rows" sId="6"/>
    <undo index="2" exp="area" ref3D="1" dr="$A$155:$XFD$169" dn="Z_94DA13B6_7351_40F3_8CF7_A4211EC439DA_.wvu.Rows" sId="6"/>
    <undo index="2" exp="area" ref3D="1" dr="$A$155:$XFD$169" dn="Z_8F508F4D_4777_42BE_9707_8CB9355F7BDB_.wvu.Rows" sId="6"/>
    <undo index="2" exp="area" ref3D="1" dr="$A$155:$XFD$169" dn="Z_567C3053_2D8E_4705_8DC7_18896C5303CA_.wvu.Rows" sId="6"/>
    <undo index="2" exp="area" ref3D="1" dr="$A$155:$XFD$169" dn="Z_455630F5_40FC_47DB_8AD4_712C20B8FB91_.wvu.Rows" sId="6"/>
    <undo index="2" exp="area" ref3D="1" dr="$A$155:$XFD$169" dn="Z_1E5198E1_BA46_4CE0_8628_4F695B0D7A3B_.wvu.Rows" sId="6"/>
    <rfmt sheetId="6" xfDxf="1" sqref="A1:XFD1" start="0" length="0">
      <dxf>
        <font/>
      </dxf>
    </rfmt>
    <rfmt sheetId="6" sqref="A1" start="0" length="0">
      <dxf>
        <font>
          <b/>
        </font>
        <border outline="0">
          <left style="medium">
            <color indexed="64"/>
          </left>
          <right style="medium">
            <color indexed="64"/>
          </right>
          <bottom style="medium">
            <color indexed="64"/>
          </bottom>
        </border>
      </dxf>
    </rfmt>
    <rfmt sheetId="6" sqref="B1" start="0" length="0">
      <dxf>
        <font>
          <b/>
        </font>
        <numFmt numFmtId="13" formatCode="0%"/>
        <fill>
          <patternFill patternType="solid">
            <bgColor indexed="41"/>
          </patternFill>
        </fill>
        <alignment horizontal="center" vertical="top" wrapText="1" readingOrder="0"/>
        <border outline="0">
          <right style="medium">
            <color indexed="64"/>
          </right>
          <bottom style="medium">
            <color indexed="64"/>
          </bottom>
        </border>
      </dxf>
    </rfmt>
    <rfmt sheetId="6" sqref="C1" start="0" length="0">
      <dxf>
        <font>
          <b/>
        </font>
        <numFmt numFmtId="165" formatCode="&quot;$&quot;#,##0"/>
        <fill>
          <patternFill patternType="solid">
            <bgColor indexed="49"/>
          </patternFill>
        </fill>
        <alignment horizontal="center" vertical="top" wrapText="1" readingOrder="0"/>
        <border outline="0">
          <left style="medium">
            <color indexed="64"/>
          </left>
        </border>
      </dxf>
    </rfmt>
    <rfmt sheetId="6" sqref="D1" start="0" length="0">
      <dxf>
        <font>
          <b/>
        </font>
        <numFmt numFmtId="165" formatCode="&quot;$&quot;#,##0"/>
        <fill>
          <patternFill patternType="solid">
            <bgColor indexed="49"/>
          </patternFill>
        </fill>
        <alignment horizontal="center" vertical="top" readingOrder="0"/>
        <border outline="0">
          <left style="medium">
            <color indexed="64"/>
          </left>
        </border>
      </dxf>
    </rfmt>
    <rfmt sheetId="6" sqref="E1" start="0" length="0">
      <dxf>
        <font>
          <b/>
        </font>
        <numFmt numFmtId="13" formatCode="0%"/>
        <fill>
          <patternFill patternType="solid">
            <bgColor indexed="49"/>
          </patternFill>
        </fill>
        <alignment horizontal="center" vertical="top" readingOrder="0"/>
        <border outline="0">
          <left style="medium">
            <color indexed="64"/>
          </left>
        </border>
      </dxf>
    </rfmt>
    <rfmt sheetId="6" sqref="F1" start="0" length="0">
      <dxf>
        <font>
          <b/>
        </font>
        <numFmt numFmtId="165" formatCode="&quot;$&quot;#,##0"/>
        <fill>
          <patternFill patternType="solid">
            <bgColor indexed="41"/>
          </patternFill>
        </fill>
        <alignment horizontal="center" vertical="top" wrapText="1" readingOrder="0"/>
        <border outline="0">
          <left style="medium">
            <color indexed="64"/>
          </left>
          <right style="medium">
            <color indexed="64"/>
          </right>
          <bottom style="medium">
            <color indexed="64"/>
          </bottom>
        </border>
      </dxf>
    </rfmt>
    <rfmt sheetId="6" sqref="G1" start="0" length="0">
      <dxf>
        <font>
          <b/>
        </font>
        <numFmt numFmtId="165" formatCode="&quot;$&quot;#,##0"/>
        <fill>
          <patternFill patternType="solid">
            <bgColor indexed="41"/>
          </patternFill>
        </fill>
        <alignment horizontal="center" vertical="top" readingOrder="0"/>
        <border outline="0">
          <left style="medium">
            <color indexed="64"/>
          </left>
          <right style="medium">
            <color indexed="64"/>
          </right>
          <bottom style="medium">
            <color indexed="64"/>
          </bottom>
        </border>
      </dxf>
    </rfmt>
    <rfmt sheetId="6" s="1" sqref="H1" start="0" length="0">
      <dxf>
        <font>
          <b/>
          <sz val="10"/>
          <color auto="1"/>
          <name val="Arial"/>
          <scheme val="none"/>
        </font>
        <numFmt numFmtId="13" formatCode="0%"/>
        <fill>
          <patternFill patternType="solid">
            <bgColor indexed="41"/>
          </patternFill>
        </fill>
        <alignment horizontal="center" readingOrder="0"/>
        <border outline="0">
          <right style="medium">
            <color indexed="64"/>
          </right>
          <bottom style="medium">
            <color indexed="64"/>
          </bottom>
        </border>
      </dxf>
    </rfmt>
  </rrc>
  <rrc rId="35852" sId="6" ref="A1:XFD1" action="deleteRow">
    <undo index="2" exp="area" ref3D="1" dr="$A$154:$XFD$168" dn="Z_78CA186D_B240_44D5_8A24_D241DE0B0FD9_.wvu.Rows" sId="6"/>
    <undo index="2" exp="area" ref3D="1" dr="$A$154:$XFD$168" dn="Z_F784130D_F647_4ABA_8943_C79CA5B0FDC4_.wvu.Rows" sId="6"/>
    <undo index="2" exp="area" ref3D="1" dr="$A$154:$XFD$168" dn="Z_E44F5FE1_54FC_4AB3_84F9_7D65ACF2DDE7_.wvu.Rows" sId="6"/>
    <undo index="2" exp="area" ref3D="1" dr="$A$154:$XFD$168" dn="Z_AEFEB150_9213_45F5_A178_7AC71E46DB11_.wvu.Rows" sId="6"/>
    <undo index="2" exp="area" ref3D="1" dr="$A$154:$XFD$168" dn="Z_9D4F0482_B164_4671_805A_E0D2D4DD4720_.wvu.Rows" sId="6"/>
    <undo index="2" exp="area" ref3D="1" dr="$A$154:$XFD$168" dn="Z_94DA13B6_7351_40F3_8CF7_A4211EC439DA_.wvu.Rows" sId="6"/>
    <undo index="2" exp="area" ref3D="1" dr="$A$154:$XFD$168" dn="Z_8F508F4D_4777_42BE_9707_8CB9355F7BDB_.wvu.Rows" sId="6"/>
    <undo index="2" exp="area" ref3D="1" dr="$A$154:$XFD$168" dn="Z_567C3053_2D8E_4705_8DC7_18896C5303CA_.wvu.Rows" sId="6"/>
    <undo index="2" exp="area" ref3D="1" dr="$A$154:$XFD$168" dn="Z_455630F5_40FC_47DB_8AD4_712C20B8FB91_.wvu.Rows" sId="6"/>
    <undo index="2" exp="area" ref3D="1" dr="$A$154:$XFD$168" dn="Z_1E5198E1_BA46_4CE0_8628_4F695B0D7A3B_.wvu.Rows" sId="6"/>
    <rfmt sheetId="6" xfDxf="1" sqref="A1:XFD1" start="0" length="0">
      <dxf>
        <font/>
        <fill>
          <patternFill patternType="solid">
            <bgColor theme="0" tint="-0.249977111117893"/>
          </patternFill>
        </fill>
      </dxf>
    </rfmt>
    <rfmt sheetId="6" sqref="A1" start="0" length="0">
      <dxf>
        <font>
          <b/>
        </font>
        <border outline="0">
          <left style="medium">
            <color indexed="64"/>
          </left>
        </border>
      </dxf>
    </rfmt>
    <rfmt sheetId="6" sqref="B1" start="0" length="0">
      <dxf>
        <numFmt numFmtId="167" formatCode="#,##0.0"/>
      </dxf>
    </rfmt>
    <rfmt sheetId="6" sqref="C1" start="0" length="0">
      <dxf>
        <numFmt numFmtId="167" formatCode="#,##0.0"/>
      </dxf>
    </rfmt>
    <rfmt sheetId="6" sqref="D1" start="0" length="0">
      <dxf>
        <numFmt numFmtId="167" formatCode="#,##0.0"/>
      </dxf>
    </rfmt>
    <rfmt sheetId="6" sqref="F1" start="0" length="0">
      <dxf>
        <numFmt numFmtId="167" formatCode="#,##0.0"/>
      </dxf>
    </rfmt>
    <rfmt sheetId="6" s="1" sqref="H1" start="0" length="0">
      <dxf>
        <numFmt numFmtId="13" formatCode="0%"/>
      </dxf>
    </rfmt>
  </rrc>
  <rrc rId="35853" sId="6" ref="A1:XFD1" action="deleteRow">
    <undo index="2" exp="area" ref3D="1" dr="$A$153:$XFD$167" dn="Z_78CA186D_B240_44D5_8A24_D241DE0B0FD9_.wvu.Rows" sId="6"/>
    <undo index="2" exp="area" ref3D="1" dr="$A$153:$XFD$167" dn="Z_F784130D_F647_4ABA_8943_C79CA5B0FDC4_.wvu.Rows" sId="6"/>
    <undo index="2" exp="area" ref3D="1" dr="$A$153:$XFD$167" dn="Z_E44F5FE1_54FC_4AB3_84F9_7D65ACF2DDE7_.wvu.Rows" sId="6"/>
    <undo index="2" exp="area" ref3D="1" dr="$A$153:$XFD$167" dn="Z_AEFEB150_9213_45F5_A178_7AC71E46DB11_.wvu.Rows" sId="6"/>
    <undo index="2" exp="area" ref3D="1" dr="$A$153:$XFD$167" dn="Z_9D4F0482_B164_4671_805A_E0D2D4DD4720_.wvu.Rows" sId="6"/>
    <undo index="2" exp="area" ref3D="1" dr="$A$153:$XFD$167" dn="Z_94DA13B6_7351_40F3_8CF7_A4211EC439DA_.wvu.Rows" sId="6"/>
    <undo index="2" exp="area" ref3D="1" dr="$A$153:$XFD$167" dn="Z_8F508F4D_4777_42BE_9707_8CB9355F7BDB_.wvu.Rows" sId="6"/>
    <undo index="2" exp="area" ref3D="1" dr="$A$153:$XFD$167" dn="Z_567C3053_2D8E_4705_8DC7_18896C5303CA_.wvu.Rows" sId="6"/>
    <undo index="2" exp="area" ref3D="1" dr="$A$153:$XFD$167" dn="Z_455630F5_40FC_47DB_8AD4_712C20B8FB91_.wvu.Rows" sId="6"/>
    <undo index="2" exp="area" ref3D="1" dr="$A$153:$XFD$167" dn="Z_1E5198E1_BA46_4CE0_8628_4F695B0D7A3B_.wvu.Rows" sId="6"/>
    <rfmt sheetId="6" xfDxf="1" sqref="A1:XFD1" start="0" length="0">
      <dxf>
        <font/>
      </dxf>
    </rfmt>
    <rfmt sheetId="6" sqref="A1" start="0" length="0">
      <dxf/>
    </rfmt>
    <rfmt sheetId="6" sqref="B1" start="0" length="0">
      <dxf>
        <numFmt numFmtId="167" formatCode="#,##0.0"/>
      </dxf>
    </rfmt>
    <rfmt sheetId="6" sqref="C1" start="0" length="0">
      <dxf>
        <numFmt numFmtId="167" formatCode="#,##0.0"/>
      </dxf>
    </rfmt>
    <rfmt sheetId="6" sqref="D1" start="0" length="0">
      <dxf>
        <numFmt numFmtId="167" formatCode="#,##0.0"/>
      </dxf>
    </rfmt>
    <rfmt sheetId="6" s="1" sqref="E1" start="0" length="0">
      <dxf>
        <numFmt numFmtId="13" formatCode="0%"/>
      </dxf>
    </rfmt>
    <rfmt sheetId="6" sqref="F1" start="0" length="0">
      <dxf>
        <numFmt numFmtId="167" formatCode="#,##0.0"/>
      </dxf>
    </rfmt>
    <rfmt sheetId="6" sqref="G1" start="0" length="0">
      <dxf>
        <numFmt numFmtId="167" formatCode="#,##0.0"/>
      </dxf>
    </rfmt>
    <rfmt sheetId="6" s="1" sqref="H1" start="0" length="0">
      <dxf>
        <numFmt numFmtId="13" formatCode="0%"/>
      </dxf>
    </rfmt>
  </rrc>
  <rrc rId="35854" sId="6" ref="A1:XFD1" action="deleteRow">
    <undo index="2" exp="area" ref3D="1" dr="$A$152:$XFD$166" dn="Z_78CA186D_B240_44D5_8A24_D241DE0B0FD9_.wvu.Rows" sId="6"/>
    <undo index="2" exp="area" ref3D="1" dr="$A$152:$XFD$166" dn="Z_F784130D_F647_4ABA_8943_C79CA5B0FDC4_.wvu.Rows" sId="6"/>
    <undo index="2" exp="area" ref3D="1" dr="$A$152:$XFD$166" dn="Z_E44F5FE1_54FC_4AB3_84F9_7D65ACF2DDE7_.wvu.Rows" sId="6"/>
    <undo index="2" exp="area" ref3D="1" dr="$A$152:$XFD$166" dn="Z_AEFEB150_9213_45F5_A178_7AC71E46DB11_.wvu.Rows" sId="6"/>
    <undo index="2" exp="area" ref3D="1" dr="$A$152:$XFD$166" dn="Z_9D4F0482_B164_4671_805A_E0D2D4DD4720_.wvu.Rows" sId="6"/>
    <undo index="2" exp="area" ref3D="1" dr="$A$152:$XFD$166" dn="Z_94DA13B6_7351_40F3_8CF7_A4211EC439DA_.wvu.Rows" sId="6"/>
    <undo index="2" exp="area" ref3D="1" dr="$A$152:$XFD$166" dn="Z_8F508F4D_4777_42BE_9707_8CB9355F7BDB_.wvu.Rows" sId="6"/>
    <undo index="2" exp="area" ref3D="1" dr="$A$152:$XFD$166" dn="Z_567C3053_2D8E_4705_8DC7_18896C5303CA_.wvu.Rows" sId="6"/>
    <undo index="2" exp="area" ref3D="1" dr="$A$152:$XFD$166" dn="Z_455630F5_40FC_47DB_8AD4_712C20B8FB91_.wvu.Rows" sId="6"/>
    <undo index="2" exp="area" ref3D="1" dr="$A$152:$XFD$166" dn="Z_1E5198E1_BA46_4CE0_8628_4F695B0D7A3B_.wvu.Rows" sId="6"/>
    <rfmt sheetId="6" xfDxf="1" sqref="A1:XFD1" start="0" length="0">
      <dxf>
        <font/>
      </dxf>
    </rfmt>
    <rfmt sheetId="6" sqref="A1" start="0" length="0">
      <dxf/>
    </rfmt>
    <rfmt sheetId="6" sqref="B1" start="0" length="0">
      <dxf>
        <numFmt numFmtId="167" formatCode="#,##0.0"/>
      </dxf>
    </rfmt>
    <rfmt sheetId="6" sqref="C1" start="0" length="0">
      <dxf>
        <numFmt numFmtId="167" formatCode="#,##0.0"/>
      </dxf>
    </rfmt>
    <rfmt sheetId="6" sqref="D1" start="0" length="0">
      <dxf>
        <numFmt numFmtId="167" formatCode="#,##0.0"/>
      </dxf>
    </rfmt>
    <rfmt sheetId="6" s="1" sqref="E1" start="0" length="0">
      <dxf>
        <numFmt numFmtId="13" formatCode="0%"/>
      </dxf>
    </rfmt>
    <rfmt sheetId="6" sqref="F1" start="0" length="0">
      <dxf>
        <numFmt numFmtId="167" formatCode="#,##0.0"/>
      </dxf>
    </rfmt>
    <rfmt sheetId="6" sqref="G1" start="0" length="0">
      <dxf>
        <numFmt numFmtId="167" formatCode="#,##0.0"/>
      </dxf>
    </rfmt>
    <rfmt sheetId="6" s="1" sqref="H1" start="0" length="0">
      <dxf>
        <numFmt numFmtId="13" formatCode="0%"/>
      </dxf>
    </rfmt>
  </rrc>
  <rrc rId="35855" sId="6" ref="A1:XFD1" action="deleteRow">
    <undo index="2" exp="area" ref3D="1" dr="$A$151:$XFD$165" dn="Z_78CA186D_B240_44D5_8A24_D241DE0B0FD9_.wvu.Rows" sId="6"/>
    <undo index="2" exp="area" ref3D="1" dr="$A$151:$XFD$165" dn="Z_F784130D_F647_4ABA_8943_C79CA5B0FDC4_.wvu.Rows" sId="6"/>
    <undo index="2" exp="area" ref3D="1" dr="$A$151:$XFD$165" dn="Z_E44F5FE1_54FC_4AB3_84F9_7D65ACF2DDE7_.wvu.Rows" sId="6"/>
    <undo index="2" exp="area" ref3D="1" dr="$A$151:$XFD$165" dn="Z_AEFEB150_9213_45F5_A178_7AC71E46DB11_.wvu.Rows" sId="6"/>
    <undo index="2" exp="area" ref3D="1" dr="$A$151:$XFD$165" dn="Z_9D4F0482_B164_4671_805A_E0D2D4DD4720_.wvu.Rows" sId="6"/>
    <undo index="2" exp="area" ref3D="1" dr="$A$151:$XFD$165" dn="Z_94DA13B6_7351_40F3_8CF7_A4211EC439DA_.wvu.Rows" sId="6"/>
    <undo index="2" exp="area" ref3D="1" dr="$A$151:$XFD$165" dn="Z_8F508F4D_4777_42BE_9707_8CB9355F7BDB_.wvu.Rows" sId="6"/>
    <undo index="2" exp="area" ref3D="1" dr="$A$151:$XFD$165" dn="Z_567C3053_2D8E_4705_8DC7_18896C5303CA_.wvu.Rows" sId="6"/>
    <undo index="2" exp="area" ref3D="1" dr="$A$151:$XFD$165" dn="Z_455630F5_40FC_47DB_8AD4_712C20B8FB91_.wvu.Rows" sId="6"/>
    <undo index="2" exp="area" ref3D="1" dr="$A$151:$XFD$165" dn="Z_1E5198E1_BA46_4CE0_8628_4F695B0D7A3B_.wvu.Rows" sId="6"/>
    <rfmt sheetId="6" xfDxf="1" sqref="A1:XFD1" start="0" length="0">
      <dxf>
        <font/>
      </dxf>
    </rfmt>
    <rfmt sheetId="6" sqref="A1" start="0" length="0">
      <dxf/>
    </rfmt>
    <rfmt sheetId="6" sqref="B1" start="0" length="0">
      <dxf>
        <numFmt numFmtId="167" formatCode="#,##0.0"/>
      </dxf>
    </rfmt>
    <rfmt sheetId="6" sqref="C1" start="0" length="0">
      <dxf>
        <numFmt numFmtId="167" formatCode="#,##0.0"/>
      </dxf>
    </rfmt>
    <rfmt sheetId="6" sqref="D1" start="0" length="0">
      <dxf>
        <numFmt numFmtId="167" formatCode="#,##0.0"/>
      </dxf>
    </rfmt>
    <rfmt sheetId="6" s="1" sqref="E1" start="0" length="0">
      <dxf>
        <numFmt numFmtId="13" formatCode="0%"/>
      </dxf>
    </rfmt>
    <rfmt sheetId="6" sqref="F1" start="0" length="0">
      <dxf>
        <numFmt numFmtId="167" formatCode="#,##0.0"/>
      </dxf>
    </rfmt>
    <rfmt sheetId="6" sqref="G1" start="0" length="0">
      <dxf>
        <numFmt numFmtId="167" formatCode="#,##0.0"/>
      </dxf>
    </rfmt>
    <rfmt sheetId="6" s="1" sqref="H1" start="0" length="0">
      <dxf>
        <numFmt numFmtId="13" formatCode="0%"/>
      </dxf>
    </rfmt>
  </rrc>
  <rrc rId="35856" sId="6" ref="A1:XFD1" action="deleteRow">
    <undo index="2" exp="area" ref3D="1" dr="$A$150:$XFD$164" dn="Z_78CA186D_B240_44D5_8A24_D241DE0B0FD9_.wvu.Rows" sId="6"/>
    <undo index="2" exp="area" ref3D="1" dr="$A$150:$XFD$164" dn="Z_F784130D_F647_4ABA_8943_C79CA5B0FDC4_.wvu.Rows" sId="6"/>
    <undo index="2" exp="area" ref3D="1" dr="$A$150:$XFD$164" dn="Z_E44F5FE1_54FC_4AB3_84F9_7D65ACF2DDE7_.wvu.Rows" sId="6"/>
    <undo index="2" exp="area" ref3D="1" dr="$A$150:$XFD$164" dn="Z_AEFEB150_9213_45F5_A178_7AC71E46DB11_.wvu.Rows" sId="6"/>
    <undo index="2" exp="area" ref3D="1" dr="$A$150:$XFD$164" dn="Z_9D4F0482_B164_4671_805A_E0D2D4DD4720_.wvu.Rows" sId="6"/>
    <undo index="2" exp="area" ref3D="1" dr="$A$150:$XFD$164" dn="Z_94DA13B6_7351_40F3_8CF7_A4211EC439DA_.wvu.Rows" sId="6"/>
    <undo index="2" exp="area" ref3D="1" dr="$A$150:$XFD$164" dn="Z_8F508F4D_4777_42BE_9707_8CB9355F7BDB_.wvu.Rows" sId="6"/>
    <undo index="2" exp="area" ref3D="1" dr="$A$150:$XFD$164" dn="Z_567C3053_2D8E_4705_8DC7_18896C5303CA_.wvu.Rows" sId="6"/>
    <undo index="2" exp="area" ref3D="1" dr="$A$150:$XFD$164" dn="Z_455630F5_40FC_47DB_8AD4_712C20B8FB91_.wvu.Rows" sId="6"/>
    <undo index="2" exp="area" ref3D="1" dr="$A$150:$XFD$164" dn="Z_1E5198E1_BA46_4CE0_8628_4F695B0D7A3B_.wvu.Rows" sId="6"/>
    <rfmt sheetId="6" xfDxf="1" sqref="A1:XFD1" start="0" length="0">
      <dxf>
        <font/>
      </dxf>
    </rfmt>
    <rfmt sheetId="6" sqref="A1" start="0" length="0">
      <dxf/>
    </rfmt>
    <rfmt sheetId="6" sqref="B1" start="0" length="0">
      <dxf>
        <numFmt numFmtId="167" formatCode="#,##0.0"/>
      </dxf>
    </rfmt>
    <rfmt sheetId="6" sqref="C1" start="0" length="0">
      <dxf>
        <numFmt numFmtId="167" formatCode="#,##0.0"/>
      </dxf>
    </rfmt>
    <rfmt sheetId="6" sqref="D1" start="0" length="0">
      <dxf>
        <numFmt numFmtId="167" formatCode="#,##0.0"/>
      </dxf>
    </rfmt>
    <rfmt sheetId="6" s="1" sqref="E1" start="0" length="0">
      <dxf>
        <numFmt numFmtId="13" formatCode="0%"/>
      </dxf>
    </rfmt>
    <rfmt sheetId="6" sqref="F1" start="0" length="0">
      <dxf>
        <numFmt numFmtId="167" formatCode="#,##0.0"/>
      </dxf>
    </rfmt>
    <rfmt sheetId="6" sqref="G1" start="0" length="0">
      <dxf>
        <numFmt numFmtId="167" formatCode="#,##0.0"/>
      </dxf>
    </rfmt>
    <rfmt sheetId="6" s="1" sqref="H1" start="0" length="0">
      <dxf>
        <numFmt numFmtId="13" formatCode="0%"/>
      </dxf>
    </rfmt>
  </rrc>
  <rrc rId="35857" sId="6" ref="A1:XFD1" action="deleteRow">
    <undo index="2" exp="area" ref3D="1" dr="$A$149:$XFD$163" dn="Z_78CA186D_B240_44D5_8A24_D241DE0B0FD9_.wvu.Rows" sId="6"/>
    <undo index="2" exp="area" ref3D="1" dr="$A$149:$XFD$163" dn="Z_F784130D_F647_4ABA_8943_C79CA5B0FDC4_.wvu.Rows" sId="6"/>
    <undo index="2" exp="area" ref3D="1" dr="$A$149:$XFD$163" dn="Z_E44F5FE1_54FC_4AB3_84F9_7D65ACF2DDE7_.wvu.Rows" sId="6"/>
    <undo index="2" exp="area" ref3D="1" dr="$A$149:$XFD$163" dn="Z_AEFEB150_9213_45F5_A178_7AC71E46DB11_.wvu.Rows" sId="6"/>
    <undo index="2" exp="area" ref3D="1" dr="$A$149:$XFD$163" dn="Z_9D4F0482_B164_4671_805A_E0D2D4DD4720_.wvu.Rows" sId="6"/>
    <undo index="2" exp="area" ref3D="1" dr="$A$149:$XFD$163" dn="Z_94DA13B6_7351_40F3_8CF7_A4211EC439DA_.wvu.Rows" sId="6"/>
    <undo index="2" exp="area" ref3D="1" dr="$A$149:$XFD$163" dn="Z_8F508F4D_4777_42BE_9707_8CB9355F7BDB_.wvu.Rows" sId="6"/>
    <undo index="2" exp="area" ref3D="1" dr="$A$149:$XFD$163" dn="Z_567C3053_2D8E_4705_8DC7_18896C5303CA_.wvu.Rows" sId="6"/>
    <undo index="2" exp="area" ref3D="1" dr="$A$149:$XFD$163" dn="Z_455630F5_40FC_47DB_8AD4_712C20B8FB91_.wvu.Rows" sId="6"/>
    <undo index="2" exp="area" ref3D="1" dr="$A$149:$XFD$163" dn="Z_1E5198E1_BA46_4CE0_8628_4F695B0D7A3B_.wvu.Rows" sId="6"/>
    <rfmt sheetId="6" xfDxf="1" sqref="A1:XFD1" start="0" length="0">
      <dxf>
        <font/>
      </dxf>
    </rfmt>
    <rfmt sheetId="6" sqref="A1" start="0" length="0">
      <dxf/>
    </rfmt>
    <rfmt sheetId="6" sqref="B1" start="0" length="0">
      <dxf>
        <numFmt numFmtId="167" formatCode="#,##0.0"/>
      </dxf>
    </rfmt>
    <rfmt sheetId="6" sqref="C1" start="0" length="0">
      <dxf>
        <numFmt numFmtId="167" formatCode="#,##0.0"/>
      </dxf>
    </rfmt>
    <rfmt sheetId="6" sqref="D1" start="0" length="0">
      <dxf>
        <numFmt numFmtId="167" formatCode="#,##0.0"/>
      </dxf>
    </rfmt>
    <rfmt sheetId="6" s="1" sqref="E1" start="0" length="0">
      <dxf>
        <numFmt numFmtId="13" formatCode="0%"/>
      </dxf>
    </rfmt>
    <rfmt sheetId="6" sqref="F1" start="0" length="0">
      <dxf>
        <numFmt numFmtId="167" formatCode="#,##0.0"/>
      </dxf>
    </rfmt>
    <rfmt sheetId="6" sqref="G1" start="0" length="0">
      <dxf>
        <numFmt numFmtId="167" formatCode="#,##0.0"/>
      </dxf>
    </rfmt>
    <rfmt sheetId="6" s="1" sqref="H1" start="0" length="0">
      <dxf>
        <numFmt numFmtId="13" formatCode="0%"/>
      </dxf>
    </rfmt>
  </rrc>
  <rrc rId="35858" sId="6" ref="A1:XFD1" action="deleteRow">
    <undo index="2" exp="area" ref3D="1" dr="$A$148:$XFD$162" dn="Z_78CA186D_B240_44D5_8A24_D241DE0B0FD9_.wvu.Rows" sId="6"/>
    <undo index="2" exp="area" ref3D="1" dr="$A$148:$XFD$162" dn="Z_F784130D_F647_4ABA_8943_C79CA5B0FDC4_.wvu.Rows" sId="6"/>
    <undo index="2" exp="area" ref3D="1" dr="$A$148:$XFD$162" dn="Z_E44F5FE1_54FC_4AB3_84F9_7D65ACF2DDE7_.wvu.Rows" sId="6"/>
    <undo index="2" exp="area" ref3D="1" dr="$A$148:$XFD$162" dn="Z_AEFEB150_9213_45F5_A178_7AC71E46DB11_.wvu.Rows" sId="6"/>
    <undo index="2" exp="area" ref3D="1" dr="$A$148:$XFD$162" dn="Z_9D4F0482_B164_4671_805A_E0D2D4DD4720_.wvu.Rows" sId="6"/>
    <undo index="2" exp="area" ref3D="1" dr="$A$148:$XFD$162" dn="Z_94DA13B6_7351_40F3_8CF7_A4211EC439DA_.wvu.Rows" sId="6"/>
    <undo index="2" exp="area" ref3D="1" dr="$A$148:$XFD$162" dn="Z_8F508F4D_4777_42BE_9707_8CB9355F7BDB_.wvu.Rows" sId="6"/>
    <undo index="2" exp="area" ref3D="1" dr="$A$148:$XFD$162" dn="Z_567C3053_2D8E_4705_8DC7_18896C5303CA_.wvu.Rows" sId="6"/>
    <undo index="2" exp="area" ref3D="1" dr="$A$148:$XFD$162" dn="Z_455630F5_40FC_47DB_8AD4_712C20B8FB91_.wvu.Rows" sId="6"/>
    <undo index="2" exp="area" ref3D="1" dr="$A$148:$XFD$162" dn="Z_1E5198E1_BA46_4CE0_8628_4F695B0D7A3B_.wvu.Rows" sId="6"/>
    <rfmt sheetId="6" xfDxf="1" sqref="A1:XFD1" start="0" length="0">
      <dxf>
        <font/>
      </dxf>
    </rfmt>
    <rfmt sheetId="6" sqref="A1" start="0" length="0">
      <dxf/>
    </rfmt>
    <rfmt sheetId="6" sqref="B1" start="0" length="0">
      <dxf>
        <numFmt numFmtId="167" formatCode="#,##0.0"/>
      </dxf>
    </rfmt>
    <rfmt sheetId="6" sqref="C1" start="0" length="0">
      <dxf>
        <numFmt numFmtId="167" formatCode="#,##0.0"/>
      </dxf>
    </rfmt>
    <rfmt sheetId="6" sqref="D1" start="0" length="0">
      <dxf>
        <numFmt numFmtId="167" formatCode="#,##0.0"/>
      </dxf>
    </rfmt>
    <rfmt sheetId="6" s="1" sqref="E1" start="0" length="0">
      <dxf>
        <numFmt numFmtId="13" formatCode="0%"/>
      </dxf>
    </rfmt>
    <rfmt sheetId="6" sqref="F1" start="0" length="0">
      <dxf>
        <numFmt numFmtId="167" formatCode="#,##0.0"/>
      </dxf>
    </rfmt>
    <rfmt sheetId="6" sqref="G1" start="0" length="0">
      <dxf>
        <numFmt numFmtId="167" formatCode="#,##0.0"/>
      </dxf>
    </rfmt>
    <rfmt sheetId="6" s="1" sqref="H1" start="0" length="0">
      <dxf>
        <numFmt numFmtId="13" formatCode="0%"/>
      </dxf>
    </rfmt>
  </rrc>
  <rrc rId="35859" sId="6" ref="A1:XFD1" action="deleteRow">
    <undo index="2" exp="area" ref3D="1" dr="$A$147:$XFD$161" dn="Z_78CA186D_B240_44D5_8A24_D241DE0B0FD9_.wvu.Rows" sId="6"/>
    <undo index="2" exp="area" ref3D="1" dr="$A$147:$XFD$161" dn="Z_F784130D_F647_4ABA_8943_C79CA5B0FDC4_.wvu.Rows" sId="6"/>
    <undo index="2" exp="area" ref3D="1" dr="$A$147:$XFD$161" dn="Z_E44F5FE1_54FC_4AB3_84F9_7D65ACF2DDE7_.wvu.Rows" sId="6"/>
    <undo index="2" exp="area" ref3D="1" dr="$A$147:$XFD$161" dn="Z_AEFEB150_9213_45F5_A178_7AC71E46DB11_.wvu.Rows" sId="6"/>
    <undo index="2" exp="area" ref3D="1" dr="$A$147:$XFD$161" dn="Z_9D4F0482_B164_4671_805A_E0D2D4DD4720_.wvu.Rows" sId="6"/>
    <undo index="2" exp="area" ref3D="1" dr="$A$147:$XFD$161" dn="Z_94DA13B6_7351_40F3_8CF7_A4211EC439DA_.wvu.Rows" sId="6"/>
    <undo index="2" exp="area" ref3D="1" dr="$A$147:$XFD$161" dn="Z_8F508F4D_4777_42BE_9707_8CB9355F7BDB_.wvu.Rows" sId="6"/>
    <undo index="2" exp="area" ref3D="1" dr="$A$147:$XFD$161" dn="Z_567C3053_2D8E_4705_8DC7_18896C5303CA_.wvu.Rows" sId="6"/>
    <undo index="2" exp="area" ref3D="1" dr="$A$147:$XFD$161" dn="Z_455630F5_40FC_47DB_8AD4_712C20B8FB91_.wvu.Rows" sId="6"/>
    <undo index="2" exp="area" ref3D="1" dr="$A$147:$XFD$161" dn="Z_1E5198E1_BA46_4CE0_8628_4F695B0D7A3B_.wvu.Rows" sId="6"/>
    <rfmt sheetId="6" xfDxf="1" sqref="A1:XFD1" start="0" length="0">
      <dxf>
        <font/>
      </dxf>
    </rfmt>
    <rfmt sheetId="6" sqref="A1" start="0" length="0">
      <dxf/>
    </rfmt>
    <rfmt sheetId="6" sqref="B1" start="0" length="0">
      <dxf>
        <numFmt numFmtId="167" formatCode="#,##0.0"/>
      </dxf>
    </rfmt>
    <rfmt sheetId="6" sqref="C1" start="0" length="0">
      <dxf>
        <numFmt numFmtId="167" formatCode="#,##0.0"/>
      </dxf>
    </rfmt>
    <rfmt sheetId="6" sqref="D1" start="0" length="0">
      <dxf>
        <numFmt numFmtId="167" formatCode="#,##0.0"/>
      </dxf>
    </rfmt>
    <rfmt sheetId="6" s="1" sqref="E1" start="0" length="0">
      <dxf>
        <numFmt numFmtId="13" formatCode="0%"/>
      </dxf>
    </rfmt>
    <rfmt sheetId="6" sqref="F1" start="0" length="0">
      <dxf>
        <numFmt numFmtId="167" formatCode="#,##0.0"/>
      </dxf>
    </rfmt>
    <rfmt sheetId="6" sqref="G1" start="0" length="0">
      <dxf>
        <numFmt numFmtId="167" formatCode="#,##0.0"/>
      </dxf>
    </rfmt>
    <rfmt sheetId="6" s="1" sqref="H1" start="0" length="0">
      <dxf>
        <numFmt numFmtId="13" formatCode="0%"/>
      </dxf>
    </rfmt>
  </rrc>
  <rrc rId="35860" sId="6" ref="A1:XFD1" action="deleteRow">
    <undo index="2" exp="area" ref3D="1" dr="$A$146:$XFD$160" dn="Z_78CA186D_B240_44D5_8A24_D241DE0B0FD9_.wvu.Rows" sId="6"/>
    <undo index="2" exp="area" ref3D="1" dr="$A$146:$XFD$160" dn="Z_F784130D_F647_4ABA_8943_C79CA5B0FDC4_.wvu.Rows" sId="6"/>
    <undo index="2" exp="area" ref3D="1" dr="$A$146:$XFD$160" dn="Z_E44F5FE1_54FC_4AB3_84F9_7D65ACF2DDE7_.wvu.Rows" sId="6"/>
    <undo index="2" exp="area" ref3D="1" dr="$A$146:$XFD$160" dn="Z_AEFEB150_9213_45F5_A178_7AC71E46DB11_.wvu.Rows" sId="6"/>
    <undo index="2" exp="area" ref3D="1" dr="$A$146:$XFD$160" dn="Z_9D4F0482_B164_4671_805A_E0D2D4DD4720_.wvu.Rows" sId="6"/>
    <undo index="2" exp="area" ref3D="1" dr="$A$146:$XFD$160" dn="Z_94DA13B6_7351_40F3_8CF7_A4211EC439DA_.wvu.Rows" sId="6"/>
    <undo index="2" exp="area" ref3D="1" dr="$A$146:$XFD$160" dn="Z_8F508F4D_4777_42BE_9707_8CB9355F7BDB_.wvu.Rows" sId="6"/>
    <undo index="2" exp="area" ref3D="1" dr="$A$146:$XFD$160" dn="Z_567C3053_2D8E_4705_8DC7_18896C5303CA_.wvu.Rows" sId="6"/>
    <undo index="2" exp="area" ref3D="1" dr="$A$146:$XFD$160" dn="Z_455630F5_40FC_47DB_8AD4_712C20B8FB91_.wvu.Rows" sId="6"/>
    <undo index="2" exp="area" ref3D="1" dr="$A$146:$XFD$160" dn="Z_1E5198E1_BA46_4CE0_8628_4F695B0D7A3B_.wvu.Rows" sId="6"/>
    <rfmt sheetId="6" xfDxf="1" sqref="A1:XFD1" start="0" length="0">
      <dxf>
        <font/>
      </dxf>
    </rfmt>
    <rfmt sheetId="6" sqref="A1" start="0" length="0">
      <dxf/>
    </rfmt>
    <rfmt sheetId="6" sqref="B1" start="0" length="0">
      <dxf>
        <numFmt numFmtId="167" formatCode="#,##0.0"/>
      </dxf>
    </rfmt>
    <rfmt sheetId="6" sqref="C1" start="0" length="0">
      <dxf>
        <numFmt numFmtId="167" formatCode="#,##0.0"/>
      </dxf>
    </rfmt>
    <rfmt sheetId="6" sqref="D1" start="0" length="0">
      <dxf>
        <numFmt numFmtId="167" formatCode="#,##0.0"/>
      </dxf>
    </rfmt>
    <rfmt sheetId="6" s="1" sqref="E1" start="0" length="0">
      <dxf>
        <numFmt numFmtId="13" formatCode="0%"/>
      </dxf>
    </rfmt>
    <rfmt sheetId="6" sqref="F1" start="0" length="0">
      <dxf>
        <numFmt numFmtId="167" formatCode="#,##0.0"/>
      </dxf>
    </rfmt>
    <rfmt sheetId="6" sqref="G1" start="0" length="0">
      <dxf>
        <numFmt numFmtId="167" formatCode="#,##0.0"/>
      </dxf>
    </rfmt>
    <rfmt sheetId="6" s="1" sqref="H1" start="0" length="0">
      <dxf>
        <numFmt numFmtId="13" formatCode="0%"/>
      </dxf>
    </rfmt>
  </rrc>
  <rrc rId="35861" sId="6" ref="A1:XFD1" action="deleteRow">
    <undo index="2" exp="area" ref3D="1" dr="$A$145:$XFD$159" dn="Z_78CA186D_B240_44D5_8A24_D241DE0B0FD9_.wvu.Rows" sId="6"/>
    <undo index="2" exp="area" ref3D="1" dr="$A$145:$XFD$159" dn="Z_F784130D_F647_4ABA_8943_C79CA5B0FDC4_.wvu.Rows" sId="6"/>
    <undo index="2" exp="area" ref3D="1" dr="$A$145:$XFD$159" dn="Z_E44F5FE1_54FC_4AB3_84F9_7D65ACF2DDE7_.wvu.Rows" sId="6"/>
    <undo index="2" exp="area" ref3D="1" dr="$A$145:$XFD$159" dn="Z_AEFEB150_9213_45F5_A178_7AC71E46DB11_.wvu.Rows" sId="6"/>
    <undo index="2" exp="area" ref3D="1" dr="$A$145:$XFD$159" dn="Z_9D4F0482_B164_4671_805A_E0D2D4DD4720_.wvu.Rows" sId="6"/>
    <undo index="2" exp="area" ref3D="1" dr="$A$145:$XFD$159" dn="Z_94DA13B6_7351_40F3_8CF7_A4211EC439DA_.wvu.Rows" sId="6"/>
    <undo index="2" exp="area" ref3D="1" dr="$A$145:$XFD$159" dn="Z_8F508F4D_4777_42BE_9707_8CB9355F7BDB_.wvu.Rows" sId="6"/>
    <undo index="2" exp="area" ref3D="1" dr="$A$145:$XFD$159" dn="Z_567C3053_2D8E_4705_8DC7_18896C5303CA_.wvu.Rows" sId="6"/>
    <undo index="2" exp="area" ref3D="1" dr="$A$145:$XFD$159" dn="Z_455630F5_40FC_47DB_8AD4_712C20B8FB91_.wvu.Rows" sId="6"/>
    <undo index="2" exp="area" ref3D="1" dr="$A$145:$XFD$159" dn="Z_1E5198E1_BA46_4CE0_8628_4F695B0D7A3B_.wvu.Rows" sId="6"/>
    <rfmt sheetId="6" xfDxf="1" sqref="A1:XFD1" start="0" length="0">
      <dxf>
        <font/>
      </dxf>
    </rfmt>
    <rfmt sheetId="6" sqref="A1" start="0" length="0">
      <dxf/>
    </rfmt>
    <rfmt sheetId="6" sqref="B1" start="0" length="0">
      <dxf>
        <numFmt numFmtId="167" formatCode="#,##0.0"/>
      </dxf>
    </rfmt>
    <rfmt sheetId="6" sqref="C1" start="0" length="0">
      <dxf>
        <numFmt numFmtId="167" formatCode="#,##0.0"/>
      </dxf>
    </rfmt>
    <rfmt sheetId="6" sqref="D1" start="0" length="0">
      <dxf>
        <numFmt numFmtId="167" formatCode="#,##0.0"/>
      </dxf>
    </rfmt>
    <rfmt sheetId="6" s="1" sqref="E1" start="0" length="0">
      <dxf>
        <numFmt numFmtId="13" formatCode="0%"/>
      </dxf>
    </rfmt>
    <rfmt sheetId="6" sqref="F1" start="0" length="0">
      <dxf>
        <numFmt numFmtId="167" formatCode="#,##0.0"/>
      </dxf>
    </rfmt>
    <rfmt sheetId="6" sqref="G1" start="0" length="0">
      <dxf>
        <numFmt numFmtId="167" formatCode="#,##0.0"/>
      </dxf>
    </rfmt>
    <rfmt sheetId="6" s="1" sqref="H1" start="0" length="0">
      <dxf>
        <numFmt numFmtId="13" formatCode="0%"/>
      </dxf>
    </rfmt>
  </rrc>
  <rrc rId="35862" sId="6" ref="A1:XFD1" action="deleteRow">
    <undo index="2" exp="area" ref3D="1" dr="$A$144:$XFD$158" dn="Z_78CA186D_B240_44D5_8A24_D241DE0B0FD9_.wvu.Rows" sId="6"/>
    <undo index="2" exp="area" ref3D="1" dr="$A$144:$XFD$158" dn="Z_F784130D_F647_4ABA_8943_C79CA5B0FDC4_.wvu.Rows" sId="6"/>
    <undo index="2" exp="area" ref3D="1" dr="$A$144:$XFD$158" dn="Z_E44F5FE1_54FC_4AB3_84F9_7D65ACF2DDE7_.wvu.Rows" sId="6"/>
    <undo index="2" exp="area" ref3D="1" dr="$A$144:$XFD$158" dn="Z_AEFEB150_9213_45F5_A178_7AC71E46DB11_.wvu.Rows" sId="6"/>
    <undo index="2" exp="area" ref3D="1" dr="$A$144:$XFD$158" dn="Z_9D4F0482_B164_4671_805A_E0D2D4DD4720_.wvu.Rows" sId="6"/>
    <undo index="2" exp="area" ref3D="1" dr="$A$144:$XFD$158" dn="Z_94DA13B6_7351_40F3_8CF7_A4211EC439DA_.wvu.Rows" sId="6"/>
    <undo index="2" exp="area" ref3D="1" dr="$A$144:$XFD$158" dn="Z_8F508F4D_4777_42BE_9707_8CB9355F7BDB_.wvu.Rows" sId="6"/>
    <undo index="2" exp="area" ref3D="1" dr="$A$144:$XFD$158" dn="Z_567C3053_2D8E_4705_8DC7_18896C5303CA_.wvu.Rows" sId="6"/>
    <undo index="2" exp="area" ref3D="1" dr="$A$144:$XFD$158" dn="Z_455630F5_40FC_47DB_8AD4_712C20B8FB91_.wvu.Rows" sId="6"/>
    <undo index="2" exp="area" ref3D="1" dr="$A$144:$XFD$158" dn="Z_1E5198E1_BA46_4CE0_8628_4F695B0D7A3B_.wvu.Rows" sId="6"/>
    <rfmt sheetId="6" xfDxf="1" sqref="A1:XFD1" start="0" length="0">
      <dxf>
        <font/>
      </dxf>
    </rfmt>
    <rfmt sheetId="6" sqref="A1" start="0" length="0">
      <dxf/>
    </rfmt>
    <rfmt sheetId="6" sqref="B1" start="0" length="0">
      <dxf>
        <numFmt numFmtId="167" formatCode="#,##0.0"/>
      </dxf>
    </rfmt>
    <rfmt sheetId="6" sqref="C1" start="0" length="0">
      <dxf>
        <numFmt numFmtId="167" formatCode="#,##0.0"/>
      </dxf>
    </rfmt>
    <rfmt sheetId="6" sqref="D1" start="0" length="0">
      <dxf>
        <numFmt numFmtId="167" formatCode="#,##0.0"/>
      </dxf>
    </rfmt>
    <rfmt sheetId="6" s="1" sqref="E1" start="0" length="0">
      <dxf>
        <numFmt numFmtId="13" formatCode="0%"/>
      </dxf>
    </rfmt>
    <rfmt sheetId="6" sqref="F1" start="0" length="0">
      <dxf>
        <numFmt numFmtId="167" formatCode="#,##0.0"/>
      </dxf>
    </rfmt>
    <rfmt sheetId="6" sqref="G1" start="0" length="0">
      <dxf>
        <numFmt numFmtId="167" formatCode="#,##0.0"/>
      </dxf>
    </rfmt>
    <rfmt sheetId="6" s="1" sqref="H1" start="0" length="0">
      <dxf>
        <numFmt numFmtId="13" formatCode="0%"/>
      </dxf>
    </rfmt>
  </rrc>
  <rrc rId="35863" sId="6" ref="A1:XFD1" action="deleteRow">
    <undo index="2" exp="area" ref3D="1" dr="$A$143:$XFD$157" dn="Z_78CA186D_B240_44D5_8A24_D241DE0B0FD9_.wvu.Rows" sId="6"/>
    <undo index="2" exp="area" ref3D="1" dr="$A$143:$XFD$157" dn="Z_F784130D_F647_4ABA_8943_C79CA5B0FDC4_.wvu.Rows" sId="6"/>
    <undo index="2" exp="area" ref3D="1" dr="$A$143:$XFD$157" dn="Z_E44F5FE1_54FC_4AB3_84F9_7D65ACF2DDE7_.wvu.Rows" sId="6"/>
    <undo index="2" exp="area" ref3D="1" dr="$A$143:$XFD$157" dn="Z_AEFEB150_9213_45F5_A178_7AC71E46DB11_.wvu.Rows" sId="6"/>
    <undo index="2" exp="area" ref3D="1" dr="$A$143:$XFD$157" dn="Z_9D4F0482_B164_4671_805A_E0D2D4DD4720_.wvu.Rows" sId="6"/>
    <undo index="2" exp="area" ref3D="1" dr="$A$143:$XFD$157" dn="Z_94DA13B6_7351_40F3_8CF7_A4211EC439DA_.wvu.Rows" sId="6"/>
    <undo index="2" exp="area" ref3D="1" dr="$A$143:$XFD$157" dn="Z_8F508F4D_4777_42BE_9707_8CB9355F7BDB_.wvu.Rows" sId="6"/>
    <undo index="2" exp="area" ref3D="1" dr="$A$143:$XFD$157" dn="Z_567C3053_2D8E_4705_8DC7_18896C5303CA_.wvu.Rows" sId="6"/>
    <undo index="2" exp="area" ref3D="1" dr="$A$143:$XFD$157" dn="Z_455630F5_40FC_47DB_8AD4_712C20B8FB91_.wvu.Rows" sId="6"/>
    <undo index="2" exp="area" ref3D="1" dr="$A$143:$XFD$157" dn="Z_1E5198E1_BA46_4CE0_8628_4F695B0D7A3B_.wvu.Rows" sId="6"/>
    <rfmt sheetId="6" xfDxf="1" sqref="A1:XFD1" start="0" length="0">
      <dxf>
        <font/>
      </dxf>
    </rfmt>
    <rfmt sheetId="6" sqref="A1" start="0" length="0">
      <dxf>
        <alignment horizontal="left" vertical="top" readingOrder="0"/>
      </dxf>
    </rfmt>
    <rfmt sheetId="6" sqref="B1" start="0" length="0">
      <dxf>
        <numFmt numFmtId="167" formatCode="#,##0.0"/>
      </dxf>
    </rfmt>
    <rfmt sheetId="6" sqref="C1" start="0" length="0">
      <dxf>
        <numFmt numFmtId="167" formatCode="#,##0.0"/>
      </dxf>
    </rfmt>
    <rfmt sheetId="6" sqref="D1" start="0" length="0">
      <dxf>
        <numFmt numFmtId="167" formatCode="#,##0.0"/>
      </dxf>
    </rfmt>
    <rfmt sheetId="6" s="1" sqref="E1" start="0" length="0">
      <dxf>
        <numFmt numFmtId="13" formatCode="0%"/>
      </dxf>
    </rfmt>
    <rfmt sheetId="6" sqref="F1" start="0" length="0">
      <dxf>
        <numFmt numFmtId="167" formatCode="#,##0.0"/>
      </dxf>
    </rfmt>
    <rfmt sheetId="6" sqref="G1" start="0" length="0">
      <dxf>
        <numFmt numFmtId="167" formatCode="#,##0.0"/>
      </dxf>
    </rfmt>
    <rfmt sheetId="6" s="1" sqref="H1" start="0" length="0">
      <dxf>
        <numFmt numFmtId="13" formatCode="0%"/>
      </dxf>
    </rfmt>
  </rrc>
  <rrc rId="35864" sId="6" ref="A1:XFD1" action="deleteRow">
    <undo index="2" exp="area" ref3D="1" dr="$A$142:$XFD$156" dn="Z_78CA186D_B240_44D5_8A24_D241DE0B0FD9_.wvu.Rows" sId="6"/>
    <undo index="2" exp="area" ref3D="1" dr="$A$142:$XFD$156" dn="Z_F784130D_F647_4ABA_8943_C79CA5B0FDC4_.wvu.Rows" sId="6"/>
    <undo index="2" exp="area" ref3D="1" dr="$A$142:$XFD$156" dn="Z_E44F5FE1_54FC_4AB3_84F9_7D65ACF2DDE7_.wvu.Rows" sId="6"/>
    <undo index="2" exp="area" ref3D="1" dr="$A$142:$XFD$156" dn="Z_AEFEB150_9213_45F5_A178_7AC71E46DB11_.wvu.Rows" sId="6"/>
    <undo index="2" exp="area" ref3D="1" dr="$A$142:$XFD$156" dn="Z_9D4F0482_B164_4671_805A_E0D2D4DD4720_.wvu.Rows" sId="6"/>
    <undo index="2" exp="area" ref3D="1" dr="$A$142:$XFD$156" dn="Z_94DA13B6_7351_40F3_8CF7_A4211EC439DA_.wvu.Rows" sId="6"/>
    <undo index="2" exp="area" ref3D="1" dr="$A$142:$XFD$156" dn="Z_8F508F4D_4777_42BE_9707_8CB9355F7BDB_.wvu.Rows" sId="6"/>
    <undo index="2" exp="area" ref3D="1" dr="$A$142:$XFD$156" dn="Z_567C3053_2D8E_4705_8DC7_18896C5303CA_.wvu.Rows" sId="6"/>
    <undo index="2" exp="area" ref3D="1" dr="$A$142:$XFD$156" dn="Z_455630F5_40FC_47DB_8AD4_712C20B8FB91_.wvu.Rows" sId="6"/>
    <undo index="2" exp="area" ref3D="1" dr="$A$142:$XFD$156" dn="Z_1E5198E1_BA46_4CE0_8628_4F695B0D7A3B_.wvu.Rows" sId="6"/>
    <rfmt sheetId="6" xfDxf="1" sqref="A1:XFD1" start="0" length="0">
      <dxf>
        <font/>
      </dxf>
    </rfmt>
    <rfmt sheetId="6" sqref="A1" start="0" length="0">
      <dxf/>
    </rfmt>
    <rfmt sheetId="6" sqref="B1" start="0" length="0">
      <dxf>
        <numFmt numFmtId="167" formatCode="#,##0.0"/>
      </dxf>
    </rfmt>
    <rfmt sheetId="6" sqref="C1" start="0" length="0">
      <dxf>
        <numFmt numFmtId="167" formatCode="#,##0.0"/>
      </dxf>
    </rfmt>
    <rfmt sheetId="6" sqref="D1" start="0" length="0">
      <dxf>
        <numFmt numFmtId="167" formatCode="#,##0.0"/>
      </dxf>
    </rfmt>
    <rfmt sheetId="6" s="1" sqref="E1" start="0" length="0">
      <dxf>
        <numFmt numFmtId="13" formatCode="0%"/>
      </dxf>
    </rfmt>
    <rfmt sheetId="6" sqref="F1" start="0" length="0">
      <dxf>
        <numFmt numFmtId="167" formatCode="#,##0.0"/>
      </dxf>
    </rfmt>
    <rfmt sheetId="6" sqref="G1" start="0" length="0">
      <dxf>
        <numFmt numFmtId="167" formatCode="#,##0.0"/>
      </dxf>
    </rfmt>
    <rfmt sheetId="6" s="1" sqref="H1" start="0" length="0">
      <dxf>
        <numFmt numFmtId="13" formatCode="0%"/>
      </dxf>
    </rfmt>
  </rrc>
  <rrc rId="35865" sId="6" ref="A1:XFD1" action="deleteRow">
    <undo index="2" exp="area" ref3D="1" dr="$A$141:$XFD$155" dn="Z_78CA186D_B240_44D5_8A24_D241DE0B0FD9_.wvu.Rows" sId="6"/>
    <undo index="2" exp="area" ref3D="1" dr="$A$141:$XFD$155" dn="Z_F784130D_F647_4ABA_8943_C79CA5B0FDC4_.wvu.Rows" sId="6"/>
    <undo index="2" exp="area" ref3D="1" dr="$A$141:$XFD$155" dn="Z_E44F5FE1_54FC_4AB3_84F9_7D65ACF2DDE7_.wvu.Rows" sId="6"/>
    <undo index="2" exp="area" ref3D="1" dr="$A$141:$XFD$155" dn="Z_AEFEB150_9213_45F5_A178_7AC71E46DB11_.wvu.Rows" sId="6"/>
    <undo index="2" exp="area" ref3D="1" dr="$A$141:$XFD$155" dn="Z_9D4F0482_B164_4671_805A_E0D2D4DD4720_.wvu.Rows" sId="6"/>
    <undo index="2" exp="area" ref3D="1" dr="$A$141:$XFD$155" dn="Z_94DA13B6_7351_40F3_8CF7_A4211EC439DA_.wvu.Rows" sId="6"/>
    <undo index="2" exp="area" ref3D="1" dr="$A$141:$XFD$155" dn="Z_8F508F4D_4777_42BE_9707_8CB9355F7BDB_.wvu.Rows" sId="6"/>
    <undo index="2" exp="area" ref3D="1" dr="$A$141:$XFD$155" dn="Z_567C3053_2D8E_4705_8DC7_18896C5303CA_.wvu.Rows" sId="6"/>
    <undo index="2" exp="area" ref3D="1" dr="$A$141:$XFD$155" dn="Z_455630F5_40FC_47DB_8AD4_712C20B8FB91_.wvu.Rows" sId="6"/>
    <undo index="2" exp="area" ref3D="1" dr="$A$141:$XFD$155" dn="Z_1E5198E1_BA46_4CE0_8628_4F695B0D7A3B_.wvu.Rows" sId="6"/>
    <rfmt sheetId="6" xfDxf="1" sqref="A1:XFD1" start="0" length="0">
      <dxf>
        <font/>
      </dxf>
    </rfmt>
    <rfmt sheetId="6" sqref="A1" start="0" length="0">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numFmt numFmtId="164" formatCode="0.0%"/>
        <alignment horizontal="right" vertical="top" readingOrder="0"/>
      </dxf>
    </rfmt>
    <rfmt sheetId="6" sqref="F1" start="0" length="0">
      <dxf>
        <numFmt numFmtId="167" formatCode="#,##0.0"/>
      </dxf>
    </rfmt>
    <rfmt sheetId="6" sqref="G1" start="0" length="0">
      <dxf>
        <numFmt numFmtId="167" formatCode="#,##0.0"/>
      </dxf>
    </rfmt>
    <rfmt sheetId="6" s="1" sqref="H1" start="0" length="0">
      <dxf>
        <numFmt numFmtId="13" formatCode="0%"/>
      </dxf>
    </rfmt>
  </rrc>
  <rrc rId="35866" sId="6" ref="A1:XFD1" action="deleteRow">
    <undo index="2" exp="area" ref3D="1" dr="$A$140:$XFD$154" dn="Z_78CA186D_B240_44D5_8A24_D241DE0B0FD9_.wvu.Rows" sId="6"/>
    <undo index="2" exp="area" ref3D="1" dr="$A$140:$XFD$154" dn="Z_F784130D_F647_4ABA_8943_C79CA5B0FDC4_.wvu.Rows" sId="6"/>
    <undo index="2" exp="area" ref3D="1" dr="$A$140:$XFD$154" dn="Z_E44F5FE1_54FC_4AB3_84F9_7D65ACF2DDE7_.wvu.Rows" sId="6"/>
    <undo index="2" exp="area" ref3D="1" dr="$A$140:$XFD$154" dn="Z_AEFEB150_9213_45F5_A178_7AC71E46DB11_.wvu.Rows" sId="6"/>
    <undo index="2" exp="area" ref3D="1" dr="$A$140:$XFD$154" dn="Z_9D4F0482_B164_4671_805A_E0D2D4DD4720_.wvu.Rows" sId="6"/>
    <undo index="2" exp="area" ref3D="1" dr="$A$140:$XFD$154" dn="Z_94DA13B6_7351_40F3_8CF7_A4211EC439DA_.wvu.Rows" sId="6"/>
    <undo index="2" exp="area" ref3D="1" dr="$A$140:$XFD$154" dn="Z_8F508F4D_4777_42BE_9707_8CB9355F7BDB_.wvu.Rows" sId="6"/>
    <undo index="2" exp="area" ref3D="1" dr="$A$140:$XFD$154" dn="Z_567C3053_2D8E_4705_8DC7_18896C5303CA_.wvu.Rows" sId="6"/>
    <undo index="2" exp="area" ref3D="1" dr="$A$140:$XFD$154" dn="Z_455630F5_40FC_47DB_8AD4_712C20B8FB91_.wvu.Rows" sId="6"/>
    <undo index="2" exp="area" ref3D="1" dr="$A$140:$XFD$154" dn="Z_1E5198E1_BA46_4CE0_8628_4F695B0D7A3B_.wvu.Rows" sId="6"/>
    <rfmt sheetId="6" xfDxf="1" sqref="A1:XFD1" start="0" length="0">
      <dxf>
        <font/>
      </dxf>
    </rfmt>
    <rfmt sheetId="6" sqref="A1" start="0" length="0">
      <dxf>
        <alignment horizontal="left" vertical="top" readingOrder="0"/>
      </dxf>
    </rfmt>
    <rfmt sheetId="6" sqref="B1" start="0" length="0">
      <dxf>
        <numFmt numFmtId="167" formatCode="#,##0.0"/>
      </dxf>
    </rfmt>
    <rfmt sheetId="6" sqref="C1" start="0" length="0">
      <dxf>
        <numFmt numFmtId="167" formatCode="#,##0.0"/>
      </dxf>
    </rfmt>
    <rfmt sheetId="6" sqref="D1" start="0" length="0">
      <dxf>
        <numFmt numFmtId="167" formatCode="#,##0.0"/>
      </dxf>
    </rfmt>
    <rfmt sheetId="6" s="1" sqref="E1" start="0" length="0">
      <dxf>
        <numFmt numFmtId="13" formatCode="0%"/>
      </dxf>
    </rfmt>
    <rfmt sheetId="6" sqref="F1" start="0" length="0">
      <dxf>
        <numFmt numFmtId="167" formatCode="#,##0.0"/>
      </dxf>
    </rfmt>
    <rfmt sheetId="6" sqref="G1" start="0" length="0">
      <dxf>
        <numFmt numFmtId="167" formatCode="#,##0.0"/>
      </dxf>
    </rfmt>
    <rfmt sheetId="6" s="1" sqref="H1" start="0" length="0">
      <dxf>
        <numFmt numFmtId="13" formatCode="0%"/>
      </dxf>
    </rfmt>
  </rrc>
  <rrc rId="35867" sId="6" ref="A1:XFD1" action="deleteRow">
    <undo index="2" exp="area" ref3D="1" dr="$A$139:$XFD$153" dn="Z_78CA186D_B240_44D5_8A24_D241DE0B0FD9_.wvu.Rows" sId="6"/>
    <undo index="2" exp="area" ref3D="1" dr="$A$139:$XFD$153" dn="Z_F784130D_F647_4ABA_8943_C79CA5B0FDC4_.wvu.Rows" sId="6"/>
    <undo index="2" exp="area" ref3D="1" dr="$A$139:$XFD$153" dn="Z_E44F5FE1_54FC_4AB3_84F9_7D65ACF2DDE7_.wvu.Rows" sId="6"/>
    <undo index="2" exp="area" ref3D="1" dr="$A$139:$XFD$153" dn="Z_AEFEB150_9213_45F5_A178_7AC71E46DB11_.wvu.Rows" sId="6"/>
    <undo index="2" exp="area" ref3D="1" dr="$A$139:$XFD$153" dn="Z_9D4F0482_B164_4671_805A_E0D2D4DD4720_.wvu.Rows" sId="6"/>
    <undo index="2" exp="area" ref3D="1" dr="$A$139:$XFD$153" dn="Z_94DA13B6_7351_40F3_8CF7_A4211EC439DA_.wvu.Rows" sId="6"/>
    <undo index="2" exp="area" ref3D="1" dr="$A$139:$XFD$153" dn="Z_8F508F4D_4777_42BE_9707_8CB9355F7BDB_.wvu.Rows" sId="6"/>
    <undo index="2" exp="area" ref3D="1" dr="$A$139:$XFD$153" dn="Z_567C3053_2D8E_4705_8DC7_18896C5303CA_.wvu.Rows" sId="6"/>
    <undo index="2" exp="area" ref3D="1" dr="$A$139:$XFD$153" dn="Z_455630F5_40FC_47DB_8AD4_712C20B8FB91_.wvu.Rows" sId="6"/>
    <undo index="2" exp="area" ref3D="1" dr="$A$139:$XFD$153" dn="Z_1E5198E1_BA46_4CE0_8628_4F695B0D7A3B_.wvu.Rows" sId="6"/>
    <rfmt sheetId="6" xfDxf="1" sqref="A1:XFD1" start="0" length="0">
      <dxf>
        <font/>
      </dxf>
    </rfmt>
    <rfmt sheetId="6" sqref="A1" start="0" length="0">
      <dxf>
        <alignment horizontal="left" vertical="top" readingOrder="0"/>
      </dxf>
    </rfmt>
    <rfmt sheetId="6" sqref="B1" start="0" length="0">
      <dxf>
        <numFmt numFmtId="167" formatCode="#,##0.0"/>
      </dxf>
    </rfmt>
    <rfmt sheetId="6" sqref="C1" start="0" length="0">
      <dxf>
        <numFmt numFmtId="167" formatCode="#,##0.0"/>
      </dxf>
    </rfmt>
    <rfmt sheetId="6" sqref="D1" start="0" length="0">
      <dxf>
        <numFmt numFmtId="167" formatCode="#,##0.0"/>
      </dxf>
    </rfmt>
    <rfmt sheetId="6" s="1" sqref="E1" start="0" length="0">
      <dxf>
        <numFmt numFmtId="13" formatCode="0%"/>
      </dxf>
    </rfmt>
    <rfmt sheetId="6" sqref="F1" start="0" length="0">
      <dxf>
        <numFmt numFmtId="167" formatCode="#,##0.0"/>
      </dxf>
    </rfmt>
    <rfmt sheetId="6" sqref="G1" start="0" length="0">
      <dxf>
        <numFmt numFmtId="167" formatCode="#,##0.0"/>
      </dxf>
    </rfmt>
    <rfmt sheetId="6" s="1" sqref="H1" start="0" length="0">
      <dxf>
        <numFmt numFmtId="13" formatCode="0%"/>
      </dxf>
    </rfmt>
  </rrc>
  <rrc rId="35868" sId="6" ref="A1:XFD1" action="deleteRow">
    <undo index="2" exp="area" ref3D="1" dr="$A$138:$XFD$152" dn="Z_78CA186D_B240_44D5_8A24_D241DE0B0FD9_.wvu.Rows" sId="6"/>
    <undo index="2" exp="area" ref3D="1" dr="$A$138:$XFD$152" dn="Z_F784130D_F647_4ABA_8943_C79CA5B0FDC4_.wvu.Rows" sId="6"/>
    <undo index="2" exp="area" ref3D="1" dr="$A$138:$XFD$152" dn="Z_E44F5FE1_54FC_4AB3_84F9_7D65ACF2DDE7_.wvu.Rows" sId="6"/>
    <undo index="2" exp="area" ref3D="1" dr="$A$138:$XFD$152" dn="Z_AEFEB150_9213_45F5_A178_7AC71E46DB11_.wvu.Rows" sId="6"/>
    <undo index="2" exp="area" ref3D="1" dr="$A$138:$XFD$152" dn="Z_9D4F0482_B164_4671_805A_E0D2D4DD4720_.wvu.Rows" sId="6"/>
    <undo index="2" exp="area" ref3D="1" dr="$A$138:$XFD$152" dn="Z_94DA13B6_7351_40F3_8CF7_A4211EC439DA_.wvu.Rows" sId="6"/>
    <undo index="2" exp="area" ref3D="1" dr="$A$138:$XFD$152" dn="Z_8F508F4D_4777_42BE_9707_8CB9355F7BDB_.wvu.Rows" sId="6"/>
    <undo index="2" exp="area" ref3D="1" dr="$A$138:$XFD$152" dn="Z_567C3053_2D8E_4705_8DC7_18896C5303CA_.wvu.Rows" sId="6"/>
    <undo index="2" exp="area" ref3D="1" dr="$A$138:$XFD$152" dn="Z_455630F5_40FC_47DB_8AD4_712C20B8FB91_.wvu.Rows" sId="6"/>
    <undo index="2" exp="area" ref3D="1" dr="$A$138:$XFD$152" dn="Z_1E5198E1_BA46_4CE0_8628_4F695B0D7A3B_.wvu.Rows" sId="6"/>
    <rfmt sheetId="6" xfDxf="1" sqref="A1:XFD1" start="0" length="0">
      <dxf>
        <font/>
      </dxf>
    </rfmt>
    <rfmt sheetId="6" sqref="A1" start="0" length="0">
      <dxf>
        <alignment horizontal="left" vertical="top" readingOrder="0"/>
      </dxf>
    </rfmt>
    <rfmt sheetId="6" sqref="B1" start="0" length="0">
      <dxf>
        <numFmt numFmtId="167" formatCode="#,##0.0"/>
      </dxf>
    </rfmt>
    <rfmt sheetId="6" sqref="C1" start="0" length="0">
      <dxf>
        <numFmt numFmtId="167" formatCode="#,##0.0"/>
      </dxf>
    </rfmt>
    <rfmt sheetId="6" sqref="D1" start="0" length="0">
      <dxf>
        <numFmt numFmtId="167" formatCode="#,##0.0"/>
      </dxf>
    </rfmt>
    <rfmt sheetId="6" s="1" sqref="E1" start="0" length="0">
      <dxf>
        <numFmt numFmtId="13" formatCode="0%"/>
      </dxf>
    </rfmt>
    <rfmt sheetId="6" sqref="F1" start="0" length="0">
      <dxf>
        <numFmt numFmtId="167" formatCode="#,##0.0"/>
      </dxf>
    </rfmt>
    <rfmt sheetId="6" sqref="G1" start="0" length="0">
      <dxf>
        <numFmt numFmtId="167" formatCode="#,##0.0"/>
      </dxf>
    </rfmt>
    <rfmt sheetId="6" s="1" sqref="H1" start="0" length="0">
      <dxf>
        <numFmt numFmtId="13" formatCode="0%"/>
      </dxf>
    </rfmt>
  </rrc>
  <rrc rId="35869" sId="6" ref="A1:XFD1" action="deleteRow">
    <undo index="2" exp="area" ref3D="1" dr="$A$137:$XFD$151" dn="Z_78CA186D_B240_44D5_8A24_D241DE0B0FD9_.wvu.Rows" sId="6"/>
    <undo index="2" exp="area" ref3D="1" dr="$A$137:$XFD$151" dn="Z_F784130D_F647_4ABA_8943_C79CA5B0FDC4_.wvu.Rows" sId="6"/>
    <undo index="2" exp="area" ref3D="1" dr="$A$137:$XFD$151" dn="Z_E44F5FE1_54FC_4AB3_84F9_7D65ACF2DDE7_.wvu.Rows" sId="6"/>
    <undo index="2" exp="area" ref3D="1" dr="$A$137:$XFD$151" dn="Z_AEFEB150_9213_45F5_A178_7AC71E46DB11_.wvu.Rows" sId="6"/>
    <undo index="2" exp="area" ref3D="1" dr="$A$137:$XFD$151" dn="Z_9D4F0482_B164_4671_805A_E0D2D4DD4720_.wvu.Rows" sId="6"/>
    <undo index="2" exp="area" ref3D="1" dr="$A$137:$XFD$151" dn="Z_94DA13B6_7351_40F3_8CF7_A4211EC439DA_.wvu.Rows" sId="6"/>
    <undo index="2" exp="area" ref3D="1" dr="$A$137:$XFD$151" dn="Z_8F508F4D_4777_42BE_9707_8CB9355F7BDB_.wvu.Rows" sId="6"/>
    <undo index="2" exp="area" ref3D="1" dr="$A$137:$XFD$151" dn="Z_567C3053_2D8E_4705_8DC7_18896C5303CA_.wvu.Rows" sId="6"/>
    <undo index="2" exp="area" ref3D="1" dr="$A$137:$XFD$151" dn="Z_455630F5_40FC_47DB_8AD4_712C20B8FB91_.wvu.Rows" sId="6"/>
    <undo index="2" exp="area" ref3D="1" dr="$A$137:$XFD$151" dn="Z_1E5198E1_BA46_4CE0_8628_4F695B0D7A3B_.wvu.Rows" sId="6"/>
    <rfmt sheetId="6" xfDxf="1" sqref="A1:XFD1" start="0" length="0">
      <dxf>
        <font/>
      </dxf>
    </rfmt>
    <rfmt sheetId="6" sqref="A1" start="0" length="0">
      <dxf/>
    </rfmt>
    <rfmt sheetId="6" sqref="B1" start="0" length="0">
      <dxf>
        <numFmt numFmtId="167" formatCode="#,##0.0"/>
      </dxf>
    </rfmt>
    <rfmt sheetId="6" sqref="C1" start="0" length="0">
      <dxf>
        <numFmt numFmtId="167" formatCode="#,##0.0"/>
      </dxf>
    </rfmt>
    <rfmt sheetId="6" sqref="D1" start="0" length="0">
      <dxf>
        <numFmt numFmtId="167" formatCode="#,##0.0"/>
      </dxf>
    </rfmt>
    <rfmt sheetId="6" s="1" sqref="E1" start="0" length="0">
      <dxf>
        <numFmt numFmtId="13" formatCode="0%"/>
      </dxf>
    </rfmt>
    <rfmt sheetId="6" sqref="F1" start="0" length="0">
      <dxf>
        <numFmt numFmtId="167" formatCode="#,##0.0"/>
      </dxf>
    </rfmt>
    <rfmt sheetId="6" sqref="G1" start="0" length="0">
      <dxf>
        <numFmt numFmtId="167" formatCode="#,##0.0"/>
      </dxf>
    </rfmt>
    <rfmt sheetId="6" s="1" sqref="H1" start="0" length="0">
      <dxf>
        <numFmt numFmtId="13" formatCode="0%"/>
      </dxf>
    </rfmt>
  </rrc>
  <rrc rId="35870" sId="6" ref="A1:XFD1" action="deleteRow">
    <undo index="2" exp="area" ref3D="1" dr="$A$136:$XFD$150" dn="Z_78CA186D_B240_44D5_8A24_D241DE0B0FD9_.wvu.Rows" sId="6"/>
    <undo index="2" exp="area" ref3D="1" dr="$A$136:$XFD$150" dn="Z_F784130D_F647_4ABA_8943_C79CA5B0FDC4_.wvu.Rows" sId="6"/>
    <undo index="2" exp="area" ref3D="1" dr="$A$136:$XFD$150" dn="Z_E44F5FE1_54FC_4AB3_84F9_7D65ACF2DDE7_.wvu.Rows" sId="6"/>
    <undo index="2" exp="area" ref3D="1" dr="$A$136:$XFD$150" dn="Z_AEFEB150_9213_45F5_A178_7AC71E46DB11_.wvu.Rows" sId="6"/>
    <undo index="2" exp="area" ref3D="1" dr="$A$136:$XFD$150" dn="Z_9D4F0482_B164_4671_805A_E0D2D4DD4720_.wvu.Rows" sId="6"/>
    <undo index="2" exp="area" ref3D="1" dr="$A$136:$XFD$150" dn="Z_94DA13B6_7351_40F3_8CF7_A4211EC439DA_.wvu.Rows" sId="6"/>
    <undo index="2" exp="area" ref3D="1" dr="$A$136:$XFD$150" dn="Z_8F508F4D_4777_42BE_9707_8CB9355F7BDB_.wvu.Rows" sId="6"/>
    <undo index="2" exp="area" ref3D="1" dr="$A$136:$XFD$150" dn="Z_567C3053_2D8E_4705_8DC7_18896C5303CA_.wvu.Rows" sId="6"/>
    <undo index="2" exp="area" ref3D="1" dr="$A$136:$XFD$150" dn="Z_455630F5_40FC_47DB_8AD4_712C20B8FB91_.wvu.Rows" sId="6"/>
    <undo index="2" exp="area" ref3D="1" dr="$A$136:$XFD$150" dn="Z_1E5198E1_BA46_4CE0_8628_4F695B0D7A3B_.wvu.Rows" sId="6"/>
    <rfmt sheetId="6" xfDxf="1" sqref="A1:XFD1" start="0" length="0">
      <dxf>
        <font/>
      </dxf>
    </rfmt>
    <rfmt sheetId="6" sqref="A1" start="0" length="0">
      <dxf/>
    </rfmt>
    <rfmt sheetId="6" sqref="B1" start="0" length="0">
      <dxf>
        <numFmt numFmtId="167" formatCode="#,##0.0"/>
      </dxf>
    </rfmt>
    <rfmt sheetId="6" sqref="C1" start="0" length="0">
      <dxf>
        <numFmt numFmtId="167" formatCode="#,##0.0"/>
      </dxf>
    </rfmt>
    <rfmt sheetId="6" sqref="D1" start="0" length="0">
      <dxf>
        <numFmt numFmtId="167" formatCode="#,##0.0"/>
      </dxf>
    </rfmt>
    <rfmt sheetId="6" s="1" sqref="E1" start="0" length="0">
      <dxf>
        <numFmt numFmtId="13" formatCode="0%"/>
      </dxf>
    </rfmt>
    <rfmt sheetId="6" sqref="F1" start="0" length="0">
      <dxf>
        <numFmt numFmtId="167" formatCode="#,##0.0"/>
      </dxf>
    </rfmt>
    <rfmt sheetId="6" sqref="G1" start="0" length="0">
      <dxf>
        <numFmt numFmtId="167" formatCode="#,##0.0"/>
      </dxf>
    </rfmt>
    <rfmt sheetId="6" s="1" sqref="H1" start="0" length="0">
      <dxf>
        <numFmt numFmtId="13" formatCode="0%"/>
      </dxf>
    </rfmt>
  </rrc>
  <rrc rId="35871" sId="6" ref="A1:XFD1" action="deleteRow">
    <undo index="2" exp="area" ref3D="1" dr="$A$135:$XFD$149" dn="Z_78CA186D_B240_44D5_8A24_D241DE0B0FD9_.wvu.Rows" sId="6"/>
    <undo index="2" exp="area" ref3D="1" dr="$A$135:$XFD$149" dn="Z_F784130D_F647_4ABA_8943_C79CA5B0FDC4_.wvu.Rows" sId="6"/>
    <undo index="2" exp="area" ref3D="1" dr="$A$135:$XFD$149" dn="Z_E44F5FE1_54FC_4AB3_84F9_7D65ACF2DDE7_.wvu.Rows" sId="6"/>
    <undo index="2" exp="area" ref3D="1" dr="$A$135:$XFD$149" dn="Z_AEFEB150_9213_45F5_A178_7AC71E46DB11_.wvu.Rows" sId="6"/>
    <undo index="2" exp="area" ref3D="1" dr="$A$135:$XFD$149" dn="Z_9D4F0482_B164_4671_805A_E0D2D4DD4720_.wvu.Rows" sId="6"/>
    <undo index="2" exp="area" ref3D="1" dr="$A$135:$XFD$149" dn="Z_94DA13B6_7351_40F3_8CF7_A4211EC439DA_.wvu.Rows" sId="6"/>
    <undo index="2" exp="area" ref3D="1" dr="$A$135:$XFD$149" dn="Z_8F508F4D_4777_42BE_9707_8CB9355F7BDB_.wvu.Rows" sId="6"/>
    <undo index="2" exp="area" ref3D="1" dr="$A$135:$XFD$149" dn="Z_567C3053_2D8E_4705_8DC7_18896C5303CA_.wvu.Rows" sId="6"/>
    <undo index="2" exp="area" ref3D="1" dr="$A$135:$XFD$149" dn="Z_455630F5_40FC_47DB_8AD4_712C20B8FB91_.wvu.Rows" sId="6"/>
    <undo index="2" exp="area" ref3D="1" dr="$A$135:$XFD$149" dn="Z_1E5198E1_BA46_4CE0_8628_4F695B0D7A3B_.wvu.Rows" sId="6"/>
    <rfmt sheetId="6" xfDxf="1" sqref="A1:XFD1" start="0" length="0">
      <dxf>
        <font/>
      </dxf>
    </rfmt>
    <rfmt sheetId="6" sqref="A1" start="0" length="0">
      <dxf/>
    </rfmt>
    <rfmt sheetId="6" sqref="B1" start="0" length="0">
      <dxf>
        <numFmt numFmtId="167" formatCode="#,##0.0"/>
      </dxf>
    </rfmt>
    <rfmt sheetId="6" sqref="C1" start="0" length="0">
      <dxf>
        <numFmt numFmtId="167" formatCode="#,##0.0"/>
      </dxf>
    </rfmt>
    <rfmt sheetId="6" sqref="D1" start="0" length="0">
      <dxf>
        <numFmt numFmtId="167" formatCode="#,##0.0"/>
      </dxf>
    </rfmt>
    <rfmt sheetId="6" s="1" sqref="E1" start="0" length="0">
      <dxf>
        <numFmt numFmtId="13" formatCode="0%"/>
      </dxf>
    </rfmt>
    <rfmt sheetId="6" sqref="F1" start="0" length="0">
      <dxf>
        <numFmt numFmtId="167" formatCode="#,##0.0"/>
      </dxf>
    </rfmt>
    <rfmt sheetId="6" sqref="G1" start="0" length="0">
      <dxf>
        <numFmt numFmtId="167" formatCode="#,##0.0"/>
      </dxf>
    </rfmt>
    <rfmt sheetId="6" s="1" sqref="H1" start="0" length="0">
      <dxf>
        <numFmt numFmtId="13" formatCode="0%"/>
      </dxf>
    </rfmt>
  </rrc>
  <rrc rId="35872" sId="6" ref="A1:XFD1" action="deleteRow">
    <undo index="2" exp="area" ref3D="1" dr="$A$134:$XFD$148" dn="Z_78CA186D_B240_44D5_8A24_D241DE0B0FD9_.wvu.Rows" sId="6"/>
    <undo index="2" exp="area" ref3D="1" dr="$A$134:$XFD$148" dn="Z_F784130D_F647_4ABA_8943_C79CA5B0FDC4_.wvu.Rows" sId="6"/>
    <undo index="2" exp="area" ref3D="1" dr="$A$134:$XFD$148" dn="Z_E44F5FE1_54FC_4AB3_84F9_7D65ACF2DDE7_.wvu.Rows" sId="6"/>
    <undo index="2" exp="area" ref3D="1" dr="$A$134:$XFD$148" dn="Z_AEFEB150_9213_45F5_A178_7AC71E46DB11_.wvu.Rows" sId="6"/>
    <undo index="2" exp="area" ref3D="1" dr="$A$134:$XFD$148" dn="Z_9D4F0482_B164_4671_805A_E0D2D4DD4720_.wvu.Rows" sId="6"/>
    <undo index="2" exp="area" ref3D="1" dr="$A$134:$XFD$148" dn="Z_94DA13B6_7351_40F3_8CF7_A4211EC439DA_.wvu.Rows" sId="6"/>
    <undo index="2" exp="area" ref3D="1" dr="$A$134:$XFD$148" dn="Z_8F508F4D_4777_42BE_9707_8CB9355F7BDB_.wvu.Rows" sId="6"/>
    <undo index="2" exp="area" ref3D="1" dr="$A$134:$XFD$148" dn="Z_567C3053_2D8E_4705_8DC7_18896C5303CA_.wvu.Rows" sId="6"/>
    <undo index="2" exp="area" ref3D="1" dr="$A$134:$XFD$148" dn="Z_455630F5_40FC_47DB_8AD4_712C20B8FB91_.wvu.Rows" sId="6"/>
    <undo index="2" exp="area" ref3D="1" dr="$A$134:$XFD$148" dn="Z_1E5198E1_BA46_4CE0_8628_4F695B0D7A3B_.wvu.Rows" sId="6"/>
    <rfmt sheetId="6" xfDxf="1" sqref="A1:XFD1" start="0" length="0">
      <dxf>
        <font/>
      </dxf>
    </rfmt>
    <rfmt sheetId="6" sqref="A1" start="0" length="0">
      <dxf/>
    </rfmt>
    <rfmt sheetId="6" sqref="B1" start="0" length="0">
      <dxf>
        <numFmt numFmtId="167" formatCode="#,##0.0"/>
      </dxf>
    </rfmt>
    <rfmt sheetId="6" sqref="C1" start="0" length="0">
      <dxf>
        <numFmt numFmtId="167" formatCode="#,##0.0"/>
      </dxf>
    </rfmt>
    <rfmt sheetId="6" sqref="D1" start="0" length="0">
      <dxf>
        <numFmt numFmtId="167" formatCode="#,##0.0"/>
      </dxf>
    </rfmt>
    <rfmt sheetId="6" s="1" sqref="E1" start="0" length="0">
      <dxf>
        <numFmt numFmtId="13" formatCode="0%"/>
      </dxf>
    </rfmt>
    <rfmt sheetId="6" sqref="F1" start="0" length="0">
      <dxf>
        <numFmt numFmtId="167" formatCode="#,##0.0"/>
      </dxf>
    </rfmt>
    <rfmt sheetId="6" sqref="G1" start="0" length="0">
      <dxf>
        <numFmt numFmtId="167" formatCode="#,##0.0"/>
      </dxf>
    </rfmt>
    <rfmt sheetId="6" s="1" sqref="H1" start="0" length="0">
      <dxf>
        <numFmt numFmtId="13" formatCode="0%"/>
      </dxf>
    </rfmt>
  </rrc>
  <rrc rId="35873" sId="6" ref="A1:XFD1" action="deleteRow">
    <undo index="2" exp="area" ref3D="1" dr="$A$133:$XFD$147" dn="Z_78CA186D_B240_44D5_8A24_D241DE0B0FD9_.wvu.Rows" sId="6"/>
    <undo index="2" exp="area" ref3D="1" dr="$A$133:$XFD$147" dn="Z_F784130D_F647_4ABA_8943_C79CA5B0FDC4_.wvu.Rows" sId="6"/>
    <undo index="2" exp="area" ref3D="1" dr="$A$133:$XFD$147" dn="Z_E44F5FE1_54FC_4AB3_84F9_7D65ACF2DDE7_.wvu.Rows" sId="6"/>
    <undo index="2" exp="area" ref3D="1" dr="$A$133:$XFD$147" dn="Z_AEFEB150_9213_45F5_A178_7AC71E46DB11_.wvu.Rows" sId="6"/>
    <undo index="2" exp="area" ref3D="1" dr="$A$133:$XFD$147" dn="Z_9D4F0482_B164_4671_805A_E0D2D4DD4720_.wvu.Rows" sId="6"/>
    <undo index="2" exp="area" ref3D="1" dr="$A$133:$XFD$147" dn="Z_94DA13B6_7351_40F3_8CF7_A4211EC439DA_.wvu.Rows" sId="6"/>
    <undo index="2" exp="area" ref3D="1" dr="$A$133:$XFD$147" dn="Z_8F508F4D_4777_42BE_9707_8CB9355F7BDB_.wvu.Rows" sId="6"/>
    <undo index="2" exp="area" ref3D="1" dr="$A$133:$XFD$147" dn="Z_567C3053_2D8E_4705_8DC7_18896C5303CA_.wvu.Rows" sId="6"/>
    <undo index="2" exp="area" ref3D="1" dr="$A$133:$XFD$147" dn="Z_455630F5_40FC_47DB_8AD4_712C20B8FB91_.wvu.Rows" sId="6"/>
    <undo index="2" exp="area" ref3D="1" dr="$A$133:$XFD$147" dn="Z_1E5198E1_BA46_4CE0_8628_4F695B0D7A3B_.wvu.Rows" sId="6"/>
    <rfmt sheetId="6" xfDxf="1" sqref="A1:XFD1" start="0" length="0">
      <dxf>
        <font/>
      </dxf>
    </rfmt>
    <rfmt sheetId="6" sqref="A1" start="0" length="0">
      <dxf/>
    </rfmt>
    <rfmt sheetId="6" sqref="B1" start="0" length="0">
      <dxf>
        <numFmt numFmtId="167" formatCode="#,##0.0"/>
      </dxf>
    </rfmt>
    <rfmt sheetId="6" sqref="C1" start="0" length="0">
      <dxf>
        <numFmt numFmtId="167" formatCode="#,##0.0"/>
      </dxf>
    </rfmt>
    <rfmt sheetId="6" sqref="D1" start="0" length="0">
      <dxf>
        <numFmt numFmtId="167" formatCode="#,##0.0"/>
      </dxf>
    </rfmt>
    <rfmt sheetId="6" s="1" sqref="E1" start="0" length="0">
      <dxf>
        <numFmt numFmtId="13" formatCode="0%"/>
      </dxf>
    </rfmt>
    <rfmt sheetId="6" sqref="F1" start="0" length="0">
      <dxf>
        <numFmt numFmtId="167" formatCode="#,##0.0"/>
      </dxf>
    </rfmt>
    <rfmt sheetId="6" sqref="G1" start="0" length="0">
      <dxf>
        <numFmt numFmtId="167" formatCode="#,##0.0"/>
      </dxf>
    </rfmt>
    <rfmt sheetId="6" s="1" sqref="H1" start="0" length="0">
      <dxf>
        <numFmt numFmtId="13" formatCode="0%"/>
      </dxf>
    </rfmt>
  </rrc>
  <rrc rId="35874" sId="6" ref="A1:XFD1" action="deleteRow">
    <undo index="2" exp="area" ref3D="1" dr="$A$132:$XFD$146" dn="Z_78CA186D_B240_44D5_8A24_D241DE0B0FD9_.wvu.Rows" sId="6"/>
    <undo index="2" exp="area" ref3D="1" dr="$A$132:$XFD$146" dn="Z_F784130D_F647_4ABA_8943_C79CA5B0FDC4_.wvu.Rows" sId="6"/>
    <undo index="2" exp="area" ref3D="1" dr="$A$132:$XFD$146" dn="Z_E44F5FE1_54FC_4AB3_84F9_7D65ACF2DDE7_.wvu.Rows" sId="6"/>
    <undo index="2" exp="area" ref3D="1" dr="$A$132:$XFD$146" dn="Z_AEFEB150_9213_45F5_A178_7AC71E46DB11_.wvu.Rows" sId="6"/>
    <undo index="2" exp="area" ref3D="1" dr="$A$132:$XFD$146" dn="Z_9D4F0482_B164_4671_805A_E0D2D4DD4720_.wvu.Rows" sId="6"/>
    <undo index="2" exp="area" ref3D="1" dr="$A$132:$XFD$146" dn="Z_94DA13B6_7351_40F3_8CF7_A4211EC439DA_.wvu.Rows" sId="6"/>
    <undo index="2" exp="area" ref3D="1" dr="$A$132:$XFD$146" dn="Z_8F508F4D_4777_42BE_9707_8CB9355F7BDB_.wvu.Rows" sId="6"/>
    <undo index="2" exp="area" ref3D="1" dr="$A$132:$XFD$146" dn="Z_567C3053_2D8E_4705_8DC7_18896C5303CA_.wvu.Rows" sId="6"/>
    <undo index="2" exp="area" ref3D="1" dr="$A$132:$XFD$146" dn="Z_455630F5_40FC_47DB_8AD4_712C20B8FB91_.wvu.Rows" sId="6"/>
    <undo index="2" exp="area" ref3D="1" dr="$A$132:$XFD$146" dn="Z_1E5198E1_BA46_4CE0_8628_4F695B0D7A3B_.wvu.Rows" sId="6"/>
    <rfmt sheetId="6" xfDxf="1" sqref="A1:XFD1" start="0" length="0">
      <dxf>
        <font/>
      </dxf>
    </rfmt>
    <rfmt sheetId="6" sqref="A1" start="0" length="0">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numFmt numFmtId="164" formatCode="0.0%"/>
        <alignment horizontal="right" vertical="top" readingOrder="0"/>
      </dxf>
    </rfmt>
    <rfmt sheetId="6" sqref="F1" start="0" length="0">
      <dxf>
        <numFmt numFmtId="167" formatCode="#,##0.0"/>
      </dxf>
    </rfmt>
    <rfmt sheetId="6" sqref="G1" start="0" length="0">
      <dxf>
        <numFmt numFmtId="167" formatCode="#,##0.0"/>
      </dxf>
    </rfmt>
    <rfmt sheetId="6" sqref="H1" start="0" length="0">
      <dxf>
        <numFmt numFmtId="164" formatCode="0.0%"/>
        <alignment horizontal="right" vertical="top" readingOrder="0"/>
      </dxf>
    </rfmt>
  </rrc>
  <rrc rId="35875" sId="6" ref="A1:XFD1" action="deleteRow">
    <undo index="2" exp="area" ref3D="1" dr="$A$131:$XFD$145" dn="Z_78CA186D_B240_44D5_8A24_D241DE0B0FD9_.wvu.Rows" sId="6"/>
    <undo index="2" exp="area" ref3D="1" dr="$A$131:$XFD$145" dn="Z_F784130D_F647_4ABA_8943_C79CA5B0FDC4_.wvu.Rows" sId="6"/>
    <undo index="2" exp="area" ref3D="1" dr="$A$131:$XFD$145" dn="Z_E44F5FE1_54FC_4AB3_84F9_7D65ACF2DDE7_.wvu.Rows" sId="6"/>
    <undo index="2" exp="area" ref3D="1" dr="$A$131:$XFD$145" dn="Z_AEFEB150_9213_45F5_A178_7AC71E46DB11_.wvu.Rows" sId="6"/>
    <undo index="2" exp="area" ref3D="1" dr="$A$131:$XFD$145" dn="Z_9D4F0482_B164_4671_805A_E0D2D4DD4720_.wvu.Rows" sId="6"/>
    <undo index="2" exp="area" ref3D="1" dr="$A$131:$XFD$145" dn="Z_94DA13B6_7351_40F3_8CF7_A4211EC439DA_.wvu.Rows" sId="6"/>
    <undo index="2" exp="area" ref3D="1" dr="$A$131:$XFD$145" dn="Z_8F508F4D_4777_42BE_9707_8CB9355F7BDB_.wvu.Rows" sId="6"/>
    <undo index="2" exp="area" ref3D="1" dr="$A$131:$XFD$145" dn="Z_567C3053_2D8E_4705_8DC7_18896C5303CA_.wvu.Rows" sId="6"/>
    <undo index="2" exp="area" ref3D="1" dr="$A$131:$XFD$145" dn="Z_455630F5_40FC_47DB_8AD4_712C20B8FB91_.wvu.Rows" sId="6"/>
    <undo index="2" exp="area" ref3D="1" dr="$A$131:$XFD$145" dn="Z_1E5198E1_BA46_4CE0_8628_4F695B0D7A3B_.wvu.Rows" sId="6"/>
    <rfmt sheetId="6" xfDxf="1" sqref="A1:XFD1" start="0" length="0">
      <dxf>
        <font/>
      </dxf>
    </rfmt>
    <rfmt sheetId="6" sqref="A1" start="0" length="0">
      <dxf/>
    </rfmt>
    <rfmt sheetId="6" sqref="B1" start="0" length="0">
      <dxf>
        <numFmt numFmtId="167" formatCode="#,##0.0"/>
      </dxf>
    </rfmt>
    <rfmt sheetId="6" sqref="C1" start="0" length="0">
      <dxf>
        <numFmt numFmtId="167" formatCode="#,##0.0"/>
      </dxf>
    </rfmt>
    <rfmt sheetId="6" sqref="D1" start="0" length="0">
      <dxf>
        <numFmt numFmtId="167" formatCode="#,##0.0"/>
      </dxf>
    </rfmt>
    <rfmt sheetId="6" s="1" sqref="E1" start="0" length="0">
      <dxf>
        <numFmt numFmtId="13" formatCode="0%"/>
      </dxf>
    </rfmt>
    <rfmt sheetId="6" sqref="F1" start="0" length="0">
      <dxf>
        <numFmt numFmtId="167" formatCode="#,##0.0"/>
      </dxf>
    </rfmt>
    <rfmt sheetId="6" sqref="G1" start="0" length="0">
      <dxf>
        <numFmt numFmtId="167" formatCode="#,##0.0"/>
      </dxf>
    </rfmt>
    <rfmt sheetId="6" s="1" sqref="H1" start="0" length="0">
      <dxf>
        <numFmt numFmtId="13" formatCode="0%"/>
      </dxf>
    </rfmt>
  </rrc>
  <rrc rId="35876" sId="6" ref="A1:XFD1" action="deleteRow">
    <undo index="2" exp="area" ref3D="1" dr="$A$130:$XFD$144" dn="Z_78CA186D_B240_44D5_8A24_D241DE0B0FD9_.wvu.Rows" sId="6"/>
    <undo index="2" exp="area" ref3D="1" dr="$A$130:$XFD$144" dn="Z_F784130D_F647_4ABA_8943_C79CA5B0FDC4_.wvu.Rows" sId="6"/>
    <undo index="2" exp="area" ref3D="1" dr="$A$130:$XFD$144" dn="Z_E44F5FE1_54FC_4AB3_84F9_7D65ACF2DDE7_.wvu.Rows" sId="6"/>
    <undo index="2" exp="area" ref3D="1" dr="$A$130:$XFD$144" dn="Z_AEFEB150_9213_45F5_A178_7AC71E46DB11_.wvu.Rows" sId="6"/>
    <undo index="2" exp="area" ref3D="1" dr="$A$130:$XFD$144" dn="Z_9D4F0482_B164_4671_805A_E0D2D4DD4720_.wvu.Rows" sId="6"/>
    <undo index="2" exp="area" ref3D="1" dr="$A$130:$XFD$144" dn="Z_94DA13B6_7351_40F3_8CF7_A4211EC439DA_.wvu.Rows" sId="6"/>
    <undo index="2" exp="area" ref3D="1" dr="$A$130:$XFD$144" dn="Z_8F508F4D_4777_42BE_9707_8CB9355F7BDB_.wvu.Rows" sId="6"/>
    <undo index="2" exp="area" ref3D="1" dr="$A$130:$XFD$144" dn="Z_567C3053_2D8E_4705_8DC7_18896C5303CA_.wvu.Rows" sId="6"/>
    <undo index="2" exp="area" ref3D="1" dr="$A$130:$XFD$144" dn="Z_455630F5_40FC_47DB_8AD4_712C20B8FB91_.wvu.Rows" sId="6"/>
    <undo index="2" exp="area" ref3D="1" dr="$A$130:$XFD$144" dn="Z_1E5198E1_BA46_4CE0_8628_4F695B0D7A3B_.wvu.Rows" sId="6"/>
    <rfmt sheetId="6" xfDxf="1" sqref="A1:XFD1" start="0" length="0">
      <dxf>
        <font/>
      </dxf>
    </rfmt>
    <rfmt sheetId="6" sqref="A1" start="0" length="0">
      <dxf/>
    </rfmt>
    <rfmt sheetId="6" sqref="B1" start="0" length="0">
      <dxf>
        <numFmt numFmtId="167" formatCode="#,##0.0"/>
      </dxf>
    </rfmt>
    <rfmt sheetId="6" sqref="C1" start="0" length="0">
      <dxf>
        <numFmt numFmtId="167" formatCode="#,##0.0"/>
      </dxf>
    </rfmt>
    <rfmt sheetId="6" sqref="D1" start="0" length="0">
      <dxf>
        <numFmt numFmtId="167" formatCode="#,##0.0"/>
      </dxf>
    </rfmt>
    <rfmt sheetId="6" s="1" sqref="E1" start="0" length="0">
      <dxf>
        <numFmt numFmtId="13" formatCode="0%"/>
      </dxf>
    </rfmt>
    <rfmt sheetId="6" sqref="F1" start="0" length="0">
      <dxf>
        <numFmt numFmtId="167" formatCode="#,##0.0"/>
      </dxf>
    </rfmt>
    <rfmt sheetId="6" sqref="G1" start="0" length="0">
      <dxf>
        <numFmt numFmtId="167" formatCode="#,##0.0"/>
      </dxf>
    </rfmt>
    <rfmt sheetId="6" s="1" sqref="H1" start="0" length="0">
      <dxf>
        <numFmt numFmtId="13" formatCode="0%"/>
      </dxf>
    </rfmt>
  </rrc>
  <rrc rId="35877" sId="6" ref="A1:XFD1" action="deleteRow">
    <undo index="2" exp="area" ref3D="1" dr="$A$129:$XFD$143" dn="Z_78CA186D_B240_44D5_8A24_D241DE0B0FD9_.wvu.Rows" sId="6"/>
    <undo index="2" exp="area" ref3D="1" dr="$A$129:$XFD$143" dn="Z_F784130D_F647_4ABA_8943_C79CA5B0FDC4_.wvu.Rows" sId="6"/>
    <undo index="2" exp="area" ref3D="1" dr="$A$129:$XFD$143" dn="Z_E44F5FE1_54FC_4AB3_84F9_7D65ACF2DDE7_.wvu.Rows" sId="6"/>
    <undo index="2" exp="area" ref3D="1" dr="$A$129:$XFD$143" dn="Z_AEFEB150_9213_45F5_A178_7AC71E46DB11_.wvu.Rows" sId="6"/>
    <undo index="2" exp="area" ref3D="1" dr="$A$129:$XFD$143" dn="Z_9D4F0482_B164_4671_805A_E0D2D4DD4720_.wvu.Rows" sId="6"/>
    <undo index="2" exp="area" ref3D="1" dr="$A$129:$XFD$143" dn="Z_94DA13B6_7351_40F3_8CF7_A4211EC439DA_.wvu.Rows" sId="6"/>
    <undo index="2" exp="area" ref3D="1" dr="$A$129:$XFD$143" dn="Z_8F508F4D_4777_42BE_9707_8CB9355F7BDB_.wvu.Rows" sId="6"/>
    <undo index="2" exp="area" ref3D="1" dr="$A$129:$XFD$143" dn="Z_567C3053_2D8E_4705_8DC7_18896C5303CA_.wvu.Rows" sId="6"/>
    <undo index="2" exp="area" ref3D="1" dr="$A$129:$XFD$143" dn="Z_455630F5_40FC_47DB_8AD4_712C20B8FB91_.wvu.Rows" sId="6"/>
    <undo index="2" exp="area" ref3D="1" dr="$A$129:$XFD$143" dn="Z_1E5198E1_BA46_4CE0_8628_4F695B0D7A3B_.wvu.Rows" sId="6"/>
    <rfmt sheetId="6" xfDxf="1" sqref="A1:XFD1" start="0" length="0">
      <dxf>
        <font/>
      </dxf>
    </rfmt>
    <rfmt sheetId="6" sqref="A1" start="0" length="0">
      <dxf/>
    </rfmt>
    <rfmt sheetId="6" sqref="B1" start="0" length="0">
      <dxf>
        <numFmt numFmtId="167" formatCode="#,##0.0"/>
      </dxf>
    </rfmt>
    <rfmt sheetId="6" sqref="C1" start="0" length="0">
      <dxf>
        <numFmt numFmtId="167" formatCode="#,##0.0"/>
      </dxf>
    </rfmt>
    <rfmt sheetId="6" sqref="D1" start="0" length="0">
      <dxf>
        <numFmt numFmtId="167" formatCode="#,##0.0"/>
      </dxf>
    </rfmt>
    <rfmt sheetId="6" s="1" sqref="E1" start="0" length="0">
      <dxf>
        <numFmt numFmtId="13" formatCode="0%"/>
      </dxf>
    </rfmt>
    <rfmt sheetId="6" sqref="F1" start="0" length="0">
      <dxf>
        <numFmt numFmtId="167" formatCode="#,##0.0"/>
      </dxf>
    </rfmt>
    <rfmt sheetId="6" sqref="G1" start="0" length="0">
      <dxf>
        <numFmt numFmtId="167" formatCode="#,##0.0"/>
      </dxf>
    </rfmt>
    <rfmt sheetId="6" s="1" sqref="H1" start="0" length="0">
      <dxf>
        <numFmt numFmtId="13" formatCode="0%"/>
      </dxf>
    </rfmt>
  </rrc>
  <rrc rId="35878" sId="6" ref="A1:XFD1" action="deleteRow">
    <undo index="2" exp="area" ref3D="1" dr="$A$128:$XFD$142" dn="Z_78CA186D_B240_44D5_8A24_D241DE0B0FD9_.wvu.Rows" sId="6"/>
    <undo index="2" exp="area" ref3D="1" dr="$A$128:$XFD$142" dn="Z_F784130D_F647_4ABA_8943_C79CA5B0FDC4_.wvu.Rows" sId="6"/>
    <undo index="2" exp="area" ref3D="1" dr="$A$128:$XFD$142" dn="Z_E44F5FE1_54FC_4AB3_84F9_7D65ACF2DDE7_.wvu.Rows" sId="6"/>
    <undo index="2" exp="area" ref3D="1" dr="$A$128:$XFD$142" dn="Z_AEFEB150_9213_45F5_A178_7AC71E46DB11_.wvu.Rows" sId="6"/>
    <undo index="2" exp="area" ref3D="1" dr="$A$128:$XFD$142" dn="Z_9D4F0482_B164_4671_805A_E0D2D4DD4720_.wvu.Rows" sId="6"/>
    <undo index="2" exp="area" ref3D="1" dr="$A$128:$XFD$142" dn="Z_94DA13B6_7351_40F3_8CF7_A4211EC439DA_.wvu.Rows" sId="6"/>
    <undo index="2" exp="area" ref3D="1" dr="$A$128:$XFD$142" dn="Z_8F508F4D_4777_42BE_9707_8CB9355F7BDB_.wvu.Rows" sId="6"/>
    <undo index="2" exp="area" ref3D="1" dr="$A$128:$XFD$142" dn="Z_567C3053_2D8E_4705_8DC7_18896C5303CA_.wvu.Rows" sId="6"/>
    <undo index="2" exp="area" ref3D="1" dr="$A$128:$XFD$142" dn="Z_455630F5_40FC_47DB_8AD4_712C20B8FB91_.wvu.Rows" sId="6"/>
    <undo index="2" exp="area" ref3D="1" dr="$A$128:$XFD$142" dn="Z_1E5198E1_BA46_4CE0_8628_4F695B0D7A3B_.wvu.Rows" sId="6"/>
    <rfmt sheetId="6" xfDxf="1" sqref="A1:XFD1" start="0" length="0">
      <dxf>
        <font/>
        <border outline="0">
          <bottom style="medium">
            <color indexed="64"/>
          </bottom>
        </border>
      </dxf>
    </rfmt>
    <rfmt sheetId="6" sqref="A1" start="0" length="0">
      <dxf>
        <alignment horizontal="left" vertical="top" readingOrder="0"/>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numFmt numFmtId="164" formatCode="0.0%"/>
        <alignment horizontal="right" vertical="top" readingOrder="0"/>
      </dxf>
    </rfmt>
    <rfmt sheetId="6" sqref="F1" start="0" length="0">
      <dxf>
        <numFmt numFmtId="167" formatCode="#,##0.0"/>
      </dxf>
    </rfmt>
    <rfmt sheetId="6" sqref="G1" start="0" length="0">
      <dxf>
        <numFmt numFmtId="167" formatCode="#,##0.0"/>
      </dxf>
    </rfmt>
    <rfmt sheetId="6" sqref="H1" start="0" length="0">
      <dxf>
        <numFmt numFmtId="164" formatCode="0.0%"/>
        <alignment horizontal="right" vertical="top" readingOrder="0"/>
      </dxf>
    </rfmt>
  </rrc>
  <rrc rId="35879" sId="6" ref="A1:XFD1" action="deleteRow">
    <undo index="2" exp="area" ref3D="1" dr="$A$127:$XFD$141" dn="Z_78CA186D_B240_44D5_8A24_D241DE0B0FD9_.wvu.Rows" sId="6"/>
    <undo index="2" exp="area" ref3D="1" dr="$A$127:$XFD$141" dn="Z_F784130D_F647_4ABA_8943_C79CA5B0FDC4_.wvu.Rows" sId="6"/>
    <undo index="2" exp="area" ref3D="1" dr="$A$127:$XFD$141" dn="Z_E44F5FE1_54FC_4AB3_84F9_7D65ACF2DDE7_.wvu.Rows" sId="6"/>
    <undo index="2" exp="area" ref3D="1" dr="$A$127:$XFD$141" dn="Z_AEFEB150_9213_45F5_A178_7AC71E46DB11_.wvu.Rows" sId="6"/>
    <undo index="2" exp="area" ref3D="1" dr="$A$127:$XFD$141" dn="Z_9D4F0482_B164_4671_805A_E0D2D4DD4720_.wvu.Rows" sId="6"/>
    <undo index="2" exp="area" ref3D="1" dr="$A$127:$XFD$141" dn="Z_94DA13B6_7351_40F3_8CF7_A4211EC439DA_.wvu.Rows" sId="6"/>
    <undo index="2" exp="area" ref3D="1" dr="$A$127:$XFD$141" dn="Z_8F508F4D_4777_42BE_9707_8CB9355F7BDB_.wvu.Rows" sId="6"/>
    <undo index="2" exp="area" ref3D="1" dr="$A$127:$XFD$141" dn="Z_567C3053_2D8E_4705_8DC7_18896C5303CA_.wvu.Rows" sId="6"/>
    <undo index="2" exp="area" ref3D="1" dr="$A$127:$XFD$141" dn="Z_455630F5_40FC_47DB_8AD4_712C20B8FB91_.wvu.Rows" sId="6"/>
    <undo index="2" exp="area" ref3D="1" dr="$A$127:$XFD$141" dn="Z_1E5198E1_BA46_4CE0_8628_4F695B0D7A3B_.wvu.Rows" sId="6"/>
    <rfmt sheetId="6" xfDxf="1" sqref="A1:XFD1" start="0" length="0">
      <dxf>
        <font>
          <b/>
        </font>
      </dxf>
    </rfmt>
    <rfmt sheetId="6" sqref="A1" start="0" length="0">
      <dxf/>
    </rfmt>
    <rfmt sheetId="6" sqref="B1" start="0" length="0">
      <dxf>
        <numFmt numFmtId="167" formatCode="#,##0.0"/>
      </dxf>
    </rfmt>
    <rfmt sheetId="6" sqref="C1" start="0" length="0">
      <dxf>
        <numFmt numFmtId="167" formatCode="#,##0.0"/>
      </dxf>
    </rfmt>
    <rfmt sheetId="6" sqref="D1" start="0" length="0">
      <dxf>
        <numFmt numFmtId="167" formatCode="#,##0.0"/>
      </dxf>
    </rfmt>
    <rfmt sheetId="6" s="1" sqref="E1" start="0" length="0">
      <dxf>
        <numFmt numFmtId="13" formatCode="0%"/>
      </dxf>
    </rfmt>
    <rfmt sheetId="6" sqref="F1" start="0" length="0">
      <dxf>
        <numFmt numFmtId="167" formatCode="#,##0.0"/>
      </dxf>
    </rfmt>
    <rfmt sheetId="6" sqref="G1" start="0" length="0">
      <dxf>
        <numFmt numFmtId="167" formatCode="#,##0.0"/>
      </dxf>
    </rfmt>
    <rfmt sheetId="6" s="1" sqref="H1" start="0" length="0">
      <dxf>
        <numFmt numFmtId="13" formatCode="0%"/>
      </dxf>
    </rfmt>
  </rrc>
  <rrc rId="35880" sId="6" ref="A1:XFD1" action="deleteRow">
    <undo index="2" exp="area" ref3D="1" dr="$A$126:$XFD$140" dn="Z_78CA186D_B240_44D5_8A24_D241DE0B0FD9_.wvu.Rows" sId="6"/>
    <undo index="2" exp="area" ref3D="1" dr="$A$126:$XFD$140" dn="Z_F784130D_F647_4ABA_8943_C79CA5B0FDC4_.wvu.Rows" sId="6"/>
    <undo index="2" exp="area" ref3D="1" dr="$A$126:$XFD$140" dn="Z_E44F5FE1_54FC_4AB3_84F9_7D65ACF2DDE7_.wvu.Rows" sId="6"/>
    <undo index="2" exp="area" ref3D="1" dr="$A$126:$XFD$140" dn="Z_AEFEB150_9213_45F5_A178_7AC71E46DB11_.wvu.Rows" sId="6"/>
    <undo index="2" exp="area" ref3D="1" dr="$A$126:$XFD$140" dn="Z_9D4F0482_B164_4671_805A_E0D2D4DD4720_.wvu.Rows" sId="6"/>
    <undo index="2" exp="area" ref3D="1" dr="$A$126:$XFD$140" dn="Z_94DA13B6_7351_40F3_8CF7_A4211EC439DA_.wvu.Rows" sId="6"/>
    <undo index="2" exp="area" ref3D="1" dr="$A$126:$XFD$140" dn="Z_8F508F4D_4777_42BE_9707_8CB9355F7BDB_.wvu.Rows" sId="6"/>
    <undo index="2" exp="area" ref3D="1" dr="$A$126:$XFD$140" dn="Z_567C3053_2D8E_4705_8DC7_18896C5303CA_.wvu.Rows" sId="6"/>
    <undo index="2" exp="area" ref3D="1" dr="$A$126:$XFD$140" dn="Z_455630F5_40FC_47DB_8AD4_712C20B8FB91_.wvu.Rows" sId="6"/>
    <undo index="2" exp="area" ref3D="1" dr="$A$126:$XFD$140" dn="Z_1E5198E1_BA46_4CE0_8628_4F695B0D7A3B_.wvu.Rows" sId="6"/>
    <rfmt sheetId="6" xfDxf="1" sqref="A1:XFD1" start="0" length="0">
      <dxf>
        <font>
          <b/>
        </font>
      </dxf>
    </rfmt>
    <rfmt sheetId="6" sqref="A1" start="0" length="0">
      <dxf/>
    </rfmt>
    <rfmt sheetId="6" sqref="B1" start="0" length="0">
      <dxf>
        <numFmt numFmtId="167" formatCode="#,##0.0"/>
      </dxf>
    </rfmt>
    <rfmt sheetId="6" sqref="C1" start="0" length="0">
      <dxf>
        <numFmt numFmtId="167" formatCode="#,##0.0"/>
      </dxf>
    </rfmt>
    <rfmt sheetId="6" sqref="D1" start="0" length="0">
      <dxf>
        <numFmt numFmtId="167" formatCode="#,##0.0"/>
      </dxf>
    </rfmt>
    <rfmt sheetId="6" s="1" sqref="E1" start="0" length="0">
      <dxf>
        <numFmt numFmtId="13" formatCode="0%"/>
      </dxf>
    </rfmt>
    <rfmt sheetId="6" sqref="F1" start="0" length="0">
      <dxf>
        <numFmt numFmtId="167" formatCode="#,##0.0"/>
      </dxf>
    </rfmt>
    <rfmt sheetId="6" s="1" sqref="H1" start="0" length="0">
      <dxf>
        <numFmt numFmtId="13" formatCode="0%"/>
      </dxf>
    </rfmt>
  </rrc>
  <rrc rId="35881" sId="6" ref="A1:XFD1" action="deleteRow">
    <undo index="2" exp="area" ref3D="1" dr="$A$125:$XFD$139" dn="Z_78CA186D_B240_44D5_8A24_D241DE0B0FD9_.wvu.Rows" sId="6"/>
    <undo index="2" exp="area" ref3D="1" dr="$A$125:$XFD$139" dn="Z_F784130D_F647_4ABA_8943_C79CA5B0FDC4_.wvu.Rows" sId="6"/>
    <undo index="2" exp="area" ref3D="1" dr="$A$125:$XFD$139" dn="Z_E44F5FE1_54FC_4AB3_84F9_7D65ACF2DDE7_.wvu.Rows" sId="6"/>
    <undo index="2" exp="area" ref3D="1" dr="$A$125:$XFD$139" dn="Z_AEFEB150_9213_45F5_A178_7AC71E46DB11_.wvu.Rows" sId="6"/>
    <undo index="2" exp="area" ref3D="1" dr="$A$125:$XFD$139" dn="Z_9D4F0482_B164_4671_805A_E0D2D4DD4720_.wvu.Rows" sId="6"/>
    <undo index="2" exp="area" ref3D="1" dr="$A$125:$XFD$139" dn="Z_94DA13B6_7351_40F3_8CF7_A4211EC439DA_.wvu.Rows" sId="6"/>
    <undo index="2" exp="area" ref3D="1" dr="$A$125:$XFD$139" dn="Z_8F508F4D_4777_42BE_9707_8CB9355F7BDB_.wvu.Rows" sId="6"/>
    <undo index="2" exp="area" ref3D="1" dr="$A$125:$XFD$139" dn="Z_567C3053_2D8E_4705_8DC7_18896C5303CA_.wvu.Rows" sId="6"/>
    <undo index="2" exp="area" ref3D="1" dr="$A$125:$XFD$139" dn="Z_455630F5_40FC_47DB_8AD4_712C20B8FB91_.wvu.Rows" sId="6"/>
    <undo index="2" exp="area" ref3D="1" dr="$A$125:$XFD$139" dn="Z_1E5198E1_BA46_4CE0_8628_4F695B0D7A3B_.wvu.Rows" sId="6"/>
    <rfmt sheetId="6" xfDxf="1" sqref="A1:XFD1" start="0" length="0">
      <dxf>
        <font>
          <b/>
        </font>
      </dxf>
    </rfmt>
    <rfmt sheetId="6" sqref="A1" start="0" length="0">
      <dxf>
        <font>
          <b val="0"/>
          <i/>
        </font>
      </dxf>
    </rfmt>
    <rfmt sheetId="6" sqref="B1" start="0" length="0">
      <dxf>
        <numFmt numFmtId="167" formatCode="#,##0.0"/>
      </dxf>
    </rfmt>
    <rfmt sheetId="6" sqref="C1" start="0" length="0">
      <dxf>
        <numFmt numFmtId="167" formatCode="#,##0.0"/>
      </dxf>
    </rfmt>
    <rfmt sheetId="6" sqref="D1" start="0" length="0">
      <dxf>
        <numFmt numFmtId="167" formatCode="#,##0.0"/>
      </dxf>
    </rfmt>
    <rfmt sheetId="6" s="1" sqref="E1" start="0" length="0">
      <dxf>
        <numFmt numFmtId="13" formatCode="0%"/>
      </dxf>
    </rfmt>
    <rfmt sheetId="6" sqref="F1" start="0" length="0">
      <dxf>
        <numFmt numFmtId="167" formatCode="#,##0.0"/>
      </dxf>
    </rfmt>
    <rfmt sheetId="6" s="1" sqref="H1" start="0" length="0">
      <dxf>
        <numFmt numFmtId="13" formatCode="0%"/>
      </dxf>
    </rfmt>
  </rrc>
  <rrc rId="35882" sId="6" ref="A1:XFD1" action="deleteRow">
    <undo index="2" exp="area" ref3D="1" dr="$A$124:$XFD$138" dn="Z_78CA186D_B240_44D5_8A24_D241DE0B0FD9_.wvu.Rows" sId="6"/>
    <undo index="2" exp="area" ref3D="1" dr="$A$124:$XFD$138" dn="Z_F784130D_F647_4ABA_8943_C79CA5B0FDC4_.wvu.Rows" sId="6"/>
    <undo index="2" exp="area" ref3D="1" dr="$A$124:$XFD$138" dn="Z_E44F5FE1_54FC_4AB3_84F9_7D65ACF2DDE7_.wvu.Rows" sId="6"/>
    <undo index="2" exp="area" ref3D="1" dr="$A$124:$XFD$138" dn="Z_AEFEB150_9213_45F5_A178_7AC71E46DB11_.wvu.Rows" sId="6"/>
    <undo index="2" exp="area" ref3D="1" dr="$A$124:$XFD$138" dn="Z_9D4F0482_B164_4671_805A_E0D2D4DD4720_.wvu.Rows" sId="6"/>
    <undo index="2" exp="area" ref3D="1" dr="$A$124:$XFD$138" dn="Z_94DA13B6_7351_40F3_8CF7_A4211EC439DA_.wvu.Rows" sId="6"/>
    <undo index="2" exp="area" ref3D="1" dr="$A$124:$XFD$138" dn="Z_8F508F4D_4777_42BE_9707_8CB9355F7BDB_.wvu.Rows" sId="6"/>
    <undo index="2" exp="area" ref3D="1" dr="$A$124:$XFD$138" dn="Z_567C3053_2D8E_4705_8DC7_18896C5303CA_.wvu.Rows" sId="6"/>
    <undo index="2" exp="area" ref3D="1" dr="$A$124:$XFD$138" dn="Z_455630F5_40FC_47DB_8AD4_712C20B8FB91_.wvu.Rows" sId="6"/>
    <undo index="2" exp="area" ref3D="1" dr="$A$124:$XFD$138" dn="Z_1E5198E1_BA46_4CE0_8628_4F695B0D7A3B_.wvu.Rows" sId="6"/>
    <rfmt sheetId="6" xfDxf="1" sqref="A1:XFD1" start="0" length="0">
      <dxf>
        <font>
          <b/>
        </font>
      </dxf>
    </rfmt>
    <rfmt sheetId="6" sqref="A1" start="0" length="0">
      <dxf>
        <font>
          <b val="0"/>
          <i/>
        </font>
      </dxf>
    </rfmt>
    <rfmt sheetId="6" sqref="B1" start="0" length="0">
      <dxf>
        <numFmt numFmtId="167" formatCode="#,##0.0"/>
      </dxf>
    </rfmt>
    <rfmt sheetId="6" sqref="C1" start="0" length="0">
      <dxf>
        <numFmt numFmtId="167" formatCode="#,##0.0"/>
      </dxf>
    </rfmt>
    <rfmt sheetId="6" sqref="D1" start="0" length="0">
      <dxf>
        <numFmt numFmtId="167" formatCode="#,##0.0"/>
      </dxf>
    </rfmt>
    <rfmt sheetId="6" s="1" sqref="E1" start="0" length="0">
      <dxf>
        <numFmt numFmtId="13" formatCode="0%"/>
      </dxf>
    </rfmt>
    <rfmt sheetId="6" sqref="F1" start="0" length="0">
      <dxf>
        <numFmt numFmtId="167" formatCode="#,##0.0"/>
      </dxf>
    </rfmt>
    <rfmt sheetId="6" s="1" sqref="H1" start="0" length="0">
      <dxf>
        <numFmt numFmtId="13" formatCode="0%"/>
      </dxf>
    </rfmt>
  </rrc>
  <rrc rId="35883" sId="6" ref="A1:XFD1" action="deleteRow">
    <undo index="2" exp="area" ref3D="1" dr="$A$123:$XFD$137" dn="Z_78CA186D_B240_44D5_8A24_D241DE0B0FD9_.wvu.Rows" sId="6"/>
    <undo index="2" exp="area" ref3D="1" dr="$A$123:$XFD$137" dn="Z_F784130D_F647_4ABA_8943_C79CA5B0FDC4_.wvu.Rows" sId="6"/>
    <undo index="2" exp="area" ref3D="1" dr="$A$123:$XFD$137" dn="Z_E44F5FE1_54FC_4AB3_84F9_7D65ACF2DDE7_.wvu.Rows" sId="6"/>
    <undo index="2" exp="area" ref3D="1" dr="$A$123:$XFD$137" dn="Z_AEFEB150_9213_45F5_A178_7AC71E46DB11_.wvu.Rows" sId="6"/>
    <undo index="2" exp="area" ref3D="1" dr="$A$123:$XFD$137" dn="Z_9D4F0482_B164_4671_805A_E0D2D4DD4720_.wvu.Rows" sId="6"/>
    <undo index="2" exp="area" ref3D="1" dr="$A$123:$XFD$137" dn="Z_94DA13B6_7351_40F3_8CF7_A4211EC439DA_.wvu.Rows" sId="6"/>
    <undo index="2" exp="area" ref3D="1" dr="$A$123:$XFD$137" dn="Z_8F508F4D_4777_42BE_9707_8CB9355F7BDB_.wvu.Rows" sId="6"/>
    <undo index="2" exp="area" ref3D="1" dr="$A$123:$XFD$137" dn="Z_567C3053_2D8E_4705_8DC7_18896C5303CA_.wvu.Rows" sId="6"/>
    <undo index="2" exp="area" ref3D="1" dr="$A$123:$XFD$137" dn="Z_455630F5_40FC_47DB_8AD4_712C20B8FB91_.wvu.Rows" sId="6"/>
    <undo index="2" exp="area" ref3D="1" dr="$A$123:$XFD$137" dn="Z_1E5198E1_BA46_4CE0_8628_4F695B0D7A3B_.wvu.Rows" sId="6"/>
    <rfmt sheetId="6" xfDxf="1" sqref="A1:XFD1" start="0" length="0">
      <dxf>
        <font>
          <b/>
        </font>
      </dxf>
    </rfmt>
    <rfmt sheetId="6" sqref="A1" start="0" length="0">
      <dxf>
        <font>
          <b val="0"/>
          <i/>
        </font>
      </dxf>
    </rfmt>
    <rfmt sheetId="6" sqref="B1" start="0" length="0">
      <dxf>
        <numFmt numFmtId="167" formatCode="#,##0.0"/>
      </dxf>
    </rfmt>
    <rfmt sheetId="6" sqref="C1" start="0" length="0">
      <dxf>
        <numFmt numFmtId="167" formatCode="#,##0.0"/>
      </dxf>
    </rfmt>
    <rfmt sheetId="6" sqref="D1" start="0" length="0">
      <dxf>
        <numFmt numFmtId="167" formatCode="#,##0.0"/>
      </dxf>
    </rfmt>
    <rfmt sheetId="6" s="1" sqref="E1" start="0" length="0">
      <dxf>
        <numFmt numFmtId="13" formatCode="0%"/>
      </dxf>
    </rfmt>
    <rfmt sheetId="6" sqref="F1" start="0" length="0">
      <dxf>
        <numFmt numFmtId="167" formatCode="#,##0.0"/>
      </dxf>
    </rfmt>
    <rfmt sheetId="6" s="1" sqref="H1" start="0" length="0">
      <dxf>
        <numFmt numFmtId="13" formatCode="0%"/>
      </dxf>
    </rfmt>
  </rrc>
  <rrc rId="35884" sId="6" ref="A1:XFD1" action="deleteRow">
    <undo index="2" exp="area" ref3D="1" dr="$A$122:$XFD$136" dn="Z_78CA186D_B240_44D5_8A24_D241DE0B0FD9_.wvu.Rows" sId="6"/>
    <undo index="2" exp="area" ref3D="1" dr="$A$122:$XFD$136" dn="Z_F784130D_F647_4ABA_8943_C79CA5B0FDC4_.wvu.Rows" sId="6"/>
    <undo index="2" exp="area" ref3D="1" dr="$A$122:$XFD$136" dn="Z_E44F5FE1_54FC_4AB3_84F9_7D65ACF2DDE7_.wvu.Rows" sId="6"/>
    <undo index="2" exp="area" ref3D="1" dr="$A$122:$XFD$136" dn="Z_AEFEB150_9213_45F5_A178_7AC71E46DB11_.wvu.Rows" sId="6"/>
    <undo index="2" exp="area" ref3D="1" dr="$A$122:$XFD$136" dn="Z_9D4F0482_B164_4671_805A_E0D2D4DD4720_.wvu.Rows" sId="6"/>
    <undo index="2" exp="area" ref3D="1" dr="$A$122:$XFD$136" dn="Z_94DA13B6_7351_40F3_8CF7_A4211EC439DA_.wvu.Rows" sId="6"/>
    <undo index="2" exp="area" ref3D="1" dr="$A$122:$XFD$136" dn="Z_8F508F4D_4777_42BE_9707_8CB9355F7BDB_.wvu.Rows" sId="6"/>
    <undo index="2" exp="area" ref3D="1" dr="$A$122:$XFD$136" dn="Z_567C3053_2D8E_4705_8DC7_18896C5303CA_.wvu.Rows" sId="6"/>
    <undo index="2" exp="area" ref3D="1" dr="$A$122:$XFD$136" dn="Z_455630F5_40FC_47DB_8AD4_712C20B8FB91_.wvu.Rows" sId="6"/>
    <undo index="2" exp="area" ref3D="1" dr="$A$122:$XFD$136" dn="Z_1E5198E1_BA46_4CE0_8628_4F695B0D7A3B_.wvu.Rows" sId="6"/>
    <rfmt sheetId="6" xfDxf="1" sqref="A1:XFD1" start="0" length="0">
      <dxf>
        <font/>
      </dxf>
    </rfmt>
    <rfmt sheetId="6" sqref="A1" start="0" length="0">
      <dxf>
        <font>
          <i/>
        </font>
      </dxf>
    </rfmt>
    <rfmt sheetId="6" sqref="B1" start="0" length="0">
      <dxf>
        <numFmt numFmtId="167" formatCode="#,##0.0"/>
      </dxf>
    </rfmt>
    <rfmt sheetId="6" sqref="C1" start="0" length="0">
      <dxf>
        <numFmt numFmtId="167" formatCode="#,##0.0"/>
      </dxf>
    </rfmt>
    <rfmt sheetId="6" sqref="D1" start="0" length="0">
      <dxf>
        <numFmt numFmtId="167" formatCode="#,##0.0"/>
      </dxf>
    </rfmt>
    <rfmt sheetId="6" s="1" sqref="E1" start="0" length="0">
      <dxf>
        <numFmt numFmtId="13" formatCode="0%"/>
      </dxf>
    </rfmt>
    <rfmt sheetId="6" sqref="F1" start="0" length="0">
      <dxf>
        <numFmt numFmtId="167" formatCode="#,##0.0"/>
      </dxf>
    </rfmt>
    <rfmt sheetId="6" s="1" sqref="H1" start="0" length="0">
      <dxf>
        <numFmt numFmtId="13" formatCode="0%"/>
      </dxf>
    </rfmt>
  </rrc>
  <rrc rId="35885" sId="6" ref="A1:XFD1" action="deleteRow">
    <undo index="2" exp="area" ref3D="1" dr="$A$121:$XFD$135" dn="Z_78CA186D_B240_44D5_8A24_D241DE0B0FD9_.wvu.Rows" sId="6"/>
    <undo index="2" exp="area" ref3D="1" dr="$A$121:$XFD$135" dn="Z_F784130D_F647_4ABA_8943_C79CA5B0FDC4_.wvu.Rows" sId="6"/>
    <undo index="2" exp="area" ref3D="1" dr="$A$121:$XFD$135" dn="Z_E44F5FE1_54FC_4AB3_84F9_7D65ACF2DDE7_.wvu.Rows" sId="6"/>
    <undo index="2" exp="area" ref3D="1" dr="$A$121:$XFD$135" dn="Z_AEFEB150_9213_45F5_A178_7AC71E46DB11_.wvu.Rows" sId="6"/>
    <undo index="2" exp="area" ref3D="1" dr="$A$121:$XFD$135" dn="Z_9D4F0482_B164_4671_805A_E0D2D4DD4720_.wvu.Rows" sId="6"/>
    <undo index="2" exp="area" ref3D="1" dr="$A$121:$XFD$135" dn="Z_94DA13B6_7351_40F3_8CF7_A4211EC439DA_.wvu.Rows" sId="6"/>
    <undo index="2" exp="area" ref3D="1" dr="$A$121:$XFD$135" dn="Z_8F508F4D_4777_42BE_9707_8CB9355F7BDB_.wvu.Rows" sId="6"/>
    <undo index="2" exp="area" ref3D="1" dr="$A$121:$XFD$135" dn="Z_567C3053_2D8E_4705_8DC7_18896C5303CA_.wvu.Rows" sId="6"/>
    <undo index="2" exp="area" ref3D="1" dr="$A$121:$XFD$135" dn="Z_455630F5_40FC_47DB_8AD4_712C20B8FB91_.wvu.Rows" sId="6"/>
    <undo index="2" exp="area" ref3D="1" dr="$A$121:$XFD$135" dn="Z_1E5198E1_BA46_4CE0_8628_4F695B0D7A3B_.wvu.Rows" sId="6"/>
    <rfmt sheetId="6" xfDxf="1" sqref="A1:XFD1" start="0" length="0">
      <dxf>
        <font/>
      </dxf>
    </rfmt>
    <rfmt sheetId="6" sqref="A1" start="0" length="0">
      <dxf>
        <font>
          <i/>
        </font>
      </dxf>
    </rfmt>
    <rfmt sheetId="6" sqref="B1" start="0" length="0">
      <dxf>
        <numFmt numFmtId="167" formatCode="#,##0.0"/>
      </dxf>
    </rfmt>
    <rfmt sheetId="6" sqref="C1" start="0" length="0">
      <dxf>
        <numFmt numFmtId="167" formatCode="#,##0.0"/>
      </dxf>
    </rfmt>
    <rfmt sheetId="6" sqref="D1" start="0" length="0">
      <dxf>
        <numFmt numFmtId="167" formatCode="#,##0.0"/>
      </dxf>
    </rfmt>
    <rfmt sheetId="6" s="1" sqref="E1" start="0" length="0">
      <dxf>
        <numFmt numFmtId="13" formatCode="0%"/>
      </dxf>
    </rfmt>
    <rfmt sheetId="6" sqref="F1" start="0" length="0">
      <dxf>
        <numFmt numFmtId="167" formatCode="#,##0.0"/>
      </dxf>
    </rfmt>
    <rfmt sheetId="6" s="1" sqref="H1" start="0" length="0">
      <dxf>
        <numFmt numFmtId="13" formatCode="0%"/>
      </dxf>
    </rfmt>
  </rrc>
  <rrc rId="35886" sId="6" ref="A1:XFD1" action="deleteRow">
    <undo index="2" exp="area" ref3D="1" dr="$A$120:$XFD$134" dn="Z_78CA186D_B240_44D5_8A24_D241DE0B0FD9_.wvu.Rows" sId="6"/>
    <undo index="2" exp="area" ref3D="1" dr="$A$120:$XFD$134" dn="Z_F784130D_F647_4ABA_8943_C79CA5B0FDC4_.wvu.Rows" sId="6"/>
    <undo index="2" exp="area" ref3D="1" dr="$A$120:$XFD$134" dn="Z_E44F5FE1_54FC_4AB3_84F9_7D65ACF2DDE7_.wvu.Rows" sId="6"/>
    <undo index="2" exp="area" ref3D="1" dr="$A$120:$XFD$134" dn="Z_AEFEB150_9213_45F5_A178_7AC71E46DB11_.wvu.Rows" sId="6"/>
    <undo index="2" exp="area" ref3D="1" dr="$A$120:$XFD$134" dn="Z_9D4F0482_B164_4671_805A_E0D2D4DD4720_.wvu.Rows" sId="6"/>
    <undo index="2" exp="area" ref3D="1" dr="$A$120:$XFD$134" dn="Z_94DA13B6_7351_40F3_8CF7_A4211EC439DA_.wvu.Rows" sId="6"/>
    <undo index="2" exp="area" ref3D="1" dr="$A$120:$XFD$134" dn="Z_8F508F4D_4777_42BE_9707_8CB9355F7BDB_.wvu.Rows" sId="6"/>
    <undo index="2" exp="area" ref3D="1" dr="$A$120:$XFD$134" dn="Z_567C3053_2D8E_4705_8DC7_18896C5303CA_.wvu.Rows" sId="6"/>
    <undo index="2" exp="area" ref3D="1" dr="$A$120:$XFD$134" dn="Z_455630F5_40FC_47DB_8AD4_712C20B8FB91_.wvu.Rows" sId="6"/>
    <undo index="2" exp="area" ref3D="1" dr="$A$120:$XFD$134" dn="Z_1E5198E1_BA46_4CE0_8628_4F695B0D7A3B_.wvu.Rows" sId="6"/>
    <rfmt sheetId="6" xfDxf="1" sqref="A1:XFD1" start="0" length="0">
      <dxf>
        <font/>
        <fill>
          <patternFill patternType="solid">
            <bgColor theme="0" tint="-0.249977111117893"/>
          </patternFill>
        </fill>
      </dxf>
    </rfmt>
    <rfmt sheetId="6" sqref="A1" start="0" length="0">
      <dxf>
        <font>
          <b/>
        </font>
      </dxf>
    </rfmt>
    <rfmt sheetId="6" sqref="B1" start="0" length="0">
      <dxf>
        <numFmt numFmtId="167" formatCode="#,##0.0"/>
      </dxf>
    </rfmt>
    <rfmt sheetId="6" sqref="C1" start="0" length="0">
      <dxf>
        <numFmt numFmtId="167" formatCode="#,##0.0"/>
      </dxf>
    </rfmt>
    <rfmt sheetId="6" sqref="D1" start="0" length="0">
      <dxf>
        <numFmt numFmtId="167" formatCode="#,##0.0"/>
      </dxf>
    </rfmt>
    <rfmt sheetId="6" s="1" sqref="E1" start="0" length="0">
      <dxf>
        <numFmt numFmtId="13" formatCode="0%"/>
      </dxf>
    </rfmt>
    <rfmt sheetId="6" sqref="F1" start="0" length="0">
      <dxf>
        <numFmt numFmtId="167" formatCode="#,##0.0"/>
      </dxf>
    </rfmt>
    <rfmt sheetId="6" s="1" sqref="H1" start="0" length="0">
      <dxf>
        <numFmt numFmtId="13" formatCode="0%"/>
      </dxf>
    </rfmt>
  </rrc>
  <rrc rId="35887" sId="6" ref="A1:XFD1" action="deleteRow">
    <undo index="2" exp="area" ref3D="1" dr="$A$119:$XFD$133" dn="Z_78CA186D_B240_44D5_8A24_D241DE0B0FD9_.wvu.Rows" sId="6"/>
    <undo index="2" exp="area" ref3D="1" dr="$A$119:$XFD$133" dn="Z_F784130D_F647_4ABA_8943_C79CA5B0FDC4_.wvu.Rows" sId="6"/>
    <undo index="2" exp="area" ref3D="1" dr="$A$119:$XFD$133" dn="Z_E44F5FE1_54FC_4AB3_84F9_7D65ACF2DDE7_.wvu.Rows" sId="6"/>
    <undo index="2" exp="area" ref3D="1" dr="$A$119:$XFD$133" dn="Z_AEFEB150_9213_45F5_A178_7AC71E46DB11_.wvu.Rows" sId="6"/>
    <undo index="2" exp="area" ref3D="1" dr="$A$119:$XFD$133" dn="Z_9D4F0482_B164_4671_805A_E0D2D4DD4720_.wvu.Rows" sId="6"/>
    <undo index="2" exp="area" ref3D="1" dr="$A$119:$XFD$133" dn="Z_94DA13B6_7351_40F3_8CF7_A4211EC439DA_.wvu.Rows" sId="6"/>
    <undo index="2" exp="area" ref3D="1" dr="$A$119:$XFD$133" dn="Z_8F508F4D_4777_42BE_9707_8CB9355F7BDB_.wvu.Rows" sId="6"/>
    <undo index="2" exp="area" ref3D="1" dr="$A$119:$XFD$133" dn="Z_567C3053_2D8E_4705_8DC7_18896C5303CA_.wvu.Rows" sId="6"/>
    <undo index="2" exp="area" ref3D="1" dr="$A$119:$XFD$133" dn="Z_455630F5_40FC_47DB_8AD4_712C20B8FB91_.wvu.Rows" sId="6"/>
    <undo index="2" exp="area" ref3D="1" dr="$A$119:$XFD$133" dn="Z_1E5198E1_BA46_4CE0_8628_4F695B0D7A3B_.wvu.Rows" sId="6"/>
    <rfmt sheetId="6" xfDxf="1" sqref="A1:XFD1" start="0" length="0">
      <dxf>
        <font/>
      </dxf>
    </rfmt>
    <rfmt sheetId="6" sqref="A1" start="0" length="0">
      <dxf>
        <border outline="0">
          <left style="medium">
            <color indexed="64"/>
          </left>
        </border>
      </dxf>
    </rfmt>
    <rfmt sheetId="6" sqref="B1" start="0" length="0">
      <dxf>
        <numFmt numFmtId="167" formatCode="#,##0.0"/>
      </dxf>
    </rfmt>
    <rfmt sheetId="6" sqref="C1" start="0" length="0">
      <dxf>
        <numFmt numFmtId="167" formatCode="#,##0.0"/>
      </dxf>
    </rfmt>
    <rfmt sheetId="6" sqref="D1" start="0" length="0">
      <dxf>
        <numFmt numFmtId="167" formatCode="#,##0.0"/>
      </dxf>
    </rfmt>
    <rfmt sheetId="6" s="1" sqref="E1" start="0" length="0">
      <dxf>
        <numFmt numFmtId="13" formatCode="0%"/>
      </dxf>
    </rfmt>
    <rfmt sheetId="6" sqref="F1" start="0" length="0">
      <dxf>
        <numFmt numFmtId="167" formatCode="#,##0.0"/>
      </dxf>
    </rfmt>
    <rfmt sheetId="6" sqref="G1" start="0" length="0">
      <dxf>
        <numFmt numFmtId="167" formatCode="#,##0.0"/>
      </dxf>
    </rfmt>
    <rfmt sheetId="6" s="1" sqref="H1" start="0" length="0">
      <dxf>
        <numFmt numFmtId="13" formatCode="0%"/>
      </dxf>
    </rfmt>
  </rrc>
  <rrc rId="35888" sId="6" ref="A1:XFD1" action="deleteRow">
    <undo index="2" exp="area" ref3D="1" dr="$A$118:$XFD$132" dn="Z_78CA186D_B240_44D5_8A24_D241DE0B0FD9_.wvu.Rows" sId="6"/>
    <undo index="2" exp="area" ref3D="1" dr="$A$118:$XFD$132" dn="Z_F784130D_F647_4ABA_8943_C79CA5B0FDC4_.wvu.Rows" sId="6"/>
    <undo index="2" exp="area" ref3D="1" dr="$A$118:$XFD$132" dn="Z_E44F5FE1_54FC_4AB3_84F9_7D65ACF2DDE7_.wvu.Rows" sId="6"/>
    <undo index="2" exp="area" ref3D="1" dr="$A$118:$XFD$132" dn="Z_AEFEB150_9213_45F5_A178_7AC71E46DB11_.wvu.Rows" sId="6"/>
    <undo index="2" exp="area" ref3D="1" dr="$A$118:$XFD$132" dn="Z_9D4F0482_B164_4671_805A_E0D2D4DD4720_.wvu.Rows" sId="6"/>
    <undo index="2" exp="area" ref3D="1" dr="$A$118:$XFD$132" dn="Z_94DA13B6_7351_40F3_8CF7_A4211EC439DA_.wvu.Rows" sId="6"/>
    <undo index="2" exp="area" ref3D="1" dr="$A$118:$XFD$132" dn="Z_8F508F4D_4777_42BE_9707_8CB9355F7BDB_.wvu.Rows" sId="6"/>
    <undo index="2" exp="area" ref3D="1" dr="$A$118:$XFD$132" dn="Z_567C3053_2D8E_4705_8DC7_18896C5303CA_.wvu.Rows" sId="6"/>
    <undo index="2" exp="area" ref3D="1" dr="$A$118:$XFD$132" dn="Z_455630F5_40FC_47DB_8AD4_712C20B8FB91_.wvu.Rows" sId="6"/>
    <undo index="2" exp="area" ref3D="1" dr="$A$118:$XFD$132" dn="Z_1E5198E1_BA46_4CE0_8628_4F695B0D7A3B_.wvu.Rows" sId="6"/>
    <rfmt sheetId="6" xfDxf="1" sqref="A1:XFD1" start="0" length="0">
      <dxf>
        <font/>
      </dxf>
    </rfmt>
    <rfmt sheetId="6" sqref="A1" start="0" length="0">
      <dxf>
        <border outline="0">
          <left style="medium">
            <color indexed="64"/>
          </left>
        </border>
      </dxf>
    </rfmt>
    <rfmt sheetId="6" sqref="B1" start="0" length="0">
      <dxf>
        <numFmt numFmtId="167" formatCode="#,##0.0"/>
      </dxf>
    </rfmt>
    <rfmt sheetId="6" sqref="C1" start="0" length="0">
      <dxf>
        <numFmt numFmtId="167" formatCode="#,##0.0"/>
      </dxf>
    </rfmt>
    <rfmt sheetId="6" sqref="D1" start="0" length="0">
      <dxf>
        <numFmt numFmtId="167" formatCode="#,##0.0"/>
      </dxf>
    </rfmt>
    <rfmt sheetId="6" s="1" sqref="E1" start="0" length="0">
      <dxf>
        <numFmt numFmtId="13" formatCode="0%"/>
      </dxf>
    </rfmt>
    <rfmt sheetId="6" sqref="F1" start="0" length="0">
      <dxf>
        <numFmt numFmtId="167" formatCode="#,##0.0"/>
      </dxf>
    </rfmt>
    <rfmt sheetId="6" sqref="G1" start="0" length="0">
      <dxf>
        <numFmt numFmtId="167" formatCode="#,##0.0"/>
      </dxf>
    </rfmt>
    <rfmt sheetId="6" s="1" sqref="H1" start="0" length="0">
      <dxf>
        <numFmt numFmtId="13" formatCode="0%"/>
      </dxf>
    </rfmt>
  </rrc>
  <rrc rId="35889" sId="6" ref="A1:XFD1" action="deleteRow">
    <undo index="2" exp="area" ref3D="1" dr="$A$117:$XFD$131" dn="Z_78CA186D_B240_44D5_8A24_D241DE0B0FD9_.wvu.Rows" sId="6"/>
    <undo index="2" exp="area" ref3D="1" dr="$A$117:$XFD$131" dn="Z_F784130D_F647_4ABA_8943_C79CA5B0FDC4_.wvu.Rows" sId="6"/>
    <undo index="2" exp="area" ref3D="1" dr="$A$117:$XFD$131" dn="Z_E44F5FE1_54FC_4AB3_84F9_7D65ACF2DDE7_.wvu.Rows" sId="6"/>
    <undo index="2" exp="area" ref3D="1" dr="$A$117:$XFD$131" dn="Z_AEFEB150_9213_45F5_A178_7AC71E46DB11_.wvu.Rows" sId="6"/>
    <undo index="2" exp="area" ref3D="1" dr="$A$117:$XFD$131" dn="Z_9D4F0482_B164_4671_805A_E0D2D4DD4720_.wvu.Rows" sId="6"/>
    <undo index="2" exp="area" ref3D="1" dr="$A$117:$XFD$131" dn="Z_94DA13B6_7351_40F3_8CF7_A4211EC439DA_.wvu.Rows" sId="6"/>
    <undo index="2" exp="area" ref3D="1" dr="$A$117:$XFD$131" dn="Z_8F508F4D_4777_42BE_9707_8CB9355F7BDB_.wvu.Rows" sId="6"/>
    <undo index="2" exp="area" ref3D="1" dr="$A$117:$XFD$131" dn="Z_567C3053_2D8E_4705_8DC7_18896C5303CA_.wvu.Rows" sId="6"/>
    <undo index="2" exp="area" ref3D="1" dr="$A$117:$XFD$131" dn="Z_455630F5_40FC_47DB_8AD4_712C20B8FB91_.wvu.Rows" sId="6"/>
    <undo index="2" exp="area" ref3D="1" dr="$A$117:$XFD$131" dn="Z_1E5198E1_BA46_4CE0_8628_4F695B0D7A3B_.wvu.Rows" sId="6"/>
    <rfmt sheetId="6" xfDxf="1" sqref="A1:XFD1" start="0" length="0">
      <dxf>
        <font/>
      </dxf>
    </rfmt>
    <rfmt sheetId="6" sqref="A1" start="0" length="0">
      <dxf>
        <border outline="0">
          <left style="medium">
            <color indexed="64"/>
          </left>
        </border>
      </dxf>
    </rfmt>
    <rfmt sheetId="6" sqref="B1" start="0" length="0">
      <dxf>
        <numFmt numFmtId="167" formatCode="#,##0.0"/>
      </dxf>
    </rfmt>
    <rfmt sheetId="6" sqref="C1" start="0" length="0">
      <dxf>
        <numFmt numFmtId="167" formatCode="#,##0.0"/>
      </dxf>
    </rfmt>
    <rfmt sheetId="6" sqref="D1" start="0" length="0">
      <dxf>
        <numFmt numFmtId="167" formatCode="#,##0.0"/>
      </dxf>
    </rfmt>
    <rfmt sheetId="6" s="1" sqref="E1" start="0" length="0">
      <dxf>
        <numFmt numFmtId="13" formatCode="0%"/>
      </dxf>
    </rfmt>
    <rfmt sheetId="6" sqref="F1" start="0" length="0">
      <dxf>
        <numFmt numFmtId="167" formatCode="#,##0.0"/>
      </dxf>
    </rfmt>
    <rfmt sheetId="6" sqref="G1" start="0" length="0">
      <dxf>
        <numFmt numFmtId="167" formatCode="#,##0.0"/>
      </dxf>
    </rfmt>
    <rfmt sheetId="6" s="1" sqref="H1" start="0" length="0">
      <dxf>
        <numFmt numFmtId="13" formatCode="0%"/>
      </dxf>
    </rfmt>
  </rrc>
  <rrc rId="35890" sId="6" ref="A1:XFD1" action="deleteRow">
    <undo index="2" exp="area" ref3D="1" dr="$A$116:$XFD$130" dn="Z_78CA186D_B240_44D5_8A24_D241DE0B0FD9_.wvu.Rows" sId="6"/>
    <undo index="2" exp="area" ref3D="1" dr="$A$116:$XFD$130" dn="Z_F784130D_F647_4ABA_8943_C79CA5B0FDC4_.wvu.Rows" sId="6"/>
    <undo index="2" exp="area" ref3D="1" dr="$A$116:$XFD$130" dn="Z_E44F5FE1_54FC_4AB3_84F9_7D65ACF2DDE7_.wvu.Rows" sId="6"/>
    <undo index="2" exp="area" ref3D="1" dr="$A$116:$XFD$130" dn="Z_AEFEB150_9213_45F5_A178_7AC71E46DB11_.wvu.Rows" sId="6"/>
    <undo index="2" exp="area" ref3D="1" dr="$A$116:$XFD$130" dn="Z_9D4F0482_B164_4671_805A_E0D2D4DD4720_.wvu.Rows" sId="6"/>
    <undo index="2" exp="area" ref3D="1" dr="$A$116:$XFD$130" dn="Z_94DA13B6_7351_40F3_8CF7_A4211EC439DA_.wvu.Rows" sId="6"/>
    <undo index="2" exp="area" ref3D="1" dr="$A$116:$XFD$130" dn="Z_8F508F4D_4777_42BE_9707_8CB9355F7BDB_.wvu.Rows" sId="6"/>
    <undo index="2" exp="area" ref3D="1" dr="$A$116:$XFD$130" dn="Z_567C3053_2D8E_4705_8DC7_18896C5303CA_.wvu.Rows" sId="6"/>
    <undo index="2" exp="area" ref3D="1" dr="$A$116:$XFD$130" dn="Z_455630F5_40FC_47DB_8AD4_712C20B8FB91_.wvu.Rows" sId="6"/>
    <undo index="2" exp="area" ref3D="1" dr="$A$116:$XFD$130" dn="Z_1E5198E1_BA46_4CE0_8628_4F695B0D7A3B_.wvu.Rows" sId="6"/>
    <rfmt sheetId="6" xfDxf="1" sqref="A1:XFD1" start="0" length="0">
      <dxf>
        <font/>
      </dxf>
    </rfmt>
    <rfmt sheetId="6" sqref="A1" start="0" length="0">
      <dxf>
        <border outline="0">
          <left style="medium">
            <color indexed="64"/>
          </left>
        </border>
      </dxf>
    </rfmt>
    <rfmt sheetId="6" sqref="B1" start="0" length="0">
      <dxf>
        <numFmt numFmtId="167" formatCode="#,##0.0"/>
      </dxf>
    </rfmt>
    <rfmt sheetId="6" sqref="C1" start="0" length="0">
      <dxf>
        <numFmt numFmtId="167" formatCode="#,##0.0"/>
      </dxf>
    </rfmt>
    <rfmt sheetId="6" sqref="D1" start="0" length="0">
      <dxf>
        <numFmt numFmtId="167" formatCode="#,##0.0"/>
      </dxf>
    </rfmt>
    <rfmt sheetId="6" s="1" sqref="E1" start="0" length="0">
      <dxf>
        <numFmt numFmtId="13" formatCode="0%"/>
      </dxf>
    </rfmt>
    <rfmt sheetId="6" sqref="F1" start="0" length="0">
      <dxf>
        <numFmt numFmtId="167" formatCode="#,##0.0"/>
      </dxf>
    </rfmt>
    <rfmt sheetId="6" sqref="G1" start="0" length="0">
      <dxf>
        <numFmt numFmtId="167" formatCode="#,##0.0"/>
      </dxf>
    </rfmt>
    <rfmt sheetId="6" s="1" sqref="H1" start="0" length="0">
      <dxf>
        <numFmt numFmtId="13" formatCode="0%"/>
      </dxf>
    </rfmt>
  </rrc>
  <rrc rId="35891" sId="6" ref="A1:XFD1" action="deleteRow">
    <undo index="2" exp="area" ref3D="1" dr="$A$115:$XFD$129" dn="Z_78CA186D_B240_44D5_8A24_D241DE0B0FD9_.wvu.Rows" sId="6"/>
    <undo index="2" exp="area" ref3D="1" dr="$A$115:$XFD$129" dn="Z_F784130D_F647_4ABA_8943_C79CA5B0FDC4_.wvu.Rows" sId="6"/>
    <undo index="2" exp="area" ref3D="1" dr="$A$115:$XFD$129" dn="Z_E44F5FE1_54FC_4AB3_84F9_7D65ACF2DDE7_.wvu.Rows" sId="6"/>
    <undo index="2" exp="area" ref3D="1" dr="$A$115:$XFD$129" dn="Z_AEFEB150_9213_45F5_A178_7AC71E46DB11_.wvu.Rows" sId="6"/>
    <undo index="2" exp="area" ref3D="1" dr="$A$115:$XFD$129" dn="Z_9D4F0482_B164_4671_805A_E0D2D4DD4720_.wvu.Rows" sId="6"/>
    <undo index="2" exp="area" ref3D="1" dr="$A$115:$XFD$129" dn="Z_94DA13B6_7351_40F3_8CF7_A4211EC439DA_.wvu.Rows" sId="6"/>
    <undo index="2" exp="area" ref3D="1" dr="$A$115:$XFD$129" dn="Z_8F508F4D_4777_42BE_9707_8CB9355F7BDB_.wvu.Rows" sId="6"/>
    <undo index="2" exp="area" ref3D="1" dr="$A$115:$XFD$129" dn="Z_567C3053_2D8E_4705_8DC7_18896C5303CA_.wvu.Rows" sId="6"/>
    <undo index="2" exp="area" ref3D="1" dr="$A$115:$XFD$129" dn="Z_455630F5_40FC_47DB_8AD4_712C20B8FB91_.wvu.Rows" sId="6"/>
    <undo index="2" exp="area" ref3D="1" dr="$A$115:$XFD$129" dn="Z_1E5198E1_BA46_4CE0_8628_4F695B0D7A3B_.wvu.Rows" sId="6"/>
    <rfmt sheetId="6" xfDxf="1" sqref="A1:XFD1" start="0" length="0">
      <dxf>
        <font/>
      </dxf>
    </rfmt>
    <rfmt sheetId="6" sqref="A1" start="0" length="0">
      <dxf>
        <border outline="0">
          <left style="medium">
            <color indexed="64"/>
          </left>
        </border>
      </dxf>
    </rfmt>
    <rfmt sheetId="6" sqref="B1" start="0" length="0">
      <dxf>
        <numFmt numFmtId="167" formatCode="#,##0.0"/>
      </dxf>
    </rfmt>
    <rfmt sheetId="6" sqref="C1" start="0" length="0">
      <dxf>
        <numFmt numFmtId="167" formatCode="#,##0.0"/>
      </dxf>
    </rfmt>
    <rfmt sheetId="6" sqref="D1" start="0" length="0">
      <dxf>
        <numFmt numFmtId="167" formatCode="#,##0.0"/>
      </dxf>
    </rfmt>
    <rfmt sheetId="6" s="1" sqref="E1" start="0" length="0">
      <dxf>
        <numFmt numFmtId="13" formatCode="0%"/>
      </dxf>
    </rfmt>
    <rfmt sheetId="6" sqref="F1" start="0" length="0">
      <dxf>
        <numFmt numFmtId="167" formatCode="#,##0.0"/>
      </dxf>
    </rfmt>
    <rfmt sheetId="6" sqref="G1" start="0" length="0">
      <dxf>
        <numFmt numFmtId="167" formatCode="#,##0.0"/>
      </dxf>
    </rfmt>
    <rfmt sheetId="6" s="1" sqref="H1" start="0" length="0">
      <dxf>
        <numFmt numFmtId="13" formatCode="0%"/>
      </dxf>
    </rfmt>
  </rrc>
  <rrc rId="35892" sId="6" ref="A1:XFD1" action="deleteRow">
    <undo index="2" exp="area" ref3D="1" dr="$A$114:$XFD$128" dn="Z_78CA186D_B240_44D5_8A24_D241DE0B0FD9_.wvu.Rows" sId="6"/>
    <undo index="2" exp="area" ref3D="1" dr="$A$114:$XFD$128" dn="Z_F784130D_F647_4ABA_8943_C79CA5B0FDC4_.wvu.Rows" sId="6"/>
    <undo index="2" exp="area" ref3D="1" dr="$A$114:$XFD$128" dn="Z_E44F5FE1_54FC_4AB3_84F9_7D65ACF2DDE7_.wvu.Rows" sId="6"/>
    <undo index="2" exp="area" ref3D="1" dr="$A$114:$XFD$128" dn="Z_AEFEB150_9213_45F5_A178_7AC71E46DB11_.wvu.Rows" sId="6"/>
    <undo index="2" exp="area" ref3D="1" dr="$A$114:$XFD$128" dn="Z_9D4F0482_B164_4671_805A_E0D2D4DD4720_.wvu.Rows" sId="6"/>
    <undo index="2" exp="area" ref3D="1" dr="$A$114:$XFD$128" dn="Z_94DA13B6_7351_40F3_8CF7_A4211EC439DA_.wvu.Rows" sId="6"/>
    <undo index="2" exp="area" ref3D="1" dr="$A$114:$XFD$128" dn="Z_8F508F4D_4777_42BE_9707_8CB9355F7BDB_.wvu.Rows" sId="6"/>
    <undo index="2" exp="area" ref3D="1" dr="$A$114:$XFD$128" dn="Z_567C3053_2D8E_4705_8DC7_18896C5303CA_.wvu.Rows" sId="6"/>
    <undo index="2" exp="area" ref3D="1" dr="$A$114:$XFD$128" dn="Z_455630F5_40FC_47DB_8AD4_712C20B8FB91_.wvu.Rows" sId="6"/>
    <undo index="2" exp="area" ref3D="1" dr="$A$114:$XFD$128" dn="Z_1E5198E1_BA46_4CE0_8628_4F695B0D7A3B_.wvu.Rows" sId="6"/>
    <rfmt sheetId="6" xfDxf="1" sqref="A1:XFD1" start="0" length="0">
      <dxf>
        <font/>
      </dxf>
    </rfmt>
    <rfmt sheetId="6" sqref="A1" start="0" length="0">
      <dxf>
        <border outline="0">
          <left style="medium">
            <color indexed="64"/>
          </left>
        </border>
      </dxf>
    </rfmt>
    <rfmt sheetId="6" sqref="B1" start="0" length="0">
      <dxf>
        <numFmt numFmtId="167" formatCode="#,##0.0"/>
      </dxf>
    </rfmt>
    <rfmt sheetId="6" sqref="C1" start="0" length="0">
      <dxf>
        <numFmt numFmtId="167" formatCode="#,##0.0"/>
      </dxf>
    </rfmt>
    <rfmt sheetId="6" sqref="D1" start="0" length="0">
      <dxf>
        <numFmt numFmtId="167" formatCode="#,##0.0"/>
      </dxf>
    </rfmt>
    <rfmt sheetId="6" s="1" sqref="E1" start="0" length="0">
      <dxf>
        <numFmt numFmtId="13" formatCode="0%"/>
      </dxf>
    </rfmt>
    <rfmt sheetId="6" sqref="F1" start="0" length="0">
      <dxf>
        <numFmt numFmtId="167" formatCode="#,##0.0"/>
      </dxf>
    </rfmt>
    <rfmt sheetId="6" sqref="G1" start="0" length="0">
      <dxf>
        <numFmt numFmtId="167" formatCode="#,##0.0"/>
      </dxf>
    </rfmt>
    <rfmt sheetId="6" s="1" sqref="H1" start="0" length="0">
      <dxf>
        <numFmt numFmtId="13" formatCode="0%"/>
      </dxf>
    </rfmt>
  </rrc>
  <rrc rId="35893" sId="6" ref="A1:XFD1" action="deleteRow">
    <undo index="2" exp="area" ref3D="1" dr="$A$113:$XFD$127" dn="Z_78CA186D_B240_44D5_8A24_D241DE0B0FD9_.wvu.Rows" sId="6"/>
    <undo index="2" exp="area" ref3D="1" dr="$A$113:$XFD$127" dn="Z_F784130D_F647_4ABA_8943_C79CA5B0FDC4_.wvu.Rows" sId="6"/>
    <undo index="2" exp="area" ref3D="1" dr="$A$113:$XFD$127" dn="Z_E44F5FE1_54FC_4AB3_84F9_7D65ACF2DDE7_.wvu.Rows" sId="6"/>
    <undo index="2" exp="area" ref3D="1" dr="$A$113:$XFD$127" dn="Z_AEFEB150_9213_45F5_A178_7AC71E46DB11_.wvu.Rows" sId="6"/>
    <undo index="2" exp="area" ref3D="1" dr="$A$113:$XFD$127" dn="Z_9D4F0482_B164_4671_805A_E0D2D4DD4720_.wvu.Rows" sId="6"/>
    <undo index="2" exp="area" ref3D="1" dr="$A$113:$XFD$127" dn="Z_94DA13B6_7351_40F3_8CF7_A4211EC439DA_.wvu.Rows" sId="6"/>
    <undo index="2" exp="area" ref3D="1" dr="$A$113:$XFD$127" dn="Z_8F508F4D_4777_42BE_9707_8CB9355F7BDB_.wvu.Rows" sId="6"/>
    <undo index="2" exp="area" ref3D="1" dr="$A$113:$XFD$127" dn="Z_567C3053_2D8E_4705_8DC7_18896C5303CA_.wvu.Rows" sId="6"/>
    <undo index="2" exp="area" ref3D="1" dr="$A$113:$XFD$127" dn="Z_455630F5_40FC_47DB_8AD4_712C20B8FB91_.wvu.Rows" sId="6"/>
    <undo index="2" exp="area" ref3D="1" dr="$A$113:$XFD$127" dn="Z_1E5198E1_BA46_4CE0_8628_4F695B0D7A3B_.wvu.Rows" sId="6"/>
    <rfmt sheetId="6" xfDxf="1" sqref="A1:XFD1" start="0" length="0">
      <dxf>
        <font/>
      </dxf>
    </rfmt>
    <rfmt sheetId="6" sqref="A1" start="0" length="0">
      <dxf>
        <border outline="0">
          <left style="medium">
            <color indexed="64"/>
          </left>
        </border>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numFmt numFmtId="164" formatCode="0.0%"/>
        <alignment horizontal="right" vertical="top" readingOrder="0"/>
      </dxf>
    </rfmt>
    <rfmt sheetId="6" sqref="F1" start="0" length="0">
      <dxf>
        <numFmt numFmtId="167" formatCode="#,##0.0"/>
      </dxf>
    </rfmt>
    <rfmt sheetId="6" sqref="G1" start="0" length="0">
      <dxf>
        <numFmt numFmtId="167" formatCode="#,##0.0"/>
      </dxf>
    </rfmt>
    <rfmt sheetId="6" sqref="H1" start="0" length="0">
      <dxf>
        <numFmt numFmtId="164" formatCode="0.0%"/>
        <alignment horizontal="right" vertical="top" readingOrder="0"/>
      </dxf>
    </rfmt>
  </rrc>
  <rrc rId="35894" sId="6" ref="A1:XFD1" action="deleteRow">
    <undo index="2" exp="area" ref3D="1" dr="$A$112:$XFD$126" dn="Z_78CA186D_B240_44D5_8A24_D241DE0B0FD9_.wvu.Rows" sId="6"/>
    <undo index="2" exp="area" ref3D="1" dr="$A$112:$XFD$126" dn="Z_F784130D_F647_4ABA_8943_C79CA5B0FDC4_.wvu.Rows" sId="6"/>
    <undo index="2" exp="area" ref3D="1" dr="$A$112:$XFD$126" dn="Z_E44F5FE1_54FC_4AB3_84F9_7D65ACF2DDE7_.wvu.Rows" sId="6"/>
    <undo index="2" exp="area" ref3D="1" dr="$A$112:$XFD$126" dn="Z_AEFEB150_9213_45F5_A178_7AC71E46DB11_.wvu.Rows" sId="6"/>
    <undo index="2" exp="area" ref3D="1" dr="$A$112:$XFD$126" dn="Z_9D4F0482_B164_4671_805A_E0D2D4DD4720_.wvu.Rows" sId="6"/>
    <undo index="2" exp="area" ref3D="1" dr="$A$112:$XFD$126" dn="Z_94DA13B6_7351_40F3_8CF7_A4211EC439DA_.wvu.Rows" sId="6"/>
    <undo index="2" exp="area" ref3D="1" dr="$A$112:$XFD$126" dn="Z_8F508F4D_4777_42BE_9707_8CB9355F7BDB_.wvu.Rows" sId="6"/>
    <undo index="2" exp="area" ref3D="1" dr="$A$112:$XFD$126" dn="Z_567C3053_2D8E_4705_8DC7_18896C5303CA_.wvu.Rows" sId="6"/>
    <undo index="2" exp="area" ref3D="1" dr="$A$112:$XFD$126" dn="Z_455630F5_40FC_47DB_8AD4_712C20B8FB91_.wvu.Rows" sId="6"/>
    <undo index="2" exp="area" ref3D="1" dr="$A$112:$XFD$126" dn="Z_1E5198E1_BA46_4CE0_8628_4F695B0D7A3B_.wvu.Rows" sId="6"/>
    <rfmt sheetId="6" xfDxf="1" sqref="A1:XFD1" start="0" length="0">
      <dxf>
        <font/>
      </dxf>
    </rfmt>
    <rfmt sheetId="6" sqref="A1" start="0" length="0">
      <dxf>
        <border outline="0">
          <left style="medium">
            <color indexed="64"/>
          </left>
        </border>
      </dxf>
    </rfmt>
    <rfmt sheetId="6" sqref="B1" start="0" length="0">
      <dxf>
        <numFmt numFmtId="167" formatCode="#,##0.0"/>
      </dxf>
    </rfmt>
    <rfmt sheetId="6" sqref="C1" start="0" length="0">
      <dxf>
        <numFmt numFmtId="167" formatCode="#,##0.0"/>
      </dxf>
    </rfmt>
    <rfmt sheetId="6" sqref="D1" start="0" length="0">
      <dxf>
        <numFmt numFmtId="167" formatCode="#,##0.0"/>
      </dxf>
    </rfmt>
    <rfmt sheetId="6" s="1" sqref="E1" start="0" length="0">
      <dxf>
        <numFmt numFmtId="13" formatCode="0%"/>
      </dxf>
    </rfmt>
    <rfmt sheetId="6" sqref="F1" start="0" length="0">
      <dxf>
        <numFmt numFmtId="167" formatCode="#,##0.0"/>
      </dxf>
    </rfmt>
    <rfmt sheetId="6" sqref="G1" start="0" length="0">
      <dxf>
        <numFmt numFmtId="167" formatCode="#,##0.0"/>
      </dxf>
    </rfmt>
    <rfmt sheetId="6" s="1" sqref="H1" start="0" length="0">
      <dxf>
        <numFmt numFmtId="13" formatCode="0%"/>
      </dxf>
    </rfmt>
  </rrc>
  <rrc rId="35895" sId="6" ref="A1:XFD1" action="deleteRow">
    <undo index="2" exp="area" ref3D="1" dr="$A$111:$XFD$125" dn="Z_78CA186D_B240_44D5_8A24_D241DE0B0FD9_.wvu.Rows" sId="6"/>
    <undo index="2" exp="area" ref3D="1" dr="$A$111:$XFD$125" dn="Z_F784130D_F647_4ABA_8943_C79CA5B0FDC4_.wvu.Rows" sId="6"/>
    <undo index="2" exp="area" ref3D="1" dr="$A$111:$XFD$125" dn="Z_E44F5FE1_54FC_4AB3_84F9_7D65ACF2DDE7_.wvu.Rows" sId="6"/>
    <undo index="2" exp="area" ref3D="1" dr="$A$111:$XFD$125" dn="Z_AEFEB150_9213_45F5_A178_7AC71E46DB11_.wvu.Rows" sId="6"/>
    <undo index="2" exp="area" ref3D="1" dr="$A$111:$XFD$125" dn="Z_9D4F0482_B164_4671_805A_E0D2D4DD4720_.wvu.Rows" sId="6"/>
    <undo index="2" exp="area" ref3D="1" dr="$A$111:$XFD$125" dn="Z_94DA13B6_7351_40F3_8CF7_A4211EC439DA_.wvu.Rows" sId="6"/>
    <undo index="2" exp="area" ref3D="1" dr="$A$111:$XFD$125" dn="Z_8F508F4D_4777_42BE_9707_8CB9355F7BDB_.wvu.Rows" sId="6"/>
    <undo index="2" exp="area" ref3D="1" dr="$A$111:$XFD$125" dn="Z_567C3053_2D8E_4705_8DC7_18896C5303CA_.wvu.Rows" sId="6"/>
    <undo index="2" exp="area" ref3D="1" dr="$A$111:$XFD$125" dn="Z_455630F5_40FC_47DB_8AD4_712C20B8FB91_.wvu.Rows" sId="6"/>
    <undo index="2" exp="area" ref3D="1" dr="$A$111:$XFD$125" dn="Z_1E5198E1_BA46_4CE0_8628_4F695B0D7A3B_.wvu.Rows" sId="6"/>
    <rfmt sheetId="6" xfDxf="1" sqref="A1:XFD1" start="0" length="0">
      <dxf>
        <font/>
      </dxf>
    </rfmt>
    <rfmt sheetId="6" sqref="A1" start="0" length="0">
      <dxf>
        <border outline="0">
          <left style="medium">
            <color indexed="64"/>
          </left>
        </border>
      </dxf>
    </rfmt>
    <rfmt sheetId="6" sqref="B1" start="0" length="0">
      <dxf>
        <numFmt numFmtId="167" formatCode="#,##0.0"/>
      </dxf>
    </rfmt>
    <rfmt sheetId="6" sqref="C1" start="0" length="0">
      <dxf>
        <numFmt numFmtId="167" formatCode="#,##0.0"/>
      </dxf>
    </rfmt>
    <rfmt sheetId="6" sqref="D1" start="0" length="0">
      <dxf>
        <numFmt numFmtId="167" formatCode="#,##0.0"/>
      </dxf>
    </rfmt>
    <rfmt sheetId="6" s="1" sqref="E1" start="0" length="0">
      <dxf>
        <numFmt numFmtId="13" formatCode="0%"/>
      </dxf>
    </rfmt>
    <rfmt sheetId="6" sqref="F1" start="0" length="0">
      <dxf>
        <numFmt numFmtId="167" formatCode="#,##0.0"/>
      </dxf>
    </rfmt>
    <rfmt sheetId="6" sqref="G1" start="0" length="0">
      <dxf>
        <numFmt numFmtId="167" formatCode="#,##0.0"/>
      </dxf>
    </rfmt>
    <rfmt sheetId="6" s="1" sqref="H1" start="0" length="0">
      <dxf>
        <numFmt numFmtId="13" formatCode="0%"/>
      </dxf>
    </rfmt>
  </rrc>
  <rrc rId="35896" sId="6" ref="A1:XFD1" action="deleteRow">
    <undo index="2" exp="area" ref3D="1" dr="$A$110:$XFD$124" dn="Z_78CA186D_B240_44D5_8A24_D241DE0B0FD9_.wvu.Rows" sId="6"/>
    <undo index="2" exp="area" ref3D="1" dr="$A$110:$XFD$124" dn="Z_F784130D_F647_4ABA_8943_C79CA5B0FDC4_.wvu.Rows" sId="6"/>
    <undo index="2" exp="area" ref3D="1" dr="$A$110:$XFD$124" dn="Z_E44F5FE1_54FC_4AB3_84F9_7D65ACF2DDE7_.wvu.Rows" sId="6"/>
    <undo index="2" exp="area" ref3D="1" dr="$A$110:$XFD$124" dn="Z_AEFEB150_9213_45F5_A178_7AC71E46DB11_.wvu.Rows" sId="6"/>
    <undo index="2" exp="area" ref3D="1" dr="$A$110:$XFD$124" dn="Z_9D4F0482_B164_4671_805A_E0D2D4DD4720_.wvu.Rows" sId="6"/>
    <undo index="2" exp="area" ref3D="1" dr="$A$110:$XFD$124" dn="Z_94DA13B6_7351_40F3_8CF7_A4211EC439DA_.wvu.Rows" sId="6"/>
    <undo index="2" exp="area" ref3D="1" dr="$A$110:$XFD$124" dn="Z_8F508F4D_4777_42BE_9707_8CB9355F7BDB_.wvu.Rows" sId="6"/>
    <undo index="2" exp="area" ref3D="1" dr="$A$110:$XFD$124" dn="Z_567C3053_2D8E_4705_8DC7_18896C5303CA_.wvu.Rows" sId="6"/>
    <undo index="2" exp="area" ref3D="1" dr="$A$110:$XFD$124" dn="Z_455630F5_40FC_47DB_8AD4_712C20B8FB91_.wvu.Rows" sId="6"/>
    <undo index="2" exp="area" ref3D="1" dr="$A$110:$XFD$124" dn="Z_1E5198E1_BA46_4CE0_8628_4F695B0D7A3B_.wvu.Rows" sId="6"/>
    <rfmt sheetId="6" xfDxf="1" sqref="A1:XFD1" start="0" length="0">
      <dxf>
        <font/>
      </dxf>
    </rfmt>
    <rfmt sheetId="6" sqref="A1" start="0" length="0">
      <dxf/>
    </rfmt>
    <rfmt sheetId="6" sqref="B1" start="0" length="0">
      <dxf>
        <numFmt numFmtId="167" formatCode="#,##0.0"/>
      </dxf>
    </rfmt>
    <rfmt sheetId="6" sqref="C1" start="0" length="0">
      <dxf>
        <numFmt numFmtId="167" formatCode="#,##0.0"/>
      </dxf>
    </rfmt>
    <rfmt sheetId="6" sqref="D1" start="0" length="0">
      <dxf>
        <numFmt numFmtId="167" formatCode="#,##0.0"/>
      </dxf>
    </rfmt>
    <rfmt sheetId="6" s="1" sqref="E1" start="0" length="0">
      <dxf>
        <numFmt numFmtId="13" formatCode="0%"/>
      </dxf>
    </rfmt>
    <rfmt sheetId="6" sqref="F1" start="0" length="0">
      <dxf>
        <numFmt numFmtId="167" formatCode="#,##0.0"/>
      </dxf>
    </rfmt>
    <rfmt sheetId="6" sqref="G1" start="0" length="0">
      <dxf>
        <numFmt numFmtId="167" formatCode="#,##0.0"/>
      </dxf>
    </rfmt>
    <rfmt sheetId="6" s="1" sqref="H1" start="0" length="0">
      <dxf>
        <numFmt numFmtId="13" formatCode="0%"/>
      </dxf>
    </rfmt>
  </rrc>
  <rrc rId="35897" sId="6" ref="A1:XFD1" action="deleteRow">
    <undo index="2" exp="area" ref3D="1" dr="$A$109:$XFD$123" dn="Z_78CA186D_B240_44D5_8A24_D241DE0B0FD9_.wvu.Rows" sId="6"/>
    <undo index="2" exp="area" ref3D="1" dr="$A$109:$XFD$123" dn="Z_F784130D_F647_4ABA_8943_C79CA5B0FDC4_.wvu.Rows" sId="6"/>
    <undo index="2" exp="area" ref3D="1" dr="$A$109:$XFD$123" dn="Z_E44F5FE1_54FC_4AB3_84F9_7D65ACF2DDE7_.wvu.Rows" sId="6"/>
    <undo index="2" exp="area" ref3D="1" dr="$A$109:$XFD$123" dn="Z_AEFEB150_9213_45F5_A178_7AC71E46DB11_.wvu.Rows" sId="6"/>
    <undo index="2" exp="area" ref3D="1" dr="$A$109:$XFD$123" dn="Z_9D4F0482_B164_4671_805A_E0D2D4DD4720_.wvu.Rows" sId="6"/>
    <undo index="2" exp="area" ref3D="1" dr="$A$109:$XFD$123" dn="Z_94DA13B6_7351_40F3_8CF7_A4211EC439DA_.wvu.Rows" sId="6"/>
    <undo index="2" exp="area" ref3D="1" dr="$A$109:$XFD$123" dn="Z_8F508F4D_4777_42BE_9707_8CB9355F7BDB_.wvu.Rows" sId="6"/>
    <undo index="2" exp="area" ref3D="1" dr="$A$109:$XFD$123" dn="Z_567C3053_2D8E_4705_8DC7_18896C5303CA_.wvu.Rows" sId="6"/>
    <undo index="2" exp="area" ref3D="1" dr="$A$109:$XFD$123" dn="Z_455630F5_40FC_47DB_8AD4_712C20B8FB91_.wvu.Rows" sId="6"/>
    <undo index="2" exp="area" ref3D="1" dr="$A$109:$XFD$123" dn="Z_1E5198E1_BA46_4CE0_8628_4F695B0D7A3B_.wvu.Rows" sId="6"/>
    <rfmt sheetId="6" xfDxf="1" sqref="A1:XFD1" start="0" length="0">
      <dxf>
        <font/>
      </dxf>
    </rfmt>
    <rfmt sheetId="6" sqref="A1" start="0" length="0">
      <dxf/>
    </rfmt>
    <rfmt sheetId="6" sqref="B1" start="0" length="0">
      <dxf>
        <numFmt numFmtId="167" formatCode="#,##0.0"/>
      </dxf>
    </rfmt>
    <rfmt sheetId="6" sqref="C1" start="0" length="0">
      <dxf>
        <numFmt numFmtId="167" formatCode="#,##0.0"/>
      </dxf>
    </rfmt>
    <rfmt sheetId="6" sqref="D1" start="0" length="0">
      <dxf>
        <numFmt numFmtId="167" formatCode="#,##0.0"/>
      </dxf>
    </rfmt>
    <rfmt sheetId="6" s="1" sqref="E1" start="0" length="0">
      <dxf>
        <numFmt numFmtId="13" formatCode="0%"/>
      </dxf>
    </rfmt>
    <rfmt sheetId="6" sqref="F1" start="0" length="0">
      <dxf>
        <numFmt numFmtId="167" formatCode="#,##0.0"/>
      </dxf>
    </rfmt>
    <rfmt sheetId="6" sqref="G1" start="0" length="0">
      <dxf>
        <numFmt numFmtId="167" formatCode="#,##0.0"/>
      </dxf>
    </rfmt>
    <rfmt sheetId="6" s="1" sqref="H1" start="0" length="0">
      <dxf>
        <numFmt numFmtId="13" formatCode="0%"/>
      </dxf>
    </rfmt>
  </rrc>
  <rrc rId="35898" sId="6" ref="A1:XFD1" action="deleteRow">
    <undo index="2" exp="area" ref3D="1" dr="$A$108:$XFD$122" dn="Z_78CA186D_B240_44D5_8A24_D241DE0B0FD9_.wvu.Rows" sId="6"/>
    <undo index="2" exp="area" ref3D="1" dr="$A$108:$XFD$122" dn="Z_F784130D_F647_4ABA_8943_C79CA5B0FDC4_.wvu.Rows" sId="6"/>
    <undo index="2" exp="area" ref3D="1" dr="$A$108:$XFD$122" dn="Z_E44F5FE1_54FC_4AB3_84F9_7D65ACF2DDE7_.wvu.Rows" sId="6"/>
    <undo index="2" exp="area" ref3D="1" dr="$A$108:$XFD$122" dn="Z_AEFEB150_9213_45F5_A178_7AC71E46DB11_.wvu.Rows" sId="6"/>
    <undo index="2" exp="area" ref3D="1" dr="$A$108:$XFD$122" dn="Z_9D4F0482_B164_4671_805A_E0D2D4DD4720_.wvu.Rows" sId="6"/>
    <undo index="2" exp="area" ref3D="1" dr="$A$108:$XFD$122" dn="Z_94DA13B6_7351_40F3_8CF7_A4211EC439DA_.wvu.Rows" sId="6"/>
    <undo index="2" exp="area" ref3D="1" dr="$A$108:$XFD$122" dn="Z_8F508F4D_4777_42BE_9707_8CB9355F7BDB_.wvu.Rows" sId="6"/>
    <undo index="2" exp="area" ref3D="1" dr="$A$108:$XFD$122" dn="Z_567C3053_2D8E_4705_8DC7_18896C5303CA_.wvu.Rows" sId="6"/>
    <undo index="2" exp="area" ref3D="1" dr="$A$108:$XFD$122" dn="Z_455630F5_40FC_47DB_8AD4_712C20B8FB91_.wvu.Rows" sId="6"/>
    <undo index="2" exp="area" ref3D="1" dr="$A$108:$XFD$122" dn="Z_1E5198E1_BA46_4CE0_8628_4F695B0D7A3B_.wvu.Rows" sId="6"/>
    <rfmt sheetId="6" xfDxf="1" sqref="A1:XFD1" start="0" length="0">
      <dxf>
        <font/>
      </dxf>
    </rfmt>
    <rfmt sheetId="6" sqref="A1" start="0" length="0">
      <dxf/>
    </rfmt>
    <rfmt sheetId="6" sqref="B1" start="0" length="0">
      <dxf>
        <numFmt numFmtId="167" formatCode="#,##0.0"/>
      </dxf>
    </rfmt>
    <rfmt sheetId="6" sqref="C1" start="0" length="0">
      <dxf>
        <numFmt numFmtId="167" formatCode="#,##0.0"/>
      </dxf>
    </rfmt>
    <rfmt sheetId="6" sqref="D1" start="0" length="0">
      <dxf>
        <numFmt numFmtId="167" formatCode="#,##0.0"/>
      </dxf>
    </rfmt>
    <rfmt sheetId="6" s="1" sqref="E1" start="0" length="0">
      <dxf>
        <numFmt numFmtId="13" formatCode="0%"/>
      </dxf>
    </rfmt>
    <rfmt sheetId="6" sqref="F1" start="0" length="0">
      <dxf>
        <numFmt numFmtId="167" formatCode="#,##0.0"/>
      </dxf>
    </rfmt>
    <rfmt sheetId="6" sqref="G1" start="0" length="0">
      <dxf>
        <numFmt numFmtId="167" formatCode="#,##0.0"/>
      </dxf>
    </rfmt>
    <rfmt sheetId="6" s="1" sqref="H1" start="0" length="0">
      <dxf>
        <numFmt numFmtId="13" formatCode="0%"/>
      </dxf>
    </rfmt>
  </rrc>
  <rrc rId="35899" sId="6" ref="A1:XFD1" action="deleteRow">
    <undo index="2" exp="area" ref3D="1" dr="$A$107:$XFD$121" dn="Z_78CA186D_B240_44D5_8A24_D241DE0B0FD9_.wvu.Rows" sId="6"/>
    <undo index="2" exp="area" ref3D="1" dr="$A$107:$XFD$121" dn="Z_F784130D_F647_4ABA_8943_C79CA5B0FDC4_.wvu.Rows" sId="6"/>
    <undo index="2" exp="area" ref3D="1" dr="$A$107:$XFD$121" dn="Z_E44F5FE1_54FC_4AB3_84F9_7D65ACF2DDE7_.wvu.Rows" sId="6"/>
    <undo index="2" exp="area" ref3D="1" dr="$A$107:$XFD$121" dn="Z_AEFEB150_9213_45F5_A178_7AC71E46DB11_.wvu.Rows" sId="6"/>
    <undo index="2" exp="area" ref3D="1" dr="$A$107:$XFD$121" dn="Z_9D4F0482_B164_4671_805A_E0D2D4DD4720_.wvu.Rows" sId="6"/>
    <undo index="2" exp="area" ref3D="1" dr="$A$107:$XFD$121" dn="Z_94DA13B6_7351_40F3_8CF7_A4211EC439DA_.wvu.Rows" sId="6"/>
    <undo index="2" exp="area" ref3D="1" dr="$A$107:$XFD$121" dn="Z_8F508F4D_4777_42BE_9707_8CB9355F7BDB_.wvu.Rows" sId="6"/>
    <undo index="2" exp="area" ref3D="1" dr="$A$107:$XFD$121" dn="Z_567C3053_2D8E_4705_8DC7_18896C5303CA_.wvu.Rows" sId="6"/>
    <undo index="2" exp="area" ref3D="1" dr="$A$107:$XFD$121" dn="Z_455630F5_40FC_47DB_8AD4_712C20B8FB91_.wvu.Rows" sId="6"/>
    <undo index="2" exp="area" ref3D="1" dr="$A$107:$XFD$121" dn="Z_1E5198E1_BA46_4CE0_8628_4F695B0D7A3B_.wvu.Rows" sId="6"/>
    <rfmt sheetId="6" xfDxf="1" sqref="A1:XFD1" start="0" length="0">
      <dxf>
        <font/>
      </dxf>
    </rfmt>
    <rfmt sheetId="6" sqref="A1" start="0" length="0">
      <dxf/>
    </rfmt>
    <rfmt sheetId="6" sqref="B1" start="0" length="0">
      <dxf>
        <numFmt numFmtId="167" formatCode="#,##0.0"/>
      </dxf>
    </rfmt>
    <rfmt sheetId="6" sqref="C1" start="0" length="0">
      <dxf>
        <numFmt numFmtId="167" formatCode="#,##0.0"/>
      </dxf>
    </rfmt>
    <rfmt sheetId="6" sqref="D1" start="0" length="0">
      <dxf>
        <numFmt numFmtId="167" formatCode="#,##0.0"/>
      </dxf>
    </rfmt>
    <rfmt sheetId="6" s="1" sqref="E1" start="0" length="0">
      <dxf>
        <numFmt numFmtId="13" formatCode="0%"/>
      </dxf>
    </rfmt>
    <rfmt sheetId="6" sqref="F1" start="0" length="0">
      <dxf>
        <numFmt numFmtId="167" formatCode="#,##0.0"/>
      </dxf>
    </rfmt>
    <rfmt sheetId="6" sqref="G1" start="0" length="0">
      <dxf>
        <numFmt numFmtId="167" formatCode="#,##0.0"/>
      </dxf>
    </rfmt>
    <rfmt sheetId="6" s="1" sqref="H1" start="0" length="0">
      <dxf>
        <numFmt numFmtId="13" formatCode="0%"/>
      </dxf>
    </rfmt>
  </rrc>
  <rrc rId="35900" sId="6" ref="A1:XFD1" action="deleteRow">
    <undo index="2" exp="area" ref3D="1" dr="$A$106:$XFD$120" dn="Z_78CA186D_B240_44D5_8A24_D241DE0B0FD9_.wvu.Rows" sId="6"/>
    <undo index="2" exp="area" ref3D="1" dr="$A$106:$XFD$120" dn="Z_F784130D_F647_4ABA_8943_C79CA5B0FDC4_.wvu.Rows" sId="6"/>
    <undo index="2" exp="area" ref3D="1" dr="$A$106:$XFD$120" dn="Z_E44F5FE1_54FC_4AB3_84F9_7D65ACF2DDE7_.wvu.Rows" sId="6"/>
    <undo index="2" exp="area" ref3D="1" dr="$A$106:$XFD$120" dn="Z_AEFEB150_9213_45F5_A178_7AC71E46DB11_.wvu.Rows" sId="6"/>
    <undo index="2" exp="area" ref3D="1" dr="$A$106:$XFD$120" dn="Z_9D4F0482_B164_4671_805A_E0D2D4DD4720_.wvu.Rows" sId="6"/>
    <undo index="2" exp="area" ref3D="1" dr="$A$106:$XFD$120" dn="Z_94DA13B6_7351_40F3_8CF7_A4211EC439DA_.wvu.Rows" sId="6"/>
    <undo index="2" exp="area" ref3D="1" dr="$A$106:$XFD$120" dn="Z_8F508F4D_4777_42BE_9707_8CB9355F7BDB_.wvu.Rows" sId="6"/>
    <undo index="2" exp="area" ref3D="1" dr="$A$106:$XFD$120" dn="Z_567C3053_2D8E_4705_8DC7_18896C5303CA_.wvu.Rows" sId="6"/>
    <undo index="2" exp="area" ref3D="1" dr="$A$106:$XFD$120" dn="Z_455630F5_40FC_47DB_8AD4_712C20B8FB91_.wvu.Rows" sId="6"/>
    <undo index="2" exp="area" ref3D="1" dr="$A$106:$XFD$120" dn="Z_1E5198E1_BA46_4CE0_8628_4F695B0D7A3B_.wvu.Rows" sId="6"/>
    <rfmt sheetId="6" xfDxf="1" sqref="A1:XFD1" start="0" length="0">
      <dxf>
        <font/>
      </dxf>
    </rfmt>
    <rfmt sheetId="6" sqref="A1" start="0" length="0">
      <dxf/>
    </rfmt>
    <rfmt sheetId="6" sqref="B1" start="0" length="0">
      <dxf>
        <numFmt numFmtId="167" formatCode="#,##0.0"/>
      </dxf>
    </rfmt>
    <rfmt sheetId="6" sqref="C1" start="0" length="0">
      <dxf>
        <numFmt numFmtId="167" formatCode="#,##0.0"/>
      </dxf>
    </rfmt>
    <rfmt sheetId="6" sqref="D1" start="0" length="0">
      <dxf>
        <numFmt numFmtId="167" formatCode="#,##0.0"/>
      </dxf>
    </rfmt>
    <rfmt sheetId="6" s="1" sqref="E1" start="0" length="0">
      <dxf>
        <numFmt numFmtId="13" formatCode="0%"/>
      </dxf>
    </rfmt>
    <rfmt sheetId="6" sqref="F1" start="0" length="0">
      <dxf>
        <numFmt numFmtId="167" formatCode="#,##0.0"/>
      </dxf>
    </rfmt>
    <rfmt sheetId="6" sqref="G1" start="0" length="0">
      <dxf>
        <numFmt numFmtId="167" formatCode="#,##0.0"/>
      </dxf>
    </rfmt>
    <rfmt sheetId="6" s="1" sqref="H1" start="0" length="0">
      <dxf>
        <numFmt numFmtId="13" formatCode="0%"/>
      </dxf>
    </rfmt>
  </rrc>
  <rrc rId="35901" sId="6" ref="A1:XFD1" action="deleteRow">
    <undo index="2" exp="area" ref3D="1" dr="$A$105:$XFD$119" dn="Z_78CA186D_B240_44D5_8A24_D241DE0B0FD9_.wvu.Rows" sId="6"/>
    <undo index="2" exp="area" ref3D="1" dr="$A$105:$XFD$119" dn="Z_F784130D_F647_4ABA_8943_C79CA5B0FDC4_.wvu.Rows" sId="6"/>
    <undo index="2" exp="area" ref3D="1" dr="$A$105:$XFD$119" dn="Z_E44F5FE1_54FC_4AB3_84F9_7D65ACF2DDE7_.wvu.Rows" sId="6"/>
    <undo index="2" exp="area" ref3D="1" dr="$A$105:$XFD$119" dn="Z_AEFEB150_9213_45F5_A178_7AC71E46DB11_.wvu.Rows" sId="6"/>
    <undo index="2" exp="area" ref3D="1" dr="$A$105:$XFD$119" dn="Z_9D4F0482_B164_4671_805A_E0D2D4DD4720_.wvu.Rows" sId="6"/>
    <undo index="2" exp="area" ref3D="1" dr="$A$105:$XFD$119" dn="Z_94DA13B6_7351_40F3_8CF7_A4211EC439DA_.wvu.Rows" sId="6"/>
    <undo index="2" exp="area" ref3D="1" dr="$A$105:$XFD$119" dn="Z_8F508F4D_4777_42BE_9707_8CB9355F7BDB_.wvu.Rows" sId="6"/>
    <undo index="2" exp="area" ref3D="1" dr="$A$105:$XFD$119" dn="Z_567C3053_2D8E_4705_8DC7_18896C5303CA_.wvu.Rows" sId="6"/>
    <undo index="2" exp="area" ref3D="1" dr="$A$105:$XFD$119" dn="Z_455630F5_40FC_47DB_8AD4_712C20B8FB91_.wvu.Rows" sId="6"/>
    <undo index="2" exp="area" ref3D="1" dr="$A$105:$XFD$119" dn="Z_1E5198E1_BA46_4CE0_8628_4F695B0D7A3B_.wvu.Rows" sId="6"/>
    <rfmt sheetId="6" xfDxf="1" sqref="A1:XFD1" start="0" length="0">
      <dxf>
        <font/>
      </dxf>
    </rfmt>
    <rfmt sheetId="6" sqref="A1" start="0" length="0">
      <dxf/>
    </rfmt>
    <rfmt sheetId="6" sqref="B1" start="0" length="0">
      <dxf>
        <numFmt numFmtId="167" formatCode="#,##0.0"/>
      </dxf>
    </rfmt>
    <rfmt sheetId="6" sqref="C1" start="0" length="0">
      <dxf>
        <numFmt numFmtId="167" formatCode="#,##0.0"/>
      </dxf>
    </rfmt>
    <rfmt sheetId="6" sqref="D1" start="0" length="0">
      <dxf>
        <numFmt numFmtId="167" formatCode="#,##0.0"/>
      </dxf>
    </rfmt>
    <rfmt sheetId="6" s="1" sqref="E1" start="0" length="0">
      <dxf>
        <numFmt numFmtId="13" formatCode="0%"/>
      </dxf>
    </rfmt>
    <rfmt sheetId="6" sqref="F1" start="0" length="0">
      <dxf>
        <numFmt numFmtId="167" formatCode="#,##0.0"/>
      </dxf>
    </rfmt>
    <rfmt sheetId="6" sqref="G1" start="0" length="0">
      <dxf>
        <numFmt numFmtId="167" formatCode="#,##0.0"/>
      </dxf>
    </rfmt>
    <rfmt sheetId="6" s="1" sqref="H1" start="0" length="0">
      <dxf>
        <numFmt numFmtId="13" formatCode="0%"/>
      </dxf>
    </rfmt>
  </rrc>
  <rrc rId="35902" sId="6" ref="A1:XFD1" action="deleteRow">
    <undo index="2" exp="area" ref3D="1" dr="$A$104:$XFD$118" dn="Z_78CA186D_B240_44D5_8A24_D241DE0B0FD9_.wvu.Rows" sId="6"/>
    <undo index="2" exp="area" ref3D="1" dr="$A$104:$XFD$118" dn="Z_F784130D_F647_4ABA_8943_C79CA5B0FDC4_.wvu.Rows" sId="6"/>
    <undo index="2" exp="area" ref3D="1" dr="$A$104:$XFD$118" dn="Z_E44F5FE1_54FC_4AB3_84F9_7D65ACF2DDE7_.wvu.Rows" sId="6"/>
    <undo index="2" exp="area" ref3D="1" dr="$A$104:$XFD$118" dn="Z_AEFEB150_9213_45F5_A178_7AC71E46DB11_.wvu.Rows" sId="6"/>
    <undo index="2" exp="area" ref3D="1" dr="$A$104:$XFD$118" dn="Z_9D4F0482_B164_4671_805A_E0D2D4DD4720_.wvu.Rows" sId="6"/>
    <undo index="2" exp="area" ref3D="1" dr="$A$104:$XFD$118" dn="Z_94DA13B6_7351_40F3_8CF7_A4211EC439DA_.wvu.Rows" sId="6"/>
    <undo index="2" exp="area" ref3D="1" dr="$A$104:$XFD$118" dn="Z_8F508F4D_4777_42BE_9707_8CB9355F7BDB_.wvu.Rows" sId="6"/>
    <undo index="2" exp="area" ref3D="1" dr="$A$104:$XFD$118" dn="Z_567C3053_2D8E_4705_8DC7_18896C5303CA_.wvu.Rows" sId="6"/>
    <undo index="2" exp="area" ref3D="1" dr="$A$104:$XFD$118" dn="Z_455630F5_40FC_47DB_8AD4_712C20B8FB91_.wvu.Rows" sId="6"/>
    <undo index="2" exp="area" ref3D="1" dr="$A$104:$XFD$118" dn="Z_1E5198E1_BA46_4CE0_8628_4F695B0D7A3B_.wvu.Rows" sId="6"/>
    <rfmt sheetId="6" xfDxf="1" sqref="A1:XFD1" start="0" length="0">
      <dxf>
        <font/>
      </dxf>
    </rfmt>
    <rfmt sheetId="6" sqref="A1" start="0" length="0">
      <dxf/>
    </rfmt>
    <rfmt sheetId="6" sqref="B1" start="0" length="0">
      <dxf>
        <numFmt numFmtId="167" formatCode="#,##0.0"/>
      </dxf>
    </rfmt>
    <rfmt sheetId="6" sqref="C1" start="0" length="0">
      <dxf>
        <numFmt numFmtId="167" formatCode="#,##0.0"/>
      </dxf>
    </rfmt>
    <rfmt sheetId="6" sqref="D1" start="0" length="0">
      <dxf>
        <numFmt numFmtId="167" formatCode="#,##0.0"/>
      </dxf>
    </rfmt>
    <rfmt sheetId="6" s="1" sqref="E1" start="0" length="0">
      <dxf>
        <numFmt numFmtId="13" formatCode="0%"/>
      </dxf>
    </rfmt>
    <rfmt sheetId="6" sqref="F1" start="0" length="0">
      <dxf>
        <numFmt numFmtId="167" formatCode="#,##0.0"/>
      </dxf>
    </rfmt>
    <rfmt sheetId="6" sqref="G1" start="0" length="0">
      <dxf>
        <numFmt numFmtId="167" formatCode="#,##0.0"/>
      </dxf>
    </rfmt>
    <rfmt sheetId="6" s="1" sqref="H1" start="0" length="0">
      <dxf>
        <numFmt numFmtId="13" formatCode="0%"/>
      </dxf>
    </rfmt>
  </rrc>
  <rrc rId="35903" sId="6" ref="A1:XFD1" action="deleteRow">
    <undo index="2" exp="area" ref3D="1" dr="$A$103:$XFD$117" dn="Z_78CA186D_B240_44D5_8A24_D241DE0B0FD9_.wvu.Rows" sId="6"/>
    <undo index="2" exp="area" ref3D="1" dr="$A$103:$XFD$117" dn="Z_F784130D_F647_4ABA_8943_C79CA5B0FDC4_.wvu.Rows" sId="6"/>
    <undo index="2" exp="area" ref3D="1" dr="$A$103:$XFD$117" dn="Z_E44F5FE1_54FC_4AB3_84F9_7D65ACF2DDE7_.wvu.Rows" sId="6"/>
    <undo index="2" exp="area" ref3D="1" dr="$A$103:$XFD$117" dn="Z_AEFEB150_9213_45F5_A178_7AC71E46DB11_.wvu.Rows" sId="6"/>
    <undo index="2" exp="area" ref3D="1" dr="$A$103:$XFD$117" dn="Z_9D4F0482_B164_4671_805A_E0D2D4DD4720_.wvu.Rows" sId="6"/>
    <undo index="2" exp="area" ref3D="1" dr="$A$103:$XFD$117" dn="Z_94DA13B6_7351_40F3_8CF7_A4211EC439DA_.wvu.Rows" sId="6"/>
    <undo index="2" exp="area" ref3D="1" dr="$A$103:$XFD$117" dn="Z_8F508F4D_4777_42BE_9707_8CB9355F7BDB_.wvu.Rows" sId="6"/>
    <undo index="2" exp="area" ref3D="1" dr="$A$103:$XFD$117" dn="Z_567C3053_2D8E_4705_8DC7_18896C5303CA_.wvu.Rows" sId="6"/>
    <undo index="2" exp="area" ref3D="1" dr="$A$103:$XFD$117" dn="Z_455630F5_40FC_47DB_8AD4_712C20B8FB91_.wvu.Rows" sId="6"/>
    <undo index="2" exp="area" ref3D="1" dr="$A$103:$XFD$117" dn="Z_1E5198E1_BA46_4CE0_8628_4F695B0D7A3B_.wvu.Rows" sId="6"/>
    <rfmt sheetId="6" xfDxf="1" sqref="A1:XFD1" start="0" length="0">
      <dxf>
        <font/>
      </dxf>
    </rfmt>
    <rfmt sheetId="6" sqref="A1" start="0" length="0">
      <dxf/>
    </rfmt>
    <rfmt sheetId="6" sqref="B1" start="0" length="0">
      <dxf>
        <numFmt numFmtId="167" formatCode="#,##0.0"/>
      </dxf>
    </rfmt>
    <rfmt sheetId="6" sqref="C1" start="0" length="0">
      <dxf>
        <numFmt numFmtId="167" formatCode="#,##0.0"/>
      </dxf>
    </rfmt>
    <rfmt sheetId="6" sqref="D1" start="0" length="0">
      <dxf>
        <numFmt numFmtId="167" formatCode="#,##0.0"/>
      </dxf>
    </rfmt>
    <rfmt sheetId="6" s="1" sqref="E1" start="0" length="0">
      <dxf>
        <numFmt numFmtId="13" formatCode="0%"/>
      </dxf>
    </rfmt>
    <rfmt sheetId="6" sqref="F1" start="0" length="0">
      <dxf>
        <numFmt numFmtId="167" formatCode="#,##0.0"/>
      </dxf>
    </rfmt>
    <rfmt sheetId="6" sqref="G1" start="0" length="0">
      <dxf>
        <numFmt numFmtId="167" formatCode="#,##0.0"/>
      </dxf>
    </rfmt>
    <rfmt sheetId="6" s="1" sqref="H1" start="0" length="0">
      <dxf>
        <numFmt numFmtId="13" formatCode="0%"/>
      </dxf>
    </rfmt>
  </rrc>
  <rrc rId="35904" sId="6" ref="A1:XFD1" action="deleteRow">
    <undo index="2" exp="area" ref3D="1" dr="$A$102:$XFD$116" dn="Z_78CA186D_B240_44D5_8A24_D241DE0B0FD9_.wvu.Rows" sId="6"/>
    <undo index="2" exp="area" ref3D="1" dr="$A$102:$XFD$116" dn="Z_F784130D_F647_4ABA_8943_C79CA5B0FDC4_.wvu.Rows" sId="6"/>
    <undo index="2" exp="area" ref3D="1" dr="$A$102:$XFD$116" dn="Z_E44F5FE1_54FC_4AB3_84F9_7D65ACF2DDE7_.wvu.Rows" sId="6"/>
    <undo index="2" exp="area" ref3D="1" dr="$A$102:$XFD$116" dn="Z_AEFEB150_9213_45F5_A178_7AC71E46DB11_.wvu.Rows" sId="6"/>
    <undo index="2" exp="area" ref3D="1" dr="$A$102:$XFD$116" dn="Z_9D4F0482_B164_4671_805A_E0D2D4DD4720_.wvu.Rows" sId="6"/>
    <undo index="2" exp="area" ref3D="1" dr="$A$102:$XFD$116" dn="Z_94DA13B6_7351_40F3_8CF7_A4211EC439DA_.wvu.Rows" sId="6"/>
    <undo index="2" exp="area" ref3D="1" dr="$A$102:$XFD$116" dn="Z_8F508F4D_4777_42BE_9707_8CB9355F7BDB_.wvu.Rows" sId="6"/>
    <undo index="2" exp="area" ref3D="1" dr="$A$102:$XFD$116" dn="Z_567C3053_2D8E_4705_8DC7_18896C5303CA_.wvu.Rows" sId="6"/>
    <undo index="2" exp="area" ref3D="1" dr="$A$102:$XFD$116" dn="Z_455630F5_40FC_47DB_8AD4_712C20B8FB91_.wvu.Rows" sId="6"/>
    <undo index="2" exp="area" ref3D="1" dr="$A$102:$XFD$116" dn="Z_1E5198E1_BA46_4CE0_8628_4F695B0D7A3B_.wvu.Rows" sId="6"/>
    <rfmt sheetId="6" xfDxf="1" sqref="A1:XFD1" start="0" length="0">
      <dxf>
        <font/>
      </dxf>
    </rfmt>
    <rfmt sheetId="6" sqref="A1" start="0" length="0">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numFmt numFmtId="164" formatCode="0.0%"/>
        <alignment horizontal="right" vertical="top" readingOrder="0"/>
      </dxf>
    </rfmt>
    <rfmt sheetId="6" sqref="F1" start="0" length="0">
      <dxf>
        <numFmt numFmtId="167" formatCode="#,##0.0"/>
      </dxf>
    </rfmt>
    <rfmt sheetId="6" sqref="G1" start="0" length="0">
      <dxf>
        <numFmt numFmtId="167" formatCode="#,##0.0"/>
      </dxf>
    </rfmt>
    <rfmt sheetId="6" sqref="H1" start="0" length="0">
      <dxf>
        <numFmt numFmtId="164" formatCode="0.0%"/>
        <alignment horizontal="right" vertical="top" readingOrder="0"/>
      </dxf>
    </rfmt>
  </rrc>
  <rrc rId="35905" sId="6" ref="A1:XFD1" action="deleteRow">
    <undo index="2" exp="area" ref3D="1" dr="$A$101:$XFD$115" dn="Z_78CA186D_B240_44D5_8A24_D241DE0B0FD9_.wvu.Rows" sId="6"/>
    <undo index="2" exp="area" ref3D="1" dr="$A$101:$XFD$115" dn="Z_F784130D_F647_4ABA_8943_C79CA5B0FDC4_.wvu.Rows" sId="6"/>
    <undo index="2" exp="area" ref3D="1" dr="$A$101:$XFD$115" dn="Z_E44F5FE1_54FC_4AB3_84F9_7D65ACF2DDE7_.wvu.Rows" sId="6"/>
    <undo index="2" exp="area" ref3D="1" dr="$A$101:$XFD$115" dn="Z_AEFEB150_9213_45F5_A178_7AC71E46DB11_.wvu.Rows" sId="6"/>
    <undo index="2" exp="area" ref3D="1" dr="$A$101:$XFD$115" dn="Z_9D4F0482_B164_4671_805A_E0D2D4DD4720_.wvu.Rows" sId="6"/>
    <undo index="2" exp="area" ref3D="1" dr="$A$101:$XFD$115" dn="Z_94DA13B6_7351_40F3_8CF7_A4211EC439DA_.wvu.Rows" sId="6"/>
    <undo index="2" exp="area" ref3D="1" dr="$A$101:$XFD$115" dn="Z_8F508F4D_4777_42BE_9707_8CB9355F7BDB_.wvu.Rows" sId="6"/>
    <undo index="2" exp="area" ref3D="1" dr="$A$101:$XFD$115" dn="Z_567C3053_2D8E_4705_8DC7_18896C5303CA_.wvu.Rows" sId="6"/>
    <undo index="2" exp="area" ref3D="1" dr="$A$101:$XFD$115" dn="Z_455630F5_40FC_47DB_8AD4_712C20B8FB91_.wvu.Rows" sId="6"/>
    <undo index="2" exp="area" ref3D="1" dr="$A$101:$XFD$115" dn="Z_1E5198E1_BA46_4CE0_8628_4F695B0D7A3B_.wvu.Rows" sId="6"/>
    <rfmt sheetId="6" xfDxf="1" sqref="A1:XFD1" start="0" length="0">
      <dxf>
        <font/>
        <border outline="0">
          <bottom style="medium">
            <color indexed="64"/>
          </bottom>
        </border>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numFmt numFmtId="164" formatCode="0.0%"/>
        <alignment horizontal="right" vertical="top" readingOrder="0"/>
      </dxf>
    </rfmt>
    <rfmt sheetId="6" sqref="F1" start="0" length="0">
      <dxf>
        <numFmt numFmtId="167" formatCode="#,##0.0"/>
      </dxf>
    </rfmt>
    <rfmt sheetId="6" sqref="G1" start="0" length="0">
      <dxf>
        <numFmt numFmtId="167" formatCode="#,##0.0"/>
      </dxf>
    </rfmt>
    <rfmt sheetId="6" sqref="H1" start="0" length="0">
      <dxf>
        <numFmt numFmtId="164" formatCode="0.0%"/>
        <alignment horizontal="right" vertical="top" readingOrder="0"/>
      </dxf>
    </rfmt>
  </rrc>
  <rrc rId="35906" sId="6" ref="A1:XFD1" action="deleteRow">
    <undo index="2" exp="area" ref3D="1" dr="$A$100:$XFD$114" dn="Z_78CA186D_B240_44D5_8A24_D241DE0B0FD9_.wvu.Rows" sId="6"/>
    <undo index="2" exp="area" ref3D="1" dr="$A$100:$XFD$114" dn="Z_F784130D_F647_4ABA_8943_C79CA5B0FDC4_.wvu.Rows" sId="6"/>
    <undo index="2" exp="area" ref3D="1" dr="$A$100:$XFD$114" dn="Z_E44F5FE1_54FC_4AB3_84F9_7D65ACF2DDE7_.wvu.Rows" sId="6"/>
    <undo index="2" exp="area" ref3D="1" dr="$A$100:$XFD$114" dn="Z_AEFEB150_9213_45F5_A178_7AC71E46DB11_.wvu.Rows" sId="6"/>
    <undo index="2" exp="area" ref3D="1" dr="$A$100:$XFD$114" dn="Z_9D4F0482_B164_4671_805A_E0D2D4DD4720_.wvu.Rows" sId="6"/>
    <undo index="2" exp="area" ref3D="1" dr="$A$100:$XFD$114" dn="Z_94DA13B6_7351_40F3_8CF7_A4211EC439DA_.wvu.Rows" sId="6"/>
    <undo index="2" exp="area" ref3D="1" dr="$A$100:$XFD$114" dn="Z_8F508F4D_4777_42BE_9707_8CB9355F7BDB_.wvu.Rows" sId="6"/>
    <undo index="2" exp="area" ref3D="1" dr="$A$100:$XFD$114" dn="Z_567C3053_2D8E_4705_8DC7_18896C5303CA_.wvu.Rows" sId="6"/>
    <undo index="2" exp="area" ref3D="1" dr="$A$100:$XFD$114" dn="Z_455630F5_40FC_47DB_8AD4_712C20B8FB91_.wvu.Rows" sId="6"/>
    <undo index="2" exp="area" ref3D="1" dr="$A$100:$XFD$114" dn="Z_1E5198E1_BA46_4CE0_8628_4F695B0D7A3B_.wvu.Rows" sId="6"/>
    <rfmt sheetId="6" xfDxf="1" sqref="A1:XFD1" start="0" length="0">
      <dxf>
        <font>
          <b/>
        </font>
      </dxf>
    </rfmt>
    <rfmt sheetId="6" sqref="A1" start="0" length="0">
      <dxf/>
    </rfmt>
    <rfmt sheetId="6" sqref="B1" start="0" length="0">
      <dxf>
        <numFmt numFmtId="167" formatCode="#,##0.0"/>
      </dxf>
    </rfmt>
    <rfmt sheetId="6" sqref="C1" start="0" length="0">
      <dxf>
        <numFmt numFmtId="167" formatCode="#,##0.0"/>
      </dxf>
    </rfmt>
    <rfmt sheetId="6" sqref="D1" start="0" length="0">
      <dxf>
        <numFmt numFmtId="167" formatCode="#,##0.0"/>
      </dxf>
    </rfmt>
    <rfmt sheetId="6" s="1" sqref="E1" start="0" length="0">
      <dxf>
        <numFmt numFmtId="13" formatCode="0%"/>
      </dxf>
    </rfmt>
    <rfmt sheetId="6" sqref="F1" start="0" length="0">
      <dxf>
        <numFmt numFmtId="167" formatCode="#,##0.0"/>
      </dxf>
    </rfmt>
    <rfmt sheetId="6" sqref="G1" start="0" length="0">
      <dxf>
        <numFmt numFmtId="167" formatCode="#,##0.0"/>
      </dxf>
    </rfmt>
    <rfmt sheetId="6" s="1" sqref="H1" start="0" length="0">
      <dxf>
        <numFmt numFmtId="13" formatCode="0%"/>
      </dxf>
    </rfmt>
  </rrc>
  <rrc rId="35907" sId="6" ref="A1:XFD1" action="deleteRow">
    <undo index="2" exp="area" ref3D="1" dr="$A$99:$XFD$113" dn="Z_78CA186D_B240_44D5_8A24_D241DE0B0FD9_.wvu.Rows" sId="6"/>
    <undo index="2" exp="area" ref3D="1" dr="$A$99:$XFD$113" dn="Z_F784130D_F647_4ABA_8943_C79CA5B0FDC4_.wvu.Rows" sId="6"/>
    <undo index="2" exp="area" ref3D="1" dr="$A$99:$XFD$113" dn="Z_E44F5FE1_54FC_4AB3_84F9_7D65ACF2DDE7_.wvu.Rows" sId="6"/>
    <undo index="2" exp="area" ref3D="1" dr="$A$99:$XFD$113" dn="Z_AEFEB150_9213_45F5_A178_7AC71E46DB11_.wvu.Rows" sId="6"/>
    <undo index="2" exp="area" ref3D="1" dr="$A$99:$XFD$113" dn="Z_9D4F0482_B164_4671_805A_E0D2D4DD4720_.wvu.Rows" sId="6"/>
    <undo index="2" exp="area" ref3D="1" dr="$A$99:$XFD$113" dn="Z_94DA13B6_7351_40F3_8CF7_A4211EC439DA_.wvu.Rows" sId="6"/>
    <undo index="2" exp="area" ref3D="1" dr="$A$99:$XFD$113" dn="Z_8F508F4D_4777_42BE_9707_8CB9355F7BDB_.wvu.Rows" sId="6"/>
    <undo index="2" exp="area" ref3D="1" dr="$A$99:$XFD$113" dn="Z_567C3053_2D8E_4705_8DC7_18896C5303CA_.wvu.Rows" sId="6"/>
    <undo index="2" exp="area" ref3D="1" dr="$A$99:$XFD$113" dn="Z_455630F5_40FC_47DB_8AD4_712C20B8FB91_.wvu.Rows" sId="6"/>
    <undo index="2" exp="area" ref3D="1" dr="$A$99:$XFD$113" dn="Z_1E5198E1_BA46_4CE0_8628_4F695B0D7A3B_.wvu.Rows" sId="6"/>
    <rfmt sheetId="6" xfDxf="1" sqref="A1:XFD1" start="0" length="0">
      <dxf>
        <font>
          <b/>
        </font>
      </dxf>
    </rfmt>
    <rfmt sheetId="6" sqref="A1" start="0" length="0">
      <dxf/>
    </rfmt>
    <rfmt sheetId="6" sqref="B1" start="0" length="0">
      <dxf>
        <numFmt numFmtId="167" formatCode="#,##0.0"/>
      </dxf>
    </rfmt>
    <rfmt sheetId="6" sqref="C1" start="0" length="0">
      <dxf>
        <numFmt numFmtId="167" formatCode="#,##0.0"/>
      </dxf>
    </rfmt>
    <rfmt sheetId="6" sqref="D1" start="0" length="0">
      <dxf>
        <numFmt numFmtId="167" formatCode="#,##0.0"/>
      </dxf>
    </rfmt>
    <rfmt sheetId="6" s="1" sqref="E1" start="0" length="0">
      <dxf>
        <numFmt numFmtId="13" formatCode="0%"/>
      </dxf>
    </rfmt>
    <rfmt sheetId="6" sqref="F1" start="0" length="0">
      <dxf>
        <numFmt numFmtId="167" formatCode="#,##0.0"/>
      </dxf>
    </rfmt>
    <rfmt sheetId="6" s="1" sqref="H1" start="0" length="0">
      <dxf>
        <numFmt numFmtId="13" formatCode="0%"/>
      </dxf>
    </rfmt>
  </rrc>
  <rrc rId="35908" sId="6" ref="A1:XFD1" action="deleteRow">
    <undo index="2" exp="area" ref3D="1" dr="$A$98:$XFD$112" dn="Z_78CA186D_B240_44D5_8A24_D241DE0B0FD9_.wvu.Rows" sId="6"/>
    <undo index="2" exp="area" ref3D="1" dr="$A$98:$XFD$112" dn="Z_F784130D_F647_4ABA_8943_C79CA5B0FDC4_.wvu.Rows" sId="6"/>
    <undo index="2" exp="area" ref3D="1" dr="$A$98:$XFD$112" dn="Z_E44F5FE1_54FC_4AB3_84F9_7D65ACF2DDE7_.wvu.Rows" sId="6"/>
    <undo index="2" exp="area" ref3D="1" dr="$A$98:$XFD$112" dn="Z_AEFEB150_9213_45F5_A178_7AC71E46DB11_.wvu.Rows" sId="6"/>
    <undo index="2" exp="area" ref3D="1" dr="$A$98:$XFD$112" dn="Z_9D4F0482_B164_4671_805A_E0D2D4DD4720_.wvu.Rows" sId="6"/>
    <undo index="2" exp="area" ref3D="1" dr="$A$98:$XFD$112" dn="Z_94DA13B6_7351_40F3_8CF7_A4211EC439DA_.wvu.Rows" sId="6"/>
    <undo index="2" exp="area" ref3D="1" dr="$A$98:$XFD$112" dn="Z_8F508F4D_4777_42BE_9707_8CB9355F7BDB_.wvu.Rows" sId="6"/>
    <undo index="2" exp="area" ref3D="1" dr="$A$98:$XFD$112" dn="Z_567C3053_2D8E_4705_8DC7_18896C5303CA_.wvu.Rows" sId="6"/>
    <undo index="2" exp="area" ref3D="1" dr="$A$98:$XFD$112" dn="Z_455630F5_40FC_47DB_8AD4_712C20B8FB91_.wvu.Rows" sId="6"/>
    <undo index="2" exp="area" ref3D="1" dr="$A$98:$XFD$112" dn="Z_1E5198E1_BA46_4CE0_8628_4F695B0D7A3B_.wvu.Rows" sId="6"/>
    <rfmt sheetId="6" xfDxf="1" sqref="A1:XFD1" start="0" length="0">
      <dxf>
        <font>
          <b/>
        </font>
      </dxf>
    </rfmt>
    <rfmt sheetId="6" sqref="A1" start="0" length="0">
      <dxf>
        <font>
          <b val="0"/>
          <i/>
        </font>
      </dxf>
    </rfmt>
    <rfmt sheetId="6" sqref="B1" start="0" length="0">
      <dxf>
        <numFmt numFmtId="167" formatCode="#,##0.0"/>
      </dxf>
    </rfmt>
    <rfmt sheetId="6" sqref="C1" start="0" length="0">
      <dxf>
        <numFmt numFmtId="167" formatCode="#,##0.0"/>
      </dxf>
    </rfmt>
    <rfmt sheetId="6" sqref="D1" start="0" length="0">
      <dxf>
        <numFmt numFmtId="167" formatCode="#,##0.0"/>
      </dxf>
    </rfmt>
    <rfmt sheetId="6" s="1" sqref="E1" start="0" length="0">
      <dxf>
        <numFmt numFmtId="13" formatCode="0%"/>
      </dxf>
    </rfmt>
    <rfmt sheetId="6" sqref="F1" start="0" length="0">
      <dxf>
        <numFmt numFmtId="167" formatCode="#,##0.0"/>
      </dxf>
    </rfmt>
    <rfmt sheetId="6" s="1" sqref="H1" start="0" length="0">
      <dxf>
        <numFmt numFmtId="13" formatCode="0%"/>
      </dxf>
    </rfmt>
  </rrc>
  <rrc rId="35909" sId="6" ref="A1:XFD1" action="deleteRow">
    <undo index="2" exp="area" ref3D="1" dr="$A$97:$XFD$111" dn="Z_78CA186D_B240_44D5_8A24_D241DE0B0FD9_.wvu.Rows" sId="6"/>
    <undo index="2" exp="area" ref3D="1" dr="$A$97:$XFD$111" dn="Z_F784130D_F647_4ABA_8943_C79CA5B0FDC4_.wvu.Rows" sId="6"/>
    <undo index="2" exp="area" ref3D="1" dr="$A$97:$XFD$111" dn="Z_E44F5FE1_54FC_4AB3_84F9_7D65ACF2DDE7_.wvu.Rows" sId="6"/>
    <undo index="2" exp="area" ref3D="1" dr="$A$97:$XFD$111" dn="Z_AEFEB150_9213_45F5_A178_7AC71E46DB11_.wvu.Rows" sId="6"/>
    <undo index="2" exp="area" ref3D="1" dr="$A$97:$XFD$111" dn="Z_9D4F0482_B164_4671_805A_E0D2D4DD4720_.wvu.Rows" sId="6"/>
    <undo index="2" exp="area" ref3D="1" dr="$A$97:$XFD$111" dn="Z_94DA13B6_7351_40F3_8CF7_A4211EC439DA_.wvu.Rows" sId="6"/>
    <undo index="2" exp="area" ref3D="1" dr="$A$97:$XFD$111" dn="Z_8F508F4D_4777_42BE_9707_8CB9355F7BDB_.wvu.Rows" sId="6"/>
    <undo index="2" exp="area" ref3D="1" dr="$A$97:$XFD$111" dn="Z_567C3053_2D8E_4705_8DC7_18896C5303CA_.wvu.Rows" sId="6"/>
    <undo index="2" exp="area" ref3D="1" dr="$A$97:$XFD$111" dn="Z_455630F5_40FC_47DB_8AD4_712C20B8FB91_.wvu.Rows" sId="6"/>
    <undo index="2" exp="area" ref3D="1" dr="$A$97:$XFD$111" dn="Z_1E5198E1_BA46_4CE0_8628_4F695B0D7A3B_.wvu.Rows" sId="6"/>
    <rfmt sheetId="6" xfDxf="1" sqref="A1:XFD1" start="0" length="0">
      <dxf>
        <font>
          <b/>
        </font>
      </dxf>
    </rfmt>
    <rfmt sheetId="6" sqref="A1" start="0" length="0">
      <dxf>
        <font>
          <b val="0"/>
          <i/>
        </font>
      </dxf>
    </rfmt>
    <rfmt sheetId="6" sqref="B1" start="0" length="0">
      <dxf>
        <numFmt numFmtId="167" formatCode="#,##0.0"/>
      </dxf>
    </rfmt>
    <rfmt sheetId="6" sqref="C1" start="0" length="0">
      <dxf>
        <numFmt numFmtId="167" formatCode="#,##0.0"/>
      </dxf>
    </rfmt>
    <rfmt sheetId="6" sqref="D1" start="0" length="0">
      <dxf>
        <numFmt numFmtId="167" formatCode="#,##0.0"/>
      </dxf>
    </rfmt>
    <rfmt sheetId="6" s="1" sqref="E1" start="0" length="0">
      <dxf>
        <numFmt numFmtId="13" formatCode="0%"/>
      </dxf>
    </rfmt>
    <rfmt sheetId="6" sqref="F1" start="0" length="0">
      <dxf>
        <numFmt numFmtId="167" formatCode="#,##0.0"/>
      </dxf>
    </rfmt>
    <rfmt sheetId="6" s="1" sqref="H1" start="0" length="0">
      <dxf>
        <numFmt numFmtId="13" formatCode="0%"/>
      </dxf>
    </rfmt>
  </rrc>
  <rrc rId="35910" sId="6" ref="A1:XFD1" action="deleteRow">
    <undo index="2" exp="area" ref3D="1" dr="$A$96:$XFD$110" dn="Z_78CA186D_B240_44D5_8A24_D241DE0B0FD9_.wvu.Rows" sId="6"/>
    <undo index="2" exp="area" ref3D="1" dr="$A$96:$XFD$110" dn="Z_F784130D_F647_4ABA_8943_C79CA5B0FDC4_.wvu.Rows" sId="6"/>
    <undo index="2" exp="area" ref3D="1" dr="$A$96:$XFD$110" dn="Z_E44F5FE1_54FC_4AB3_84F9_7D65ACF2DDE7_.wvu.Rows" sId="6"/>
    <undo index="2" exp="area" ref3D="1" dr="$A$96:$XFD$110" dn="Z_AEFEB150_9213_45F5_A178_7AC71E46DB11_.wvu.Rows" sId="6"/>
    <undo index="2" exp="area" ref3D="1" dr="$A$96:$XFD$110" dn="Z_9D4F0482_B164_4671_805A_E0D2D4DD4720_.wvu.Rows" sId="6"/>
    <undo index="2" exp="area" ref3D="1" dr="$A$96:$XFD$110" dn="Z_94DA13B6_7351_40F3_8CF7_A4211EC439DA_.wvu.Rows" sId="6"/>
    <undo index="2" exp="area" ref3D="1" dr="$A$96:$XFD$110" dn="Z_8F508F4D_4777_42BE_9707_8CB9355F7BDB_.wvu.Rows" sId="6"/>
    <undo index="2" exp="area" ref3D="1" dr="$A$96:$XFD$110" dn="Z_567C3053_2D8E_4705_8DC7_18896C5303CA_.wvu.Rows" sId="6"/>
    <undo index="2" exp="area" ref3D="1" dr="$A$96:$XFD$110" dn="Z_455630F5_40FC_47DB_8AD4_712C20B8FB91_.wvu.Rows" sId="6"/>
    <undo index="2" exp="area" ref3D="1" dr="$A$96:$XFD$110" dn="Z_1E5198E1_BA46_4CE0_8628_4F695B0D7A3B_.wvu.Rows" sId="6"/>
    <rfmt sheetId="6" xfDxf="1" sqref="A1:XFD1" start="0" length="0">
      <dxf>
        <font>
          <b/>
        </font>
      </dxf>
    </rfmt>
    <rfmt sheetId="6" sqref="A1" start="0" length="0">
      <dxf>
        <font>
          <b val="0"/>
          <i/>
        </font>
      </dxf>
    </rfmt>
    <rfmt sheetId="6" sqref="B1" start="0" length="0">
      <dxf>
        <numFmt numFmtId="167" formatCode="#,##0.0"/>
      </dxf>
    </rfmt>
    <rfmt sheetId="6" sqref="C1" start="0" length="0">
      <dxf>
        <numFmt numFmtId="167" formatCode="#,##0.0"/>
      </dxf>
    </rfmt>
    <rfmt sheetId="6" sqref="D1" start="0" length="0">
      <dxf>
        <numFmt numFmtId="167" formatCode="#,##0.0"/>
      </dxf>
    </rfmt>
    <rfmt sheetId="6" s="1" sqref="E1" start="0" length="0">
      <dxf>
        <numFmt numFmtId="13" formatCode="0%"/>
      </dxf>
    </rfmt>
    <rfmt sheetId="6" sqref="F1" start="0" length="0">
      <dxf>
        <numFmt numFmtId="167" formatCode="#,##0.0"/>
      </dxf>
    </rfmt>
    <rfmt sheetId="6" s="1" sqref="H1" start="0" length="0">
      <dxf>
        <numFmt numFmtId="13" formatCode="0%"/>
      </dxf>
    </rfmt>
  </rrc>
  <rrc rId="35911" sId="6" ref="A1:XFD1" action="deleteRow">
    <undo index="2" exp="area" ref3D="1" dr="$A$95:$XFD$109" dn="Z_78CA186D_B240_44D5_8A24_D241DE0B0FD9_.wvu.Rows" sId="6"/>
    <undo index="2" exp="area" ref3D="1" dr="$A$95:$XFD$109" dn="Z_F784130D_F647_4ABA_8943_C79CA5B0FDC4_.wvu.Rows" sId="6"/>
    <undo index="2" exp="area" ref3D="1" dr="$A$95:$XFD$109" dn="Z_E44F5FE1_54FC_4AB3_84F9_7D65ACF2DDE7_.wvu.Rows" sId="6"/>
    <undo index="2" exp="area" ref3D="1" dr="$A$95:$XFD$109" dn="Z_AEFEB150_9213_45F5_A178_7AC71E46DB11_.wvu.Rows" sId="6"/>
    <undo index="2" exp="area" ref3D="1" dr="$A$95:$XFD$109" dn="Z_9D4F0482_B164_4671_805A_E0D2D4DD4720_.wvu.Rows" sId="6"/>
    <undo index="2" exp="area" ref3D="1" dr="$A$95:$XFD$109" dn="Z_94DA13B6_7351_40F3_8CF7_A4211EC439DA_.wvu.Rows" sId="6"/>
    <undo index="2" exp="area" ref3D="1" dr="$A$95:$XFD$109" dn="Z_8F508F4D_4777_42BE_9707_8CB9355F7BDB_.wvu.Rows" sId="6"/>
    <undo index="2" exp="area" ref3D="1" dr="$A$95:$XFD$109" dn="Z_567C3053_2D8E_4705_8DC7_18896C5303CA_.wvu.Rows" sId="6"/>
    <undo index="2" exp="area" ref3D="1" dr="$A$95:$XFD$109" dn="Z_455630F5_40FC_47DB_8AD4_712C20B8FB91_.wvu.Rows" sId="6"/>
    <undo index="2" exp="area" ref3D="1" dr="$A$95:$XFD$109" dn="Z_1E5198E1_BA46_4CE0_8628_4F695B0D7A3B_.wvu.Rows" sId="6"/>
    <rfmt sheetId="6" xfDxf="1" sqref="A1:XFD1" start="0" length="0">
      <dxf>
        <font>
          <b/>
        </font>
      </dxf>
    </rfmt>
    <rfmt sheetId="6" sqref="A1" start="0" length="0">
      <dxf>
        <font>
          <b val="0"/>
          <i/>
        </font>
      </dxf>
    </rfmt>
    <rfmt sheetId="6" sqref="B1" start="0" length="0">
      <dxf>
        <numFmt numFmtId="167" formatCode="#,##0.0"/>
      </dxf>
    </rfmt>
    <rfmt sheetId="6" sqref="C1" start="0" length="0">
      <dxf>
        <numFmt numFmtId="167" formatCode="#,##0.0"/>
      </dxf>
    </rfmt>
    <rfmt sheetId="6" sqref="D1" start="0" length="0">
      <dxf>
        <numFmt numFmtId="167" formatCode="#,##0.0"/>
      </dxf>
    </rfmt>
    <rfmt sheetId="6" s="1" sqref="E1" start="0" length="0">
      <dxf>
        <numFmt numFmtId="13" formatCode="0%"/>
      </dxf>
    </rfmt>
    <rfmt sheetId="6" sqref="F1" start="0" length="0">
      <dxf>
        <numFmt numFmtId="167" formatCode="#,##0.0"/>
      </dxf>
    </rfmt>
    <rfmt sheetId="6" s="1" sqref="H1" start="0" length="0">
      <dxf>
        <numFmt numFmtId="13" formatCode="0%"/>
      </dxf>
    </rfmt>
  </rrc>
  <rrc rId="35912" sId="6" ref="A1:XFD1" action="deleteRow">
    <undo index="2" exp="area" ref3D="1" dr="$A$94:$XFD$108" dn="Z_78CA186D_B240_44D5_8A24_D241DE0B0FD9_.wvu.Rows" sId="6"/>
    <undo index="2" exp="area" ref3D="1" dr="$A$94:$XFD$108" dn="Z_F784130D_F647_4ABA_8943_C79CA5B0FDC4_.wvu.Rows" sId="6"/>
    <undo index="2" exp="area" ref3D="1" dr="$A$94:$XFD$108" dn="Z_E44F5FE1_54FC_4AB3_84F9_7D65ACF2DDE7_.wvu.Rows" sId="6"/>
    <undo index="2" exp="area" ref3D="1" dr="$A$94:$XFD$108" dn="Z_AEFEB150_9213_45F5_A178_7AC71E46DB11_.wvu.Rows" sId="6"/>
    <undo index="2" exp="area" ref3D="1" dr="$A$94:$XFD$108" dn="Z_9D4F0482_B164_4671_805A_E0D2D4DD4720_.wvu.Rows" sId="6"/>
    <undo index="2" exp="area" ref3D="1" dr="$A$94:$XFD$108" dn="Z_94DA13B6_7351_40F3_8CF7_A4211EC439DA_.wvu.Rows" sId="6"/>
    <undo index="2" exp="area" ref3D="1" dr="$A$94:$XFD$108" dn="Z_8F508F4D_4777_42BE_9707_8CB9355F7BDB_.wvu.Rows" sId="6"/>
    <undo index="2" exp="area" ref3D="1" dr="$A$94:$XFD$108" dn="Z_567C3053_2D8E_4705_8DC7_18896C5303CA_.wvu.Rows" sId="6"/>
    <undo index="2" exp="area" ref3D="1" dr="$A$94:$XFD$108" dn="Z_455630F5_40FC_47DB_8AD4_712C20B8FB91_.wvu.Rows" sId="6"/>
    <undo index="2" exp="area" ref3D="1" dr="$A$94:$XFD$108" dn="Z_1E5198E1_BA46_4CE0_8628_4F695B0D7A3B_.wvu.Rows" sId="6"/>
    <rfmt sheetId="6" xfDxf="1" sqref="A1:XFD1" start="0" length="0">
      <dxf>
        <font>
          <b/>
        </font>
      </dxf>
    </rfmt>
    <rfmt sheetId="6" sqref="A1" start="0" length="0">
      <dxf>
        <font>
          <b val="0"/>
          <i/>
        </font>
      </dxf>
    </rfmt>
    <rfmt sheetId="6" sqref="B1" start="0" length="0">
      <dxf>
        <numFmt numFmtId="167" formatCode="#,##0.0"/>
      </dxf>
    </rfmt>
    <rfmt sheetId="6" sqref="C1" start="0" length="0">
      <dxf>
        <numFmt numFmtId="167" formatCode="#,##0.0"/>
      </dxf>
    </rfmt>
    <rfmt sheetId="6" sqref="D1" start="0" length="0">
      <dxf>
        <numFmt numFmtId="167" formatCode="#,##0.0"/>
      </dxf>
    </rfmt>
    <rfmt sheetId="6" s="1" sqref="E1" start="0" length="0">
      <dxf>
        <numFmt numFmtId="13" formatCode="0%"/>
      </dxf>
    </rfmt>
    <rfmt sheetId="6" sqref="F1" start="0" length="0">
      <dxf>
        <numFmt numFmtId="167" formatCode="#,##0.0"/>
      </dxf>
    </rfmt>
    <rfmt sheetId="6" s="1" sqref="H1" start="0" length="0">
      <dxf>
        <numFmt numFmtId="13" formatCode="0%"/>
      </dxf>
    </rfmt>
  </rrc>
  <rrc rId="35913" sId="6" ref="A1:XFD1" action="deleteRow">
    <undo index="2" exp="area" ref3D="1" dr="$A$93:$XFD$107" dn="Z_78CA186D_B240_44D5_8A24_D241DE0B0FD9_.wvu.Rows" sId="6"/>
    <undo index="2" exp="area" ref3D="1" dr="$A$93:$XFD$107" dn="Z_F784130D_F647_4ABA_8943_C79CA5B0FDC4_.wvu.Rows" sId="6"/>
    <undo index="2" exp="area" ref3D="1" dr="$A$93:$XFD$107" dn="Z_E44F5FE1_54FC_4AB3_84F9_7D65ACF2DDE7_.wvu.Rows" sId="6"/>
    <undo index="2" exp="area" ref3D="1" dr="$A$93:$XFD$107" dn="Z_AEFEB150_9213_45F5_A178_7AC71E46DB11_.wvu.Rows" sId="6"/>
    <undo index="2" exp="area" ref3D="1" dr="$A$93:$XFD$107" dn="Z_9D4F0482_B164_4671_805A_E0D2D4DD4720_.wvu.Rows" sId="6"/>
    <undo index="2" exp="area" ref3D="1" dr="$A$93:$XFD$107" dn="Z_94DA13B6_7351_40F3_8CF7_A4211EC439DA_.wvu.Rows" sId="6"/>
    <undo index="2" exp="area" ref3D="1" dr="$A$93:$XFD$107" dn="Z_8F508F4D_4777_42BE_9707_8CB9355F7BDB_.wvu.Rows" sId="6"/>
    <undo index="2" exp="area" ref3D="1" dr="$A$93:$XFD$107" dn="Z_567C3053_2D8E_4705_8DC7_18896C5303CA_.wvu.Rows" sId="6"/>
    <undo index="2" exp="area" ref3D="1" dr="$A$93:$XFD$107" dn="Z_455630F5_40FC_47DB_8AD4_712C20B8FB91_.wvu.Rows" sId="6"/>
    <undo index="2" exp="area" ref3D="1" dr="$A$93:$XFD$107" dn="Z_1E5198E1_BA46_4CE0_8628_4F695B0D7A3B_.wvu.Rows" sId="6"/>
    <rfmt sheetId="6" xfDxf="1" sqref="A1:XFD1" start="0" length="0">
      <dxf>
        <font/>
      </dxf>
    </rfmt>
    <rfmt sheetId="6" sqref="A1" start="0" length="0">
      <dxf>
        <font>
          <i/>
        </font>
      </dxf>
    </rfmt>
    <rfmt sheetId="6" sqref="B1" start="0" length="0">
      <dxf>
        <numFmt numFmtId="167" formatCode="#,##0.0"/>
      </dxf>
    </rfmt>
    <rfmt sheetId="6" sqref="C1" start="0" length="0">
      <dxf>
        <numFmt numFmtId="167" formatCode="#,##0.0"/>
      </dxf>
    </rfmt>
    <rfmt sheetId="6" sqref="D1" start="0" length="0">
      <dxf>
        <numFmt numFmtId="167" formatCode="#,##0.0"/>
      </dxf>
    </rfmt>
    <rfmt sheetId="6" s="1" sqref="E1" start="0" length="0">
      <dxf>
        <numFmt numFmtId="13" formatCode="0%"/>
      </dxf>
    </rfmt>
    <rfmt sheetId="6" sqref="F1" start="0" length="0">
      <dxf>
        <numFmt numFmtId="167" formatCode="#,##0.0"/>
      </dxf>
    </rfmt>
    <rfmt sheetId="6" s="1" sqref="H1" start="0" length="0">
      <dxf>
        <numFmt numFmtId="13" formatCode="0%"/>
      </dxf>
    </rfmt>
  </rrc>
  <rrc rId="35914" sId="6" ref="A1:XFD1" action="deleteRow">
    <undo index="2" exp="area" ref3D="1" dr="$A$92:$XFD$106" dn="Z_78CA186D_B240_44D5_8A24_D241DE0B0FD9_.wvu.Rows" sId="6"/>
    <undo index="2" exp="area" ref3D="1" dr="$A$92:$XFD$106" dn="Z_F784130D_F647_4ABA_8943_C79CA5B0FDC4_.wvu.Rows" sId="6"/>
    <undo index="2" exp="area" ref3D="1" dr="$A$92:$XFD$106" dn="Z_E44F5FE1_54FC_4AB3_84F9_7D65ACF2DDE7_.wvu.Rows" sId="6"/>
    <undo index="2" exp="area" ref3D="1" dr="$A$92:$XFD$106" dn="Z_AEFEB150_9213_45F5_A178_7AC71E46DB11_.wvu.Rows" sId="6"/>
    <undo index="2" exp="area" ref3D="1" dr="$A$92:$XFD$106" dn="Z_9D4F0482_B164_4671_805A_E0D2D4DD4720_.wvu.Rows" sId="6"/>
    <undo index="2" exp="area" ref3D="1" dr="$A$92:$XFD$106" dn="Z_94DA13B6_7351_40F3_8CF7_A4211EC439DA_.wvu.Rows" sId="6"/>
    <undo index="2" exp="area" ref3D="1" dr="$A$92:$XFD$106" dn="Z_8F508F4D_4777_42BE_9707_8CB9355F7BDB_.wvu.Rows" sId="6"/>
    <undo index="2" exp="area" ref3D="1" dr="$A$92:$XFD$106" dn="Z_567C3053_2D8E_4705_8DC7_18896C5303CA_.wvu.Rows" sId="6"/>
    <undo index="2" exp="area" ref3D="1" dr="$A$92:$XFD$106" dn="Z_455630F5_40FC_47DB_8AD4_712C20B8FB91_.wvu.Rows" sId="6"/>
    <undo index="2" exp="area" ref3D="1" dr="$A$92:$XFD$106" dn="Z_1E5198E1_BA46_4CE0_8628_4F695B0D7A3B_.wvu.Rows" sId="6"/>
    <rfmt sheetId="6" xfDxf="1" sqref="A1:XFD1" start="0" length="0">
      <dxf>
        <font/>
        <fill>
          <patternFill patternType="solid">
            <bgColor theme="0" tint="-0.249977111117893"/>
          </patternFill>
        </fill>
      </dxf>
    </rfmt>
    <rfmt sheetId="6" sqref="A1" start="0" length="0">
      <dxf>
        <font>
          <b/>
        </font>
      </dxf>
    </rfmt>
    <rfmt sheetId="6" sqref="B1" start="0" length="0">
      <dxf>
        <numFmt numFmtId="167" formatCode="#,##0.0"/>
      </dxf>
    </rfmt>
    <rfmt sheetId="6" sqref="C1" start="0" length="0">
      <dxf>
        <numFmt numFmtId="167" formatCode="#,##0.0"/>
      </dxf>
    </rfmt>
    <rfmt sheetId="6" sqref="D1" start="0" length="0">
      <dxf>
        <numFmt numFmtId="167" formatCode="#,##0.0"/>
      </dxf>
    </rfmt>
    <rfmt sheetId="6" s="1" sqref="E1" start="0" length="0">
      <dxf>
        <numFmt numFmtId="13" formatCode="0%"/>
      </dxf>
    </rfmt>
    <rfmt sheetId="6" sqref="F1" start="0" length="0">
      <dxf>
        <numFmt numFmtId="167" formatCode="#,##0.0"/>
      </dxf>
    </rfmt>
    <rfmt sheetId="6" s="1" sqref="H1" start="0" length="0">
      <dxf>
        <numFmt numFmtId="13" formatCode="0%"/>
      </dxf>
    </rfmt>
  </rrc>
  <rrc rId="35915" sId="6" ref="A1:XFD1" action="deleteRow">
    <undo index="2" exp="area" ref3D="1" dr="$A$91:$XFD$105" dn="Z_78CA186D_B240_44D5_8A24_D241DE0B0FD9_.wvu.Rows" sId="6"/>
    <undo index="2" exp="area" ref3D="1" dr="$A$91:$XFD$105" dn="Z_F784130D_F647_4ABA_8943_C79CA5B0FDC4_.wvu.Rows" sId="6"/>
    <undo index="2" exp="area" ref3D="1" dr="$A$91:$XFD$105" dn="Z_E44F5FE1_54FC_4AB3_84F9_7D65ACF2DDE7_.wvu.Rows" sId="6"/>
    <undo index="2" exp="area" ref3D="1" dr="$A$91:$XFD$105" dn="Z_AEFEB150_9213_45F5_A178_7AC71E46DB11_.wvu.Rows" sId="6"/>
    <undo index="2" exp="area" ref3D="1" dr="$A$91:$XFD$105" dn="Z_9D4F0482_B164_4671_805A_E0D2D4DD4720_.wvu.Rows" sId="6"/>
    <undo index="2" exp="area" ref3D="1" dr="$A$91:$XFD$105" dn="Z_94DA13B6_7351_40F3_8CF7_A4211EC439DA_.wvu.Rows" sId="6"/>
    <undo index="2" exp="area" ref3D="1" dr="$A$91:$XFD$105" dn="Z_8F508F4D_4777_42BE_9707_8CB9355F7BDB_.wvu.Rows" sId="6"/>
    <undo index="2" exp="area" ref3D="1" dr="$A$91:$XFD$105" dn="Z_567C3053_2D8E_4705_8DC7_18896C5303CA_.wvu.Rows" sId="6"/>
    <undo index="2" exp="area" ref3D="1" dr="$A$91:$XFD$105" dn="Z_455630F5_40FC_47DB_8AD4_712C20B8FB91_.wvu.Rows" sId="6"/>
    <undo index="2" exp="area" ref3D="1" dr="$A$91:$XFD$105" dn="Z_1E5198E1_BA46_4CE0_8628_4F695B0D7A3B_.wvu.Rows" sId="6"/>
    <rfmt sheetId="6" xfDxf="1" sqref="A1:XFD1" start="0" length="0">
      <dxf>
        <font/>
      </dxf>
    </rfmt>
    <rfmt sheetId="6" sqref="A1" start="0" length="0">
      <dxf>
        <border outline="0">
          <left style="medium">
            <color indexed="64"/>
          </left>
        </border>
      </dxf>
    </rfmt>
    <rfmt sheetId="6" sqref="B1" start="0" length="0">
      <dxf>
        <numFmt numFmtId="167" formatCode="#,##0.0"/>
      </dxf>
    </rfmt>
    <rfmt sheetId="6" sqref="C1" start="0" length="0">
      <dxf>
        <numFmt numFmtId="167" formatCode="#,##0.0"/>
      </dxf>
    </rfmt>
    <rfmt sheetId="6" sqref="D1" start="0" length="0">
      <dxf>
        <numFmt numFmtId="167" formatCode="#,##0.0"/>
      </dxf>
    </rfmt>
    <rfmt sheetId="6" s="1" sqref="E1" start="0" length="0">
      <dxf>
        <numFmt numFmtId="13" formatCode="0%"/>
      </dxf>
    </rfmt>
    <rfmt sheetId="6" sqref="F1" start="0" length="0">
      <dxf>
        <numFmt numFmtId="167" formatCode="#,##0.0"/>
      </dxf>
    </rfmt>
    <rfmt sheetId="6" sqref="G1" start="0" length="0">
      <dxf>
        <numFmt numFmtId="167" formatCode="#,##0.0"/>
      </dxf>
    </rfmt>
    <rfmt sheetId="6" s="1" sqref="H1" start="0" length="0">
      <dxf>
        <numFmt numFmtId="13" formatCode="0%"/>
      </dxf>
    </rfmt>
  </rrc>
  <rrc rId="35916" sId="6" ref="A1:XFD1" action="deleteRow">
    <undo index="2" exp="area" ref3D="1" dr="$A$90:$XFD$104" dn="Z_78CA186D_B240_44D5_8A24_D241DE0B0FD9_.wvu.Rows" sId="6"/>
    <undo index="2" exp="area" ref3D="1" dr="$A$90:$XFD$104" dn="Z_F784130D_F647_4ABA_8943_C79CA5B0FDC4_.wvu.Rows" sId="6"/>
    <undo index="2" exp="area" ref3D="1" dr="$A$90:$XFD$104" dn="Z_E44F5FE1_54FC_4AB3_84F9_7D65ACF2DDE7_.wvu.Rows" sId="6"/>
    <undo index="2" exp="area" ref3D="1" dr="$A$90:$XFD$104" dn="Z_AEFEB150_9213_45F5_A178_7AC71E46DB11_.wvu.Rows" sId="6"/>
    <undo index="2" exp="area" ref3D="1" dr="$A$90:$XFD$104" dn="Z_9D4F0482_B164_4671_805A_E0D2D4DD4720_.wvu.Rows" sId="6"/>
    <undo index="2" exp="area" ref3D="1" dr="$A$90:$XFD$104" dn="Z_94DA13B6_7351_40F3_8CF7_A4211EC439DA_.wvu.Rows" sId="6"/>
    <undo index="2" exp="area" ref3D="1" dr="$A$90:$XFD$104" dn="Z_8F508F4D_4777_42BE_9707_8CB9355F7BDB_.wvu.Rows" sId="6"/>
    <undo index="2" exp="area" ref3D="1" dr="$A$90:$XFD$104" dn="Z_567C3053_2D8E_4705_8DC7_18896C5303CA_.wvu.Rows" sId="6"/>
    <undo index="2" exp="area" ref3D="1" dr="$A$90:$XFD$104" dn="Z_455630F5_40FC_47DB_8AD4_712C20B8FB91_.wvu.Rows" sId="6"/>
    <undo index="2" exp="area" ref3D="1" dr="$A$90:$XFD$104" dn="Z_1E5198E1_BA46_4CE0_8628_4F695B0D7A3B_.wvu.Rows" sId="6"/>
    <rfmt sheetId="6" xfDxf="1" sqref="A1:XFD1" start="0" length="0">
      <dxf>
        <font/>
      </dxf>
    </rfmt>
    <rfmt sheetId="6" sqref="A1" start="0" length="0">
      <dxf>
        <border outline="0">
          <left style="medium">
            <color indexed="64"/>
          </left>
        </border>
      </dxf>
    </rfmt>
    <rfmt sheetId="6" sqref="B1" start="0" length="0">
      <dxf>
        <numFmt numFmtId="167" formatCode="#,##0.0"/>
      </dxf>
    </rfmt>
    <rfmt sheetId="6" sqref="C1" start="0" length="0">
      <dxf>
        <numFmt numFmtId="167" formatCode="#,##0.0"/>
      </dxf>
    </rfmt>
    <rfmt sheetId="6" sqref="D1" start="0" length="0">
      <dxf>
        <numFmt numFmtId="167" formatCode="#,##0.0"/>
      </dxf>
    </rfmt>
    <rfmt sheetId="6" s="1" sqref="E1" start="0" length="0">
      <dxf>
        <numFmt numFmtId="13" formatCode="0%"/>
      </dxf>
    </rfmt>
    <rfmt sheetId="6" sqref="F1" start="0" length="0">
      <dxf>
        <numFmt numFmtId="167" formatCode="#,##0.0"/>
      </dxf>
    </rfmt>
    <rfmt sheetId="6" sqref="G1" start="0" length="0">
      <dxf>
        <numFmt numFmtId="167" formatCode="#,##0.0"/>
      </dxf>
    </rfmt>
    <rfmt sheetId="6" s="1" sqref="H1" start="0" length="0">
      <dxf>
        <numFmt numFmtId="13" formatCode="0%"/>
      </dxf>
    </rfmt>
  </rrc>
  <rrc rId="35917" sId="6" ref="A1:XFD1" action="deleteRow">
    <undo index="2" exp="area" ref3D="1" dr="$A$89:$XFD$103" dn="Z_78CA186D_B240_44D5_8A24_D241DE0B0FD9_.wvu.Rows" sId="6"/>
    <undo index="2" exp="area" ref3D="1" dr="$A$89:$XFD$103" dn="Z_F784130D_F647_4ABA_8943_C79CA5B0FDC4_.wvu.Rows" sId="6"/>
    <undo index="2" exp="area" ref3D="1" dr="$A$89:$XFD$103" dn="Z_E44F5FE1_54FC_4AB3_84F9_7D65ACF2DDE7_.wvu.Rows" sId="6"/>
    <undo index="2" exp="area" ref3D="1" dr="$A$89:$XFD$103" dn="Z_AEFEB150_9213_45F5_A178_7AC71E46DB11_.wvu.Rows" sId="6"/>
    <undo index="2" exp="area" ref3D="1" dr="$A$89:$XFD$103" dn="Z_9D4F0482_B164_4671_805A_E0D2D4DD4720_.wvu.Rows" sId="6"/>
    <undo index="2" exp="area" ref3D="1" dr="$A$89:$XFD$103" dn="Z_94DA13B6_7351_40F3_8CF7_A4211EC439DA_.wvu.Rows" sId="6"/>
    <undo index="2" exp="area" ref3D="1" dr="$A$89:$XFD$103" dn="Z_8F508F4D_4777_42BE_9707_8CB9355F7BDB_.wvu.Rows" sId="6"/>
    <undo index="2" exp="area" ref3D="1" dr="$A$89:$XFD$103" dn="Z_567C3053_2D8E_4705_8DC7_18896C5303CA_.wvu.Rows" sId="6"/>
    <undo index="2" exp="area" ref3D="1" dr="$A$89:$XFD$103" dn="Z_455630F5_40FC_47DB_8AD4_712C20B8FB91_.wvu.Rows" sId="6"/>
    <undo index="2" exp="area" ref3D="1" dr="$A$89:$XFD$103" dn="Z_1E5198E1_BA46_4CE0_8628_4F695B0D7A3B_.wvu.Rows" sId="6"/>
    <rfmt sheetId="6" xfDxf="1" sqref="A1:XFD1" start="0" length="0">
      <dxf>
        <font/>
      </dxf>
    </rfmt>
    <rfmt sheetId="6" sqref="A1" start="0" length="0">
      <dxf>
        <border outline="0">
          <left style="medium">
            <color indexed="64"/>
          </left>
        </border>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numFmt numFmtId="164" formatCode="0.0%"/>
        <alignment horizontal="right" vertical="top" readingOrder="0"/>
      </dxf>
    </rfmt>
    <rfmt sheetId="6" sqref="F1" start="0" length="0">
      <dxf>
        <numFmt numFmtId="167" formatCode="#,##0.0"/>
      </dxf>
    </rfmt>
    <rfmt sheetId="6" sqref="G1" start="0" length="0">
      <dxf>
        <numFmt numFmtId="167" formatCode="#,##0.0"/>
      </dxf>
    </rfmt>
    <rfmt sheetId="6" sqref="H1" start="0" length="0">
      <dxf>
        <numFmt numFmtId="164" formatCode="0.0%"/>
        <alignment horizontal="right" vertical="top" readingOrder="0"/>
      </dxf>
    </rfmt>
  </rrc>
  <rrc rId="35918" sId="6" ref="A1:XFD1" action="deleteRow">
    <undo index="2" exp="area" ref3D="1" dr="$A$88:$XFD$102" dn="Z_78CA186D_B240_44D5_8A24_D241DE0B0FD9_.wvu.Rows" sId="6"/>
    <undo index="2" exp="area" ref3D="1" dr="$A$88:$XFD$102" dn="Z_F784130D_F647_4ABA_8943_C79CA5B0FDC4_.wvu.Rows" sId="6"/>
    <undo index="2" exp="area" ref3D="1" dr="$A$88:$XFD$102" dn="Z_E44F5FE1_54FC_4AB3_84F9_7D65ACF2DDE7_.wvu.Rows" sId="6"/>
    <undo index="2" exp="area" ref3D="1" dr="$A$88:$XFD$102" dn="Z_AEFEB150_9213_45F5_A178_7AC71E46DB11_.wvu.Rows" sId="6"/>
    <undo index="2" exp="area" ref3D="1" dr="$A$88:$XFD$102" dn="Z_9D4F0482_B164_4671_805A_E0D2D4DD4720_.wvu.Rows" sId="6"/>
    <undo index="2" exp="area" ref3D="1" dr="$A$88:$XFD$102" dn="Z_94DA13B6_7351_40F3_8CF7_A4211EC439DA_.wvu.Rows" sId="6"/>
    <undo index="2" exp="area" ref3D="1" dr="$A$88:$XFD$102" dn="Z_8F508F4D_4777_42BE_9707_8CB9355F7BDB_.wvu.Rows" sId="6"/>
    <undo index="2" exp="area" ref3D="1" dr="$A$88:$XFD$102" dn="Z_567C3053_2D8E_4705_8DC7_18896C5303CA_.wvu.Rows" sId="6"/>
    <undo index="2" exp="area" ref3D="1" dr="$A$88:$XFD$102" dn="Z_455630F5_40FC_47DB_8AD4_712C20B8FB91_.wvu.Rows" sId="6"/>
    <undo index="2" exp="area" ref3D="1" dr="$A$88:$XFD$102" dn="Z_1E5198E1_BA46_4CE0_8628_4F695B0D7A3B_.wvu.Rows" sId="6"/>
    <rfmt sheetId="6" xfDxf="1" sqref="A1:XFD1" start="0" length="0">
      <dxf>
        <font/>
      </dxf>
    </rfmt>
    <rfmt sheetId="6" sqref="A1" start="0" length="0">
      <dxf>
        <border outline="0">
          <left style="medium">
            <color indexed="64"/>
          </left>
        </border>
      </dxf>
    </rfmt>
    <rfmt sheetId="6" sqref="B1" start="0" length="0">
      <dxf>
        <numFmt numFmtId="167" formatCode="#,##0.0"/>
      </dxf>
    </rfmt>
    <rfmt sheetId="6" sqref="C1" start="0" length="0">
      <dxf>
        <numFmt numFmtId="167" formatCode="#,##0.0"/>
      </dxf>
    </rfmt>
    <rfmt sheetId="6" sqref="D1" start="0" length="0">
      <dxf>
        <numFmt numFmtId="167" formatCode="#,##0.0"/>
      </dxf>
    </rfmt>
    <rfmt sheetId="6" s="1" sqref="E1" start="0" length="0">
      <dxf>
        <numFmt numFmtId="13" formatCode="0%"/>
      </dxf>
    </rfmt>
    <rfmt sheetId="6" sqref="F1" start="0" length="0">
      <dxf>
        <numFmt numFmtId="167" formatCode="#,##0.0"/>
      </dxf>
    </rfmt>
    <rfmt sheetId="6" sqref="G1" start="0" length="0">
      <dxf>
        <numFmt numFmtId="167" formatCode="#,##0.0"/>
      </dxf>
    </rfmt>
    <rfmt sheetId="6" s="1" sqref="H1" start="0" length="0">
      <dxf>
        <numFmt numFmtId="13" formatCode="0%"/>
      </dxf>
    </rfmt>
  </rrc>
  <rrc rId="35919" sId="6" ref="A1:XFD1" action="deleteRow">
    <undo index="2" exp="area" ref3D="1" dr="$A$87:$XFD$101" dn="Z_78CA186D_B240_44D5_8A24_D241DE0B0FD9_.wvu.Rows" sId="6"/>
    <undo index="2" exp="area" ref3D="1" dr="$A$87:$XFD$101" dn="Z_F784130D_F647_4ABA_8943_C79CA5B0FDC4_.wvu.Rows" sId="6"/>
    <undo index="2" exp="area" ref3D="1" dr="$A$87:$XFD$101" dn="Z_E44F5FE1_54FC_4AB3_84F9_7D65ACF2DDE7_.wvu.Rows" sId="6"/>
    <undo index="2" exp="area" ref3D="1" dr="$A$87:$XFD$101" dn="Z_AEFEB150_9213_45F5_A178_7AC71E46DB11_.wvu.Rows" sId="6"/>
    <undo index="2" exp="area" ref3D="1" dr="$A$87:$XFD$101" dn="Z_9D4F0482_B164_4671_805A_E0D2D4DD4720_.wvu.Rows" sId="6"/>
    <undo index="2" exp="area" ref3D="1" dr="$A$87:$XFD$101" dn="Z_94DA13B6_7351_40F3_8CF7_A4211EC439DA_.wvu.Rows" sId="6"/>
    <undo index="2" exp="area" ref3D="1" dr="$A$87:$XFD$101" dn="Z_8F508F4D_4777_42BE_9707_8CB9355F7BDB_.wvu.Rows" sId="6"/>
    <undo index="2" exp="area" ref3D="1" dr="$A$87:$XFD$101" dn="Z_567C3053_2D8E_4705_8DC7_18896C5303CA_.wvu.Rows" sId="6"/>
    <undo index="2" exp="area" ref3D="1" dr="$A$87:$XFD$101" dn="Z_455630F5_40FC_47DB_8AD4_712C20B8FB91_.wvu.Rows" sId="6"/>
    <undo index="2" exp="area" ref3D="1" dr="$A$87:$XFD$101" dn="Z_1E5198E1_BA46_4CE0_8628_4F695B0D7A3B_.wvu.Rows" sId="6"/>
    <rfmt sheetId="6" xfDxf="1" sqref="A1:XFD1" start="0" length="0">
      <dxf>
        <font/>
      </dxf>
    </rfmt>
    <rfmt sheetId="6" sqref="A1" start="0" length="0">
      <dxf>
        <border outline="0">
          <left style="medium">
            <color indexed="64"/>
          </left>
        </border>
      </dxf>
    </rfmt>
    <rfmt sheetId="6" sqref="B1" start="0" length="0">
      <dxf>
        <numFmt numFmtId="167" formatCode="#,##0.0"/>
      </dxf>
    </rfmt>
    <rfmt sheetId="6" sqref="C1" start="0" length="0">
      <dxf>
        <numFmt numFmtId="167" formatCode="#,##0.0"/>
      </dxf>
    </rfmt>
    <rfmt sheetId="6" sqref="D1" start="0" length="0">
      <dxf>
        <numFmt numFmtId="167" formatCode="#,##0.0"/>
      </dxf>
    </rfmt>
    <rfmt sheetId="6" s="1" sqref="E1" start="0" length="0">
      <dxf>
        <numFmt numFmtId="13" formatCode="0%"/>
      </dxf>
    </rfmt>
    <rfmt sheetId="6" sqref="F1" start="0" length="0">
      <dxf>
        <numFmt numFmtId="167" formatCode="#,##0.0"/>
      </dxf>
    </rfmt>
    <rfmt sheetId="6" sqref="G1" start="0" length="0">
      <dxf>
        <numFmt numFmtId="167" formatCode="#,##0.0"/>
      </dxf>
    </rfmt>
    <rfmt sheetId="6" s="1" sqref="H1" start="0" length="0">
      <dxf>
        <numFmt numFmtId="13" formatCode="0%"/>
      </dxf>
    </rfmt>
  </rrc>
  <rrc rId="35920" sId="6" ref="A1:XFD1" action="deleteRow">
    <undo index="2" exp="area" ref3D="1" dr="$A$86:$XFD$100" dn="Z_78CA186D_B240_44D5_8A24_D241DE0B0FD9_.wvu.Rows" sId="6"/>
    <undo index="2" exp="area" ref3D="1" dr="$A$86:$XFD$100" dn="Z_F784130D_F647_4ABA_8943_C79CA5B0FDC4_.wvu.Rows" sId="6"/>
    <undo index="2" exp="area" ref3D="1" dr="$A$86:$XFD$100" dn="Z_E44F5FE1_54FC_4AB3_84F9_7D65ACF2DDE7_.wvu.Rows" sId="6"/>
    <undo index="2" exp="area" ref3D="1" dr="$A$86:$XFD$100" dn="Z_AEFEB150_9213_45F5_A178_7AC71E46DB11_.wvu.Rows" sId="6"/>
    <undo index="2" exp="area" ref3D="1" dr="$A$86:$XFD$100" dn="Z_9D4F0482_B164_4671_805A_E0D2D4DD4720_.wvu.Rows" sId="6"/>
    <undo index="2" exp="area" ref3D="1" dr="$A$86:$XFD$100" dn="Z_94DA13B6_7351_40F3_8CF7_A4211EC439DA_.wvu.Rows" sId="6"/>
    <undo index="2" exp="area" ref3D="1" dr="$A$86:$XFD$100" dn="Z_8F508F4D_4777_42BE_9707_8CB9355F7BDB_.wvu.Rows" sId="6"/>
    <undo index="2" exp="area" ref3D="1" dr="$A$86:$XFD$100" dn="Z_567C3053_2D8E_4705_8DC7_18896C5303CA_.wvu.Rows" sId="6"/>
    <undo index="2" exp="area" ref3D="1" dr="$A$86:$XFD$100" dn="Z_455630F5_40FC_47DB_8AD4_712C20B8FB91_.wvu.Rows" sId="6"/>
    <undo index="2" exp="area" ref3D="1" dr="$A$86:$XFD$100" dn="Z_1E5198E1_BA46_4CE0_8628_4F695B0D7A3B_.wvu.Rows" sId="6"/>
    <rfmt sheetId="6" xfDxf="1" sqref="A1:XFD1" start="0" length="0">
      <dxf>
        <font/>
      </dxf>
    </rfmt>
    <rfmt sheetId="6" sqref="A1" start="0" length="0">
      <dxf>
        <border outline="0">
          <left style="medium">
            <color indexed="64"/>
          </left>
        </border>
      </dxf>
    </rfmt>
    <rfmt sheetId="6" sqref="B1" start="0" length="0">
      <dxf>
        <numFmt numFmtId="167" formatCode="#,##0.0"/>
      </dxf>
    </rfmt>
    <rfmt sheetId="6" sqref="C1" start="0" length="0">
      <dxf>
        <numFmt numFmtId="167" formatCode="#,##0.0"/>
      </dxf>
    </rfmt>
    <rfmt sheetId="6" sqref="D1" start="0" length="0">
      <dxf>
        <numFmt numFmtId="167" formatCode="#,##0.0"/>
      </dxf>
    </rfmt>
    <rfmt sheetId="6" s="1" sqref="E1" start="0" length="0">
      <dxf>
        <numFmt numFmtId="13" formatCode="0%"/>
      </dxf>
    </rfmt>
    <rfmt sheetId="6" sqref="F1" start="0" length="0">
      <dxf>
        <numFmt numFmtId="167" formatCode="#,##0.0"/>
      </dxf>
    </rfmt>
    <rfmt sheetId="6" sqref="G1" start="0" length="0">
      <dxf>
        <numFmt numFmtId="167" formatCode="#,##0.0"/>
      </dxf>
    </rfmt>
    <rfmt sheetId="6" s="1" sqref="H1" start="0" length="0">
      <dxf>
        <numFmt numFmtId="13" formatCode="0%"/>
      </dxf>
    </rfmt>
  </rrc>
  <rrc rId="35921" sId="6" ref="A1:XFD1" action="deleteRow">
    <undo index="2" exp="area" ref3D="1" dr="$A$85:$XFD$99" dn="Z_78CA186D_B240_44D5_8A24_D241DE0B0FD9_.wvu.Rows" sId="6"/>
    <undo index="2" exp="area" ref3D="1" dr="$A$85:$XFD$99" dn="Z_F784130D_F647_4ABA_8943_C79CA5B0FDC4_.wvu.Rows" sId="6"/>
    <undo index="2" exp="area" ref3D="1" dr="$A$85:$XFD$99" dn="Z_E44F5FE1_54FC_4AB3_84F9_7D65ACF2DDE7_.wvu.Rows" sId="6"/>
    <undo index="2" exp="area" ref3D="1" dr="$A$85:$XFD$99" dn="Z_AEFEB150_9213_45F5_A178_7AC71E46DB11_.wvu.Rows" sId="6"/>
    <undo index="2" exp="area" ref3D="1" dr="$A$85:$XFD$99" dn="Z_9D4F0482_B164_4671_805A_E0D2D4DD4720_.wvu.Rows" sId="6"/>
    <undo index="2" exp="area" ref3D="1" dr="$A$85:$XFD$99" dn="Z_94DA13B6_7351_40F3_8CF7_A4211EC439DA_.wvu.Rows" sId="6"/>
    <undo index="2" exp="area" ref3D="1" dr="$A$85:$XFD$99" dn="Z_8F508F4D_4777_42BE_9707_8CB9355F7BDB_.wvu.Rows" sId="6"/>
    <undo index="2" exp="area" ref3D="1" dr="$A$85:$XFD$99" dn="Z_567C3053_2D8E_4705_8DC7_18896C5303CA_.wvu.Rows" sId="6"/>
    <undo index="2" exp="area" ref3D="1" dr="$A$85:$XFD$99" dn="Z_455630F5_40FC_47DB_8AD4_712C20B8FB91_.wvu.Rows" sId="6"/>
    <undo index="2" exp="area" ref3D="1" dr="$A$85:$XFD$99" dn="Z_1E5198E1_BA46_4CE0_8628_4F695B0D7A3B_.wvu.Rows" sId="6"/>
    <rfmt sheetId="6" xfDxf="1" sqref="A1:XFD1" start="0" length="0">
      <dxf>
        <font/>
      </dxf>
    </rfmt>
    <rfmt sheetId="6" sqref="A1" start="0" length="0">
      <dxf>
        <border outline="0">
          <left style="medium">
            <color indexed="64"/>
          </left>
        </border>
      </dxf>
    </rfmt>
    <rfmt sheetId="6" sqref="B1" start="0" length="0">
      <dxf>
        <numFmt numFmtId="167" formatCode="#,##0.0"/>
      </dxf>
    </rfmt>
    <rfmt sheetId="6" sqref="C1" start="0" length="0">
      <dxf>
        <numFmt numFmtId="167" formatCode="#,##0.0"/>
      </dxf>
    </rfmt>
    <rfmt sheetId="6" sqref="D1" start="0" length="0">
      <dxf>
        <numFmt numFmtId="167" formatCode="#,##0.0"/>
      </dxf>
    </rfmt>
    <rfmt sheetId="6" s="1" sqref="E1" start="0" length="0">
      <dxf>
        <numFmt numFmtId="13" formatCode="0%"/>
      </dxf>
    </rfmt>
    <rfmt sheetId="6" sqref="F1" start="0" length="0">
      <dxf>
        <numFmt numFmtId="167" formatCode="#,##0.0"/>
      </dxf>
    </rfmt>
    <rfmt sheetId="6" sqref="G1" start="0" length="0">
      <dxf>
        <numFmt numFmtId="167" formatCode="#,##0.0"/>
      </dxf>
    </rfmt>
    <rfmt sheetId="6" s="1" sqref="H1" start="0" length="0">
      <dxf>
        <numFmt numFmtId="13" formatCode="0%"/>
      </dxf>
    </rfmt>
  </rrc>
  <rrc rId="35922" sId="6" ref="A1:XFD1" action="deleteRow">
    <undo index="2" exp="area" ref3D="1" dr="$A$84:$XFD$98" dn="Z_78CA186D_B240_44D5_8A24_D241DE0B0FD9_.wvu.Rows" sId="6"/>
    <undo index="2" exp="area" ref3D="1" dr="$A$84:$XFD$98" dn="Z_F784130D_F647_4ABA_8943_C79CA5B0FDC4_.wvu.Rows" sId="6"/>
    <undo index="2" exp="area" ref3D="1" dr="$A$84:$XFD$98" dn="Z_E44F5FE1_54FC_4AB3_84F9_7D65ACF2DDE7_.wvu.Rows" sId="6"/>
    <undo index="2" exp="area" ref3D="1" dr="$A$84:$XFD$98" dn="Z_AEFEB150_9213_45F5_A178_7AC71E46DB11_.wvu.Rows" sId="6"/>
    <undo index="2" exp="area" ref3D="1" dr="$A$84:$XFD$98" dn="Z_9D4F0482_B164_4671_805A_E0D2D4DD4720_.wvu.Rows" sId="6"/>
    <undo index="2" exp="area" ref3D="1" dr="$A$84:$XFD$98" dn="Z_94DA13B6_7351_40F3_8CF7_A4211EC439DA_.wvu.Rows" sId="6"/>
    <undo index="2" exp="area" ref3D="1" dr="$A$84:$XFD$98" dn="Z_8F508F4D_4777_42BE_9707_8CB9355F7BDB_.wvu.Rows" sId="6"/>
    <undo index="2" exp="area" ref3D="1" dr="$A$84:$XFD$98" dn="Z_567C3053_2D8E_4705_8DC7_18896C5303CA_.wvu.Rows" sId="6"/>
    <undo index="2" exp="area" ref3D="1" dr="$A$84:$XFD$98" dn="Z_455630F5_40FC_47DB_8AD4_712C20B8FB91_.wvu.Rows" sId="6"/>
    <undo index="2" exp="area" ref3D="1" dr="$A$84:$XFD$98" dn="Z_1E5198E1_BA46_4CE0_8628_4F695B0D7A3B_.wvu.Rows" sId="6"/>
    <rfmt sheetId="6" xfDxf="1" sqref="A1:XFD1" start="0" length="0">
      <dxf>
        <font/>
      </dxf>
    </rfmt>
    <rfmt sheetId="6" sqref="A1" start="0" length="0">
      <dxf>
        <border outline="0">
          <left style="medium">
            <color indexed="64"/>
          </left>
        </border>
      </dxf>
    </rfmt>
    <rfmt sheetId="6" sqref="B1" start="0" length="0">
      <dxf>
        <numFmt numFmtId="167" formatCode="#,##0.0"/>
      </dxf>
    </rfmt>
    <rfmt sheetId="6" sqref="C1" start="0" length="0">
      <dxf>
        <numFmt numFmtId="167" formatCode="#,##0.0"/>
      </dxf>
    </rfmt>
    <rfmt sheetId="6" sqref="D1" start="0" length="0">
      <dxf>
        <numFmt numFmtId="167" formatCode="#,##0.0"/>
      </dxf>
    </rfmt>
    <rfmt sheetId="6" s="1" sqref="E1" start="0" length="0">
      <dxf>
        <numFmt numFmtId="13" formatCode="0%"/>
      </dxf>
    </rfmt>
    <rfmt sheetId="6" sqref="F1" start="0" length="0">
      <dxf>
        <numFmt numFmtId="167" formatCode="#,##0.0"/>
      </dxf>
    </rfmt>
    <rfmt sheetId="6" sqref="G1" start="0" length="0">
      <dxf>
        <numFmt numFmtId="167" formatCode="#,##0.0"/>
      </dxf>
    </rfmt>
    <rfmt sheetId="6" s="1" sqref="H1" start="0" length="0">
      <dxf>
        <numFmt numFmtId="13" formatCode="0%"/>
      </dxf>
    </rfmt>
  </rrc>
  <rrc rId="35923" sId="6" ref="A1:XFD1" action="deleteRow">
    <undo index="2" exp="area" ref3D="1" dr="$A$83:$XFD$97" dn="Z_78CA186D_B240_44D5_8A24_D241DE0B0FD9_.wvu.Rows" sId="6"/>
    <undo index="2" exp="area" ref3D="1" dr="$A$83:$XFD$97" dn="Z_F784130D_F647_4ABA_8943_C79CA5B0FDC4_.wvu.Rows" sId="6"/>
    <undo index="2" exp="area" ref3D="1" dr="$A$83:$XFD$97" dn="Z_E44F5FE1_54FC_4AB3_84F9_7D65ACF2DDE7_.wvu.Rows" sId="6"/>
    <undo index="2" exp="area" ref3D="1" dr="$A$83:$XFD$97" dn="Z_AEFEB150_9213_45F5_A178_7AC71E46DB11_.wvu.Rows" sId="6"/>
    <undo index="2" exp="area" ref3D="1" dr="$A$83:$XFD$97" dn="Z_9D4F0482_B164_4671_805A_E0D2D4DD4720_.wvu.Rows" sId="6"/>
    <undo index="2" exp="area" ref3D="1" dr="$A$83:$XFD$97" dn="Z_94DA13B6_7351_40F3_8CF7_A4211EC439DA_.wvu.Rows" sId="6"/>
    <undo index="2" exp="area" ref3D="1" dr="$A$83:$XFD$97" dn="Z_8F508F4D_4777_42BE_9707_8CB9355F7BDB_.wvu.Rows" sId="6"/>
    <undo index="2" exp="area" ref3D="1" dr="$A$83:$XFD$97" dn="Z_567C3053_2D8E_4705_8DC7_18896C5303CA_.wvu.Rows" sId="6"/>
    <undo index="2" exp="area" ref3D="1" dr="$A$83:$XFD$97" dn="Z_455630F5_40FC_47DB_8AD4_712C20B8FB91_.wvu.Rows" sId="6"/>
    <undo index="2" exp="area" ref3D="1" dr="$A$83:$XFD$97" dn="Z_1E5198E1_BA46_4CE0_8628_4F695B0D7A3B_.wvu.Rows" sId="6"/>
    <rfmt sheetId="6" xfDxf="1" sqref="A1:XFD1" start="0" length="0">
      <dxf>
        <font/>
      </dxf>
    </rfmt>
    <rfmt sheetId="6" sqref="A1" start="0" length="0">
      <dxf>
        <border outline="0">
          <left style="medium">
            <color indexed="64"/>
          </left>
        </border>
      </dxf>
    </rfmt>
    <rfmt sheetId="6" sqref="B1" start="0" length="0">
      <dxf>
        <numFmt numFmtId="167" formatCode="#,##0.0"/>
      </dxf>
    </rfmt>
    <rfmt sheetId="6" sqref="C1" start="0" length="0">
      <dxf>
        <numFmt numFmtId="167" formatCode="#,##0.0"/>
      </dxf>
    </rfmt>
    <rfmt sheetId="6" sqref="D1" start="0" length="0">
      <dxf>
        <numFmt numFmtId="167" formatCode="#,##0.0"/>
      </dxf>
    </rfmt>
    <rfmt sheetId="6" s="1" sqref="E1" start="0" length="0">
      <dxf>
        <numFmt numFmtId="13" formatCode="0%"/>
      </dxf>
    </rfmt>
    <rfmt sheetId="6" sqref="F1" start="0" length="0">
      <dxf>
        <numFmt numFmtId="167" formatCode="#,##0.0"/>
      </dxf>
    </rfmt>
    <rfmt sheetId="6" sqref="G1" start="0" length="0">
      <dxf>
        <numFmt numFmtId="167" formatCode="#,##0.0"/>
      </dxf>
    </rfmt>
    <rfmt sheetId="6" s="1" sqref="H1" start="0" length="0">
      <dxf>
        <numFmt numFmtId="13" formatCode="0%"/>
      </dxf>
    </rfmt>
  </rrc>
  <rrc rId="35924" sId="6" ref="A1:XFD1" action="deleteRow">
    <undo index="2" exp="area" ref3D="1" dr="$A$82:$XFD$96" dn="Z_78CA186D_B240_44D5_8A24_D241DE0B0FD9_.wvu.Rows" sId="6"/>
    <undo index="2" exp="area" ref3D="1" dr="$A$82:$XFD$96" dn="Z_F784130D_F647_4ABA_8943_C79CA5B0FDC4_.wvu.Rows" sId="6"/>
    <undo index="2" exp="area" ref3D="1" dr="$A$82:$XFD$96" dn="Z_E44F5FE1_54FC_4AB3_84F9_7D65ACF2DDE7_.wvu.Rows" sId="6"/>
    <undo index="2" exp="area" ref3D="1" dr="$A$82:$XFD$96" dn="Z_AEFEB150_9213_45F5_A178_7AC71E46DB11_.wvu.Rows" sId="6"/>
    <undo index="2" exp="area" ref3D="1" dr="$A$82:$XFD$96" dn="Z_9D4F0482_B164_4671_805A_E0D2D4DD4720_.wvu.Rows" sId="6"/>
    <undo index="2" exp="area" ref3D="1" dr="$A$82:$XFD$96" dn="Z_94DA13B6_7351_40F3_8CF7_A4211EC439DA_.wvu.Rows" sId="6"/>
    <undo index="2" exp="area" ref3D="1" dr="$A$82:$XFD$96" dn="Z_8F508F4D_4777_42BE_9707_8CB9355F7BDB_.wvu.Rows" sId="6"/>
    <undo index="2" exp="area" ref3D="1" dr="$A$82:$XFD$96" dn="Z_567C3053_2D8E_4705_8DC7_18896C5303CA_.wvu.Rows" sId="6"/>
    <undo index="2" exp="area" ref3D="1" dr="$A$82:$XFD$96" dn="Z_455630F5_40FC_47DB_8AD4_712C20B8FB91_.wvu.Rows" sId="6"/>
    <undo index="2" exp="area" ref3D="1" dr="$A$82:$XFD$96" dn="Z_1E5198E1_BA46_4CE0_8628_4F695B0D7A3B_.wvu.Rows" sId="6"/>
    <rfmt sheetId="6" xfDxf="1" sqref="A1:XFD1" start="0" length="0">
      <dxf>
        <font/>
      </dxf>
    </rfmt>
    <rfmt sheetId="6" sqref="A1" start="0" length="0">
      <dxf>
        <border outline="0">
          <left style="medium">
            <color indexed="64"/>
          </left>
        </border>
      </dxf>
    </rfmt>
    <rfmt sheetId="6" sqref="B1" start="0" length="0">
      <dxf>
        <numFmt numFmtId="167" formatCode="#,##0.0"/>
      </dxf>
    </rfmt>
    <rfmt sheetId="6" sqref="C1" start="0" length="0">
      <dxf>
        <numFmt numFmtId="167" formatCode="#,##0.0"/>
      </dxf>
    </rfmt>
    <rfmt sheetId="6" sqref="D1" start="0" length="0">
      <dxf>
        <numFmt numFmtId="167" formatCode="#,##0.0"/>
      </dxf>
    </rfmt>
    <rfmt sheetId="6" s="1" sqref="E1" start="0" length="0">
      <dxf>
        <numFmt numFmtId="13" formatCode="0%"/>
      </dxf>
    </rfmt>
    <rfmt sheetId="6" sqref="F1" start="0" length="0">
      <dxf>
        <numFmt numFmtId="167" formatCode="#,##0.0"/>
      </dxf>
    </rfmt>
    <rfmt sheetId="6" sqref="G1" start="0" length="0">
      <dxf>
        <numFmt numFmtId="167" formatCode="#,##0.0"/>
      </dxf>
    </rfmt>
    <rfmt sheetId="6" s="1" sqref="H1" start="0" length="0">
      <dxf>
        <numFmt numFmtId="13" formatCode="0%"/>
      </dxf>
    </rfmt>
  </rrc>
  <rrc rId="35925" sId="6" ref="A1:XFD1" action="deleteRow">
    <undo index="2" exp="area" ref3D="1" dr="$A$81:$XFD$95" dn="Z_78CA186D_B240_44D5_8A24_D241DE0B0FD9_.wvu.Rows" sId="6"/>
    <undo index="2" exp="area" ref3D="1" dr="$A$81:$XFD$95" dn="Z_F784130D_F647_4ABA_8943_C79CA5B0FDC4_.wvu.Rows" sId="6"/>
    <undo index="2" exp="area" ref3D="1" dr="$A$81:$XFD$95" dn="Z_E44F5FE1_54FC_4AB3_84F9_7D65ACF2DDE7_.wvu.Rows" sId="6"/>
    <undo index="2" exp="area" ref3D="1" dr="$A$81:$XFD$95" dn="Z_AEFEB150_9213_45F5_A178_7AC71E46DB11_.wvu.Rows" sId="6"/>
    <undo index="2" exp="area" ref3D="1" dr="$A$81:$XFD$95" dn="Z_9D4F0482_B164_4671_805A_E0D2D4DD4720_.wvu.Rows" sId="6"/>
    <undo index="2" exp="area" ref3D="1" dr="$A$81:$XFD$95" dn="Z_94DA13B6_7351_40F3_8CF7_A4211EC439DA_.wvu.Rows" sId="6"/>
    <undo index="2" exp="area" ref3D="1" dr="$A$81:$XFD$95" dn="Z_8F508F4D_4777_42BE_9707_8CB9355F7BDB_.wvu.Rows" sId="6"/>
    <undo index="2" exp="area" ref3D="1" dr="$A$81:$XFD$95" dn="Z_567C3053_2D8E_4705_8DC7_18896C5303CA_.wvu.Rows" sId="6"/>
    <undo index="2" exp="area" ref3D="1" dr="$A$81:$XFD$95" dn="Z_455630F5_40FC_47DB_8AD4_712C20B8FB91_.wvu.Rows" sId="6"/>
    <undo index="2" exp="area" ref3D="1" dr="$A$81:$XFD$95" dn="Z_1E5198E1_BA46_4CE0_8628_4F695B0D7A3B_.wvu.Rows" sId="6"/>
    <rfmt sheetId="6" xfDxf="1" sqref="A1:XFD1" start="0" length="0">
      <dxf>
        <font/>
      </dxf>
    </rfmt>
    <rfmt sheetId="6" sqref="A1" start="0" length="0">
      <dxf>
        <border outline="0">
          <left style="medium">
            <color indexed="64"/>
          </left>
        </border>
      </dxf>
    </rfmt>
    <rfmt sheetId="6" sqref="B1" start="0" length="0">
      <dxf>
        <numFmt numFmtId="167" formatCode="#,##0.0"/>
      </dxf>
    </rfmt>
    <rfmt sheetId="6" sqref="C1" start="0" length="0">
      <dxf>
        <numFmt numFmtId="167" formatCode="#,##0.0"/>
      </dxf>
    </rfmt>
    <rfmt sheetId="6" sqref="D1" start="0" length="0">
      <dxf>
        <numFmt numFmtId="167" formatCode="#,##0.0"/>
      </dxf>
    </rfmt>
    <rfmt sheetId="6" s="1" sqref="E1" start="0" length="0">
      <dxf>
        <numFmt numFmtId="13" formatCode="0%"/>
      </dxf>
    </rfmt>
    <rfmt sheetId="6" sqref="F1" start="0" length="0">
      <dxf>
        <numFmt numFmtId="167" formatCode="#,##0.0"/>
      </dxf>
    </rfmt>
    <rfmt sheetId="6" sqref="G1" start="0" length="0">
      <dxf>
        <numFmt numFmtId="167" formatCode="#,##0.0"/>
      </dxf>
    </rfmt>
    <rfmt sheetId="6" s="1" sqref="H1" start="0" length="0">
      <dxf>
        <numFmt numFmtId="13" formatCode="0%"/>
      </dxf>
    </rfmt>
  </rrc>
  <rrc rId="35926" sId="6" ref="A1:XFD1" action="deleteRow">
    <undo index="2" exp="area" ref3D="1" dr="$A$80:$XFD$94" dn="Z_78CA186D_B240_44D5_8A24_D241DE0B0FD9_.wvu.Rows" sId="6"/>
    <undo index="2" exp="area" ref3D="1" dr="$A$80:$XFD$94" dn="Z_F784130D_F647_4ABA_8943_C79CA5B0FDC4_.wvu.Rows" sId="6"/>
    <undo index="2" exp="area" ref3D="1" dr="$A$80:$XFD$94" dn="Z_E44F5FE1_54FC_4AB3_84F9_7D65ACF2DDE7_.wvu.Rows" sId="6"/>
    <undo index="2" exp="area" ref3D="1" dr="$A$80:$XFD$94" dn="Z_AEFEB150_9213_45F5_A178_7AC71E46DB11_.wvu.Rows" sId="6"/>
    <undo index="2" exp="area" ref3D="1" dr="$A$80:$XFD$94" dn="Z_9D4F0482_B164_4671_805A_E0D2D4DD4720_.wvu.Rows" sId="6"/>
    <undo index="2" exp="area" ref3D="1" dr="$A$80:$XFD$94" dn="Z_94DA13B6_7351_40F3_8CF7_A4211EC439DA_.wvu.Rows" sId="6"/>
    <undo index="2" exp="area" ref3D="1" dr="$A$80:$XFD$94" dn="Z_8F508F4D_4777_42BE_9707_8CB9355F7BDB_.wvu.Rows" sId="6"/>
    <undo index="2" exp="area" ref3D="1" dr="$A$80:$XFD$94" dn="Z_567C3053_2D8E_4705_8DC7_18896C5303CA_.wvu.Rows" sId="6"/>
    <undo index="2" exp="area" ref3D="1" dr="$A$80:$XFD$94" dn="Z_455630F5_40FC_47DB_8AD4_712C20B8FB91_.wvu.Rows" sId="6"/>
    <undo index="2" exp="area" ref3D="1" dr="$A$80:$XFD$94" dn="Z_1E5198E1_BA46_4CE0_8628_4F695B0D7A3B_.wvu.Rows" sId="6"/>
    <rfmt sheetId="6" xfDxf="1" sqref="A1:XFD1" start="0" length="0">
      <dxf>
        <font/>
      </dxf>
    </rfmt>
    <rfmt sheetId="6" sqref="A1" start="0" length="0">
      <dxf>
        <border outline="0">
          <left style="medium">
            <color indexed="64"/>
          </left>
        </border>
      </dxf>
    </rfmt>
    <rfmt sheetId="6" sqref="B1" start="0" length="0">
      <dxf>
        <numFmt numFmtId="167" formatCode="#,##0.0"/>
      </dxf>
    </rfmt>
    <rfmt sheetId="6" sqref="C1" start="0" length="0">
      <dxf>
        <numFmt numFmtId="167" formatCode="#,##0.0"/>
      </dxf>
    </rfmt>
    <rfmt sheetId="6" sqref="D1" start="0" length="0">
      <dxf>
        <numFmt numFmtId="167" formatCode="#,##0.0"/>
      </dxf>
    </rfmt>
    <rfmt sheetId="6" s="1" sqref="E1" start="0" length="0">
      <dxf>
        <numFmt numFmtId="13" formatCode="0%"/>
      </dxf>
    </rfmt>
    <rfmt sheetId="6" sqref="F1" start="0" length="0">
      <dxf>
        <numFmt numFmtId="167" formatCode="#,##0.0"/>
      </dxf>
    </rfmt>
    <rfmt sheetId="6" sqref="G1" start="0" length="0">
      <dxf>
        <numFmt numFmtId="167" formatCode="#,##0.0"/>
      </dxf>
    </rfmt>
    <rfmt sheetId="6" s="1" sqref="H1" start="0" length="0">
      <dxf>
        <numFmt numFmtId="13" formatCode="0%"/>
      </dxf>
    </rfmt>
  </rrc>
  <rrc rId="35927" sId="6" ref="A1:XFD1" action="deleteRow">
    <undo index="2" exp="area" ref3D="1" dr="$A$79:$XFD$93" dn="Z_78CA186D_B240_44D5_8A24_D241DE0B0FD9_.wvu.Rows" sId="6"/>
    <undo index="2" exp="area" ref3D="1" dr="$A$79:$XFD$93" dn="Z_F784130D_F647_4ABA_8943_C79CA5B0FDC4_.wvu.Rows" sId="6"/>
    <undo index="2" exp="area" ref3D="1" dr="$A$79:$XFD$93" dn="Z_E44F5FE1_54FC_4AB3_84F9_7D65ACF2DDE7_.wvu.Rows" sId="6"/>
    <undo index="2" exp="area" ref3D="1" dr="$A$79:$XFD$93" dn="Z_AEFEB150_9213_45F5_A178_7AC71E46DB11_.wvu.Rows" sId="6"/>
    <undo index="2" exp="area" ref3D="1" dr="$A$79:$XFD$93" dn="Z_9D4F0482_B164_4671_805A_E0D2D4DD4720_.wvu.Rows" sId="6"/>
    <undo index="2" exp="area" ref3D="1" dr="$A$79:$XFD$93" dn="Z_94DA13B6_7351_40F3_8CF7_A4211EC439DA_.wvu.Rows" sId="6"/>
    <undo index="2" exp="area" ref3D="1" dr="$A$79:$XFD$93" dn="Z_8F508F4D_4777_42BE_9707_8CB9355F7BDB_.wvu.Rows" sId="6"/>
    <undo index="2" exp="area" ref3D="1" dr="$A$79:$XFD$93" dn="Z_567C3053_2D8E_4705_8DC7_18896C5303CA_.wvu.Rows" sId="6"/>
    <undo index="2" exp="area" ref3D="1" dr="$A$79:$XFD$93" dn="Z_455630F5_40FC_47DB_8AD4_712C20B8FB91_.wvu.Rows" sId="6"/>
    <undo index="2" exp="area" ref3D="1" dr="$A$79:$XFD$93" dn="Z_1E5198E1_BA46_4CE0_8628_4F695B0D7A3B_.wvu.Rows" sId="6"/>
    <rfmt sheetId="6" xfDxf="1" sqref="A1:XFD1" start="0" length="0">
      <dxf>
        <font/>
      </dxf>
    </rfmt>
    <rfmt sheetId="6" sqref="A1" start="0" length="0">
      <dxf>
        <border outline="0">
          <left style="medium">
            <color indexed="64"/>
          </left>
        </border>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numFmt numFmtId="164" formatCode="0.0%"/>
        <alignment horizontal="right" vertical="top" readingOrder="0"/>
      </dxf>
    </rfmt>
    <rfmt sheetId="6" sqref="F1" start="0" length="0">
      <dxf>
        <numFmt numFmtId="167" formatCode="#,##0.0"/>
      </dxf>
    </rfmt>
    <rfmt sheetId="6" sqref="G1" start="0" length="0">
      <dxf>
        <numFmt numFmtId="167" formatCode="#,##0.0"/>
      </dxf>
    </rfmt>
    <rfmt sheetId="6" sqref="H1" start="0" length="0">
      <dxf>
        <numFmt numFmtId="164" formatCode="0.0%"/>
        <alignment horizontal="right" vertical="top" readingOrder="0"/>
      </dxf>
    </rfmt>
  </rrc>
  <rrc rId="35928" sId="6" ref="A1:XFD1" action="deleteRow">
    <undo index="2" exp="area" ref3D="1" dr="$A$78:$XFD$92" dn="Z_78CA186D_B240_44D5_8A24_D241DE0B0FD9_.wvu.Rows" sId="6"/>
    <undo index="2" exp="area" ref3D="1" dr="$A$78:$XFD$92" dn="Z_F784130D_F647_4ABA_8943_C79CA5B0FDC4_.wvu.Rows" sId="6"/>
    <undo index="2" exp="area" ref3D="1" dr="$A$78:$XFD$92" dn="Z_E44F5FE1_54FC_4AB3_84F9_7D65ACF2DDE7_.wvu.Rows" sId="6"/>
    <undo index="2" exp="area" ref3D="1" dr="$A$78:$XFD$92" dn="Z_AEFEB150_9213_45F5_A178_7AC71E46DB11_.wvu.Rows" sId="6"/>
    <undo index="2" exp="area" ref3D="1" dr="$A$78:$XFD$92" dn="Z_9D4F0482_B164_4671_805A_E0D2D4DD4720_.wvu.Rows" sId="6"/>
    <undo index="2" exp="area" ref3D="1" dr="$A$78:$XFD$92" dn="Z_94DA13B6_7351_40F3_8CF7_A4211EC439DA_.wvu.Rows" sId="6"/>
    <undo index="2" exp="area" ref3D="1" dr="$A$78:$XFD$92" dn="Z_8F508F4D_4777_42BE_9707_8CB9355F7BDB_.wvu.Rows" sId="6"/>
    <undo index="2" exp="area" ref3D="1" dr="$A$78:$XFD$92" dn="Z_567C3053_2D8E_4705_8DC7_18896C5303CA_.wvu.Rows" sId="6"/>
    <undo index="2" exp="area" ref3D="1" dr="$A$78:$XFD$92" dn="Z_455630F5_40FC_47DB_8AD4_712C20B8FB91_.wvu.Rows" sId="6"/>
    <undo index="2" exp="area" ref3D="1" dr="$A$78:$XFD$92" dn="Z_1E5198E1_BA46_4CE0_8628_4F695B0D7A3B_.wvu.Rows" sId="6"/>
    <rfmt sheetId="6" xfDxf="1" sqref="A1:XFD1" start="0" length="0">
      <dxf>
        <font/>
      </dxf>
    </rfmt>
    <rfmt sheetId="6" sqref="A1" start="0" length="0">
      <dxf>
        <border outline="0">
          <left style="medium">
            <color indexed="64"/>
          </left>
        </border>
      </dxf>
    </rfmt>
    <rfmt sheetId="6" sqref="B1" start="0" length="0">
      <dxf>
        <numFmt numFmtId="167" formatCode="#,##0.0"/>
      </dxf>
    </rfmt>
    <rfmt sheetId="6" sqref="C1" start="0" length="0">
      <dxf>
        <numFmt numFmtId="167" formatCode="#,##0.0"/>
      </dxf>
    </rfmt>
    <rfmt sheetId="6" sqref="D1" start="0" length="0">
      <dxf>
        <numFmt numFmtId="167" formatCode="#,##0.0"/>
      </dxf>
    </rfmt>
    <rfmt sheetId="6" s="1" sqref="E1" start="0" length="0">
      <dxf>
        <numFmt numFmtId="13" formatCode="0%"/>
      </dxf>
    </rfmt>
    <rfmt sheetId="6" sqref="F1" start="0" length="0">
      <dxf>
        <numFmt numFmtId="167" formatCode="#,##0.0"/>
      </dxf>
    </rfmt>
    <rfmt sheetId="6" sqref="G1" start="0" length="0">
      <dxf>
        <numFmt numFmtId="167" formatCode="#,##0.0"/>
      </dxf>
    </rfmt>
    <rfmt sheetId="6" s="1" sqref="H1" start="0" length="0">
      <dxf>
        <numFmt numFmtId="13" formatCode="0%"/>
      </dxf>
    </rfmt>
  </rrc>
  <rrc rId="35929" sId="6" ref="A1:XFD1" action="deleteRow">
    <undo index="2" exp="area" ref3D="1" dr="$A$77:$XFD$91" dn="Z_78CA186D_B240_44D5_8A24_D241DE0B0FD9_.wvu.Rows" sId="6"/>
    <undo index="2" exp="area" ref3D="1" dr="$A$77:$XFD$91" dn="Z_F784130D_F647_4ABA_8943_C79CA5B0FDC4_.wvu.Rows" sId="6"/>
    <undo index="2" exp="area" ref3D="1" dr="$A$77:$XFD$91" dn="Z_E44F5FE1_54FC_4AB3_84F9_7D65ACF2DDE7_.wvu.Rows" sId="6"/>
    <undo index="2" exp="area" ref3D="1" dr="$A$77:$XFD$91" dn="Z_AEFEB150_9213_45F5_A178_7AC71E46DB11_.wvu.Rows" sId="6"/>
    <undo index="2" exp="area" ref3D="1" dr="$A$77:$XFD$91" dn="Z_9D4F0482_B164_4671_805A_E0D2D4DD4720_.wvu.Rows" sId="6"/>
    <undo index="2" exp="area" ref3D="1" dr="$A$77:$XFD$91" dn="Z_94DA13B6_7351_40F3_8CF7_A4211EC439DA_.wvu.Rows" sId="6"/>
    <undo index="2" exp="area" ref3D="1" dr="$A$77:$XFD$91" dn="Z_8F508F4D_4777_42BE_9707_8CB9355F7BDB_.wvu.Rows" sId="6"/>
    <undo index="2" exp="area" ref3D="1" dr="$A$77:$XFD$91" dn="Z_567C3053_2D8E_4705_8DC7_18896C5303CA_.wvu.Rows" sId="6"/>
    <undo index="2" exp="area" ref3D="1" dr="$A$77:$XFD$91" dn="Z_455630F5_40FC_47DB_8AD4_712C20B8FB91_.wvu.Rows" sId="6"/>
    <undo index="2" exp="area" ref3D="1" dr="$A$77:$XFD$91" dn="Z_1E5198E1_BA46_4CE0_8628_4F695B0D7A3B_.wvu.Rows" sId="6"/>
    <rfmt sheetId="6" xfDxf="1" sqref="A1:XFD1" start="0" length="0">
      <dxf>
        <font/>
      </dxf>
    </rfmt>
    <rfmt sheetId="6" sqref="A1" start="0" length="0">
      <dxf>
        <border outline="0">
          <left style="medium">
            <color indexed="64"/>
          </left>
        </border>
      </dxf>
    </rfmt>
    <rfmt sheetId="6" sqref="B1" start="0" length="0">
      <dxf>
        <numFmt numFmtId="167" formatCode="#,##0.0"/>
      </dxf>
    </rfmt>
    <rfmt sheetId="6" sqref="C1" start="0" length="0">
      <dxf>
        <numFmt numFmtId="167" formatCode="#,##0.0"/>
      </dxf>
    </rfmt>
    <rfmt sheetId="6" sqref="D1" start="0" length="0">
      <dxf>
        <numFmt numFmtId="167" formatCode="#,##0.0"/>
      </dxf>
    </rfmt>
    <rfmt sheetId="6" s="1" sqref="E1" start="0" length="0">
      <dxf>
        <numFmt numFmtId="13" formatCode="0%"/>
      </dxf>
    </rfmt>
    <rfmt sheetId="6" sqref="F1" start="0" length="0">
      <dxf>
        <numFmt numFmtId="167" formatCode="#,##0.0"/>
      </dxf>
    </rfmt>
    <rfmt sheetId="6" sqref="G1" start="0" length="0">
      <dxf>
        <numFmt numFmtId="167" formatCode="#,##0.0"/>
      </dxf>
    </rfmt>
    <rfmt sheetId="6" s="1" sqref="H1" start="0" length="0">
      <dxf>
        <numFmt numFmtId="13" formatCode="0%"/>
      </dxf>
    </rfmt>
  </rrc>
  <rrc rId="35930" sId="6" ref="A1:XFD1" action="deleteRow">
    <undo index="2" exp="area" ref3D="1" dr="$A$76:$XFD$90" dn="Z_78CA186D_B240_44D5_8A24_D241DE0B0FD9_.wvu.Rows" sId="6"/>
    <undo index="2" exp="area" ref3D="1" dr="$A$76:$XFD$90" dn="Z_F784130D_F647_4ABA_8943_C79CA5B0FDC4_.wvu.Rows" sId="6"/>
    <undo index="2" exp="area" ref3D="1" dr="$A$76:$XFD$90" dn="Z_E44F5FE1_54FC_4AB3_84F9_7D65ACF2DDE7_.wvu.Rows" sId="6"/>
    <undo index="2" exp="area" ref3D="1" dr="$A$76:$XFD$90" dn="Z_AEFEB150_9213_45F5_A178_7AC71E46DB11_.wvu.Rows" sId="6"/>
    <undo index="2" exp="area" ref3D="1" dr="$A$76:$XFD$90" dn="Z_9D4F0482_B164_4671_805A_E0D2D4DD4720_.wvu.Rows" sId="6"/>
    <undo index="2" exp="area" ref3D="1" dr="$A$76:$XFD$90" dn="Z_94DA13B6_7351_40F3_8CF7_A4211EC439DA_.wvu.Rows" sId="6"/>
    <undo index="2" exp="area" ref3D="1" dr="$A$76:$XFD$90" dn="Z_8F508F4D_4777_42BE_9707_8CB9355F7BDB_.wvu.Rows" sId="6"/>
    <undo index="2" exp="area" ref3D="1" dr="$A$76:$XFD$90" dn="Z_567C3053_2D8E_4705_8DC7_18896C5303CA_.wvu.Rows" sId="6"/>
    <undo index="2" exp="area" ref3D="1" dr="$A$76:$XFD$90" dn="Z_455630F5_40FC_47DB_8AD4_712C20B8FB91_.wvu.Rows" sId="6"/>
    <undo index="2" exp="area" ref3D="1" dr="$A$76:$XFD$90" dn="Z_1E5198E1_BA46_4CE0_8628_4F695B0D7A3B_.wvu.Rows" sId="6"/>
    <rfmt sheetId="6" xfDxf="1" sqref="A1:XFD1" start="0" length="0">
      <dxf>
        <font/>
      </dxf>
    </rfmt>
    <rfmt sheetId="6" sqref="A1" start="0" length="0">
      <dxf>
        <border outline="0">
          <left style="medium">
            <color indexed="64"/>
          </left>
        </border>
      </dxf>
    </rfmt>
    <rfmt sheetId="6" sqref="B1" start="0" length="0">
      <dxf>
        <numFmt numFmtId="167" formatCode="#,##0.0"/>
      </dxf>
    </rfmt>
    <rfmt sheetId="6" sqref="C1" start="0" length="0">
      <dxf>
        <numFmt numFmtId="167" formatCode="#,##0.0"/>
      </dxf>
    </rfmt>
    <rfmt sheetId="6" sqref="D1" start="0" length="0">
      <dxf>
        <numFmt numFmtId="167" formatCode="#,##0.0"/>
      </dxf>
    </rfmt>
    <rfmt sheetId="6" s="1" sqref="E1" start="0" length="0">
      <dxf>
        <numFmt numFmtId="13" formatCode="0%"/>
      </dxf>
    </rfmt>
    <rfmt sheetId="6" sqref="F1" start="0" length="0">
      <dxf>
        <numFmt numFmtId="167" formatCode="#,##0.0"/>
      </dxf>
    </rfmt>
    <rfmt sheetId="6" sqref="G1" start="0" length="0">
      <dxf>
        <numFmt numFmtId="167" formatCode="#,##0.0"/>
      </dxf>
    </rfmt>
    <rfmt sheetId="6" s="1" sqref="H1" start="0" length="0">
      <dxf>
        <numFmt numFmtId="13" formatCode="0%"/>
      </dxf>
    </rfmt>
  </rrc>
  <rrc rId="35931" sId="6" ref="A1:XFD1" action="deleteRow">
    <undo index="2" exp="area" ref3D="1" dr="$A$75:$XFD$89" dn="Z_78CA186D_B240_44D5_8A24_D241DE0B0FD9_.wvu.Rows" sId="6"/>
    <undo index="2" exp="area" ref3D="1" dr="$A$75:$XFD$89" dn="Z_F784130D_F647_4ABA_8943_C79CA5B0FDC4_.wvu.Rows" sId="6"/>
    <undo index="2" exp="area" ref3D="1" dr="$A$75:$XFD$89" dn="Z_E44F5FE1_54FC_4AB3_84F9_7D65ACF2DDE7_.wvu.Rows" sId="6"/>
    <undo index="2" exp="area" ref3D="1" dr="$A$75:$XFD$89" dn="Z_AEFEB150_9213_45F5_A178_7AC71E46DB11_.wvu.Rows" sId="6"/>
    <undo index="2" exp="area" ref3D="1" dr="$A$75:$XFD$89" dn="Z_9D4F0482_B164_4671_805A_E0D2D4DD4720_.wvu.Rows" sId="6"/>
    <undo index="2" exp="area" ref3D="1" dr="$A$75:$XFD$89" dn="Z_94DA13B6_7351_40F3_8CF7_A4211EC439DA_.wvu.Rows" sId="6"/>
    <undo index="2" exp="area" ref3D="1" dr="$A$75:$XFD$89" dn="Z_8F508F4D_4777_42BE_9707_8CB9355F7BDB_.wvu.Rows" sId="6"/>
    <undo index="2" exp="area" ref3D="1" dr="$A$75:$XFD$89" dn="Z_567C3053_2D8E_4705_8DC7_18896C5303CA_.wvu.Rows" sId="6"/>
    <undo index="2" exp="area" ref3D="1" dr="$A$75:$XFD$89" dn="Z_455630F5_40FC_47DB_8AD4_712C20B8FB91_.wvu.Rows" sId="6"/>
    <undo index="2" exp="area" ref3D="1" dr="$A$75:$XFD$89" dn="Z_1E5198E1_BA46_4CE0_8628_4F695B0D7A3B_.wvu.Rows" sId="6"/>
    <rfmt sheetId="6" xfDxf="1" sqref="A1:XFD1" start="0" length="0">
      <dxf>
        <font/>
        <border outline="0">
          <bottom style="medium">
            <color indexed="64"/>
          </bottom>
        </border>
      </dxf>
    </rfmt>
    <rfmt sheetId="6" sqref="A1" start="0" length="0">
      <dxf/>
    </rfmt>
    <rfmt sheetId="6" sqref="B1" start="0" length="0">
      <dxf>
        <numFmt numFmtId="167" formatCode="#,##0.0"/>
      </dxf>
    </rfmt>
    <rfmt sheetId="6" sqref="C1" start="0" length="0">
      <dxf>
        <numFmt numFmtId="167" formatCode="#,##0.0"/>
      </dxf>
    </rfmt>
    <rfmt sheetId="6" sqref="D1" start="0" length="0">
      <dxf>
        <numFmt numFmtId="167" formatCode="#,##0.0"/>
      </dxf>
    </rfmt>
    <rfmt sheetId="6" s="1" sqref="E1" start="0" length="0">
      <dxf>
        <numFmt numFmtId="13" formatCode="0%"/>
      </dxf>
    </rfmt>
    <rfmt sheetId="6" sqref="F1" start="0" length="0">
      <dxf>
        <numFmt numFmtId="167" formatCode="#,##0.0"/>
      </dxf>
    </rfmt>
    <rfmt sheetId="6" sqref="G1" start="0" length="0">
      <dxf>
        <numFmt numFmtId="167" formatCode="#,##0.0"/>
      </dxf>
    </rfmt>
    <rfmt sheetId="6" s="1" sqref="H1" start="0" length="0">
      <dxf>
        <numFmt numFmtId="13" formatCode="0%"/>
      </dxf>
    </rfmt>
  </rrc>
  <rrc rId="35932" sId="6" ref="A1:XFD1" action="deleteRow">
    <undo index="2" exp="area" ref3D="1" dr="$A$74:$XFD$88" dn="Z_78CA186D_B240_44D5_8A24_D241DE0B0FD9_.wvu.Rows" sId="6"/>
    <undo index="2" exp="area" ref3D="1" dr="$A$74:$XFD$88" dn="Z_F784130D_F647_4ABA_8943_C79CA5B0FDC4_.wvu.Rows" sId="6"/>
    <undo index="2" exp="area" ref3D="1" dr="$A$74:$XFD$88" dn="Z_E44F5FE1_54FC_4AB3_84F9_7D65ACF2DDE7_.wvu.Rows" sId="6"/>
    <undo index="2" exp="area" ref3D="1" dr="$A$74:$XFD$88" dn="Z_AEFEB150_9213_45F5_A178_7AC71E46DB11_.wvu.Rows" sId="6"/>
    <undo index="2" exp="area" ref3D="1" dr="$A$74:$XFD$88" dn="Z_9D4F0482_B164_4671_805A_E0D2D4DD4720_.wvu.Rows" sId="6"/>
    <undo index="2" exp="area" ref3D="1" dr="$A$74:$XFD$88" dn="Z_94DA13B6_7351_40F3_8CF7_A4211EC439DA_.wvu.Rows" sId="6"/>
    <undo index="2" exp="area" ref3D="1" dr="$A$74:$XFD$88" dn="Z_8F508F4D_4777_42BE_9707_8CB9355F7BDB_.wvu.Rows" sId="6"/>
    <undo index="2" exp="area" ref3D="1" dr="$A$74:$XFD$88" dn="Z_567C3053_2D8E_4705_8DC7_18896C5303CA_.wvu.Rows" sId="6"/>
    <undo index="2" exp="area" ref3D="1" dr="$A$74:$XFD$88" dn="Z_455630F5_40FC_47DB_8AD4_712C20B8FB91_.wvu.Rows" sId="6"/>
    <undo index="2" exp="area" ref3D="1" dr="$A$74:$XFD$88" dn="Z_1E5198E1_BA46_4CE0_8628_4F695B0D7A3B_.wvu.Rows" sId="6"/>
    <rfmt sheetId="6" xfDxf="1" sqref="A1:XFD1" start="0" length="0">
      <dxf>
        <font>
          <b/>
        </font>
      </dxf>
    </rfmt>
    <rfmt sheetId="6" sqref="A1" start="0" length="0">
      <dxf/>
    </rfmt>
    <rfmt sheetId="6" sqref="B1" start="0" length="0">
      <dxf>
        <numFmt numFmtId="167" formatCode="#,##0.0"/>
      </dxf>
    </rfmt>
    <rfmt sheetId="6" sqref="C1" start="0" length="0">
      <dxf>
        <numFmt numFmtId="167" formatCode="#,##0.0"/>
      </dxf>
    </rfmt>
    <rfmt sheetId="6" sqref="D1" start="0" length="0">
      <dxf>
        <numFmt numFmtId="167" formatCode="#,##0.0"/>
      </dxf>
    </rfmt>
    <rfmt sheetId="6" s="1" sqref="E1" start="0" length="0">
      <dxf>
        <numFmt numFmtId="13" formatCode="0%"/>
      </dxf>
    </rfmt>
    <rfmt sheetId="6" sqref="F1" start="0" length="0">
      <dxf>
        <numFmt numFmtId="167" formatCode="#,##0.0"/>
      </dxf>
    </rfmt>
    <rfmt sheetId="6" sqref="G1" start="0" length="0">
      <dxf>
        <numFmt numFmtId="167" formatCode="#,##0.0"/>
      </dxf>
    </rfmt>
    <rfmt sheetId="6" s="1" sqref="H1" start="0" length="0">
      <dxf>
        <numFmt numFmtId="13" formatCode="0%"/>
      </dxf>
    </rfmt>
  </rrc>
  <rrc rId="35933" sId="6" ref="A1:XFD1" action="deleteRow">
    <undo index="2" exp="area" ref3D="1" dr="$A$73:$XFD$87" dn="Z_78CA186D_B240_44D5_8A24_D241DE0B0FD9_.wvu.Rows" sId="6"/>
    <undo index="2" exp="area" ref3D="1" dr="$A$73:$XFD$87" dn="Z_F784130D_F647_4ABA_8943_C79CA5B0FDC4_.wvu.Rows" sId="6"/>
    <undo index="2" exp="area" ref3D="1" dr="$A$73:$XFD$87" dn="Z_E44F5FE1_54FC_4AB3_84F9_7D65ACF2DDE7_.wvu.Rows" sId="6"/>
    <undo index="2" exp="area" ref3D="1" dr="$A$73:$XFD$87" dn="Z_AEFEB150_9213_45F5_A178_7AC71E46DB11_.wvu.Rows" sId="6"/>
    <undo index="2" exp="area" ref3D="1" dr="$A$73:$XFD$87" dn="Z_9D4F0482_B164_4671_805A_E0D2D4DD4720_.wvu.Rows" sId="6"/>
    <undo index="2" exp="area" ref3D="1" dr="$A$73:$XFD$87" dn="Z_94DA13B6_7351_40F3_8CF7_A4211EC439DA_.wvu.Rows" sId="6"/>
    <undo index="2" exp="area" ref3D="1" dr="$A$73:$XFD$87" dn="Z_8F508F4D_4777_42BE_9707_8CB9355F7BDB_.wvu.Rows" sId="6"/>
    <undo index="2" exp="area" ref3D="1" dr="$A$73:$XFD$87" dn="Z_567C3053_2D8E_4705_8DC7_18896C5303CA_.wvu.Rows" sId="6"/>
    <undo index="2" exp="area" ref3D="1" dr="$A$73:$XFD$87" dn="Z_455630F5_40FC_47DB_8AD4_712C20B8FB91_.wvu.Rows" sId="6"/>
    <undo index="2" exp="area" ref3D="1" dr="$A$73:$XFD$87" dn="Z_1E5198E1_BA46_4CE0_8628_4F695B0D7A3B_.wvu.Rows" sId="6"/>
    <rfmt sheetId="6" xfDxf="1" sqref="A1:XFD1" start="0" length="0">
      <dxf>
        <font>
          <b/>
        </font>
      </dxf>
    </rfmt>
    <rfmt sheetId="6" sqref="A1" start="0" length="0">
      <dxf/>
    </rfmt>
    <rfmt sheetId="6" sqref="B1" start="0" length="0">
      <dxf>
        <numFmt numFmtId="167" formatCode="#,##0.0"/>
      </dxf>
    </rfmt>
    <rfmt sheetId="6" sqref="C1" start="0" length="0">
      <dxf>
        <numFmt numFmtId="167" formatCode="#,##0.0"/>
      </dxf>
    </rfmt>
    <rfmt sheetId="6" sqref="D1" start="0" length="0">
      <dxf>
        <numFmt numFmtId="167" formatCode="#,##0.0"/>
      </dxf>
    </rfmt>
    <rfmt sheetId="6" s="1" sqref="E1" start="0" length="0">
      <dxf>
        <numFmt numFmtId="13" formatCode="0%"/>
      </dxf>
    </rfmt>
    <rfmt sheetId="6" sqref="F1" start="0" length="0">
      <dxf>
        <numFmt numFmtId="167" formatCode="#,##0.0"/>
      </dxf>
    </rfmt>
    <rfmt sheetId="6" s="1" sqref="H1" start="0" length="0">
      <dxf>
        <numFmt numFmtId="13" formatCode="0%"/>
      </dxf>
    </rfmt>
  </rrc>
  <rrc rId="35934" sId="6" ref="A1:XFD1" action="deleteRow">
    <undo index="2" exp="area" ref3D="1" dr="$A$72:$XFD$86" dn="Z_78CA186D_B240_44D5_8A24_D241DE0B0FD9_.wvu.Rows" sId="6"/>
    <undo index="2" exp="area" ref3D="1" dr="$A$72:$XFD$86" dn="Z_F784130D_F647_4ABA_8943_C79CA5B0FDC4_.wvu.Rows" sId="6"/>
    <undo index="2" exp="area" ref3D="1" dr="$A$72:$XFD$86" dn="Z_E44F5FE1_54FC_4AB3_84F9_7D65ACF2DDE7_.wvu.Rows" sId="6"/>
    <undo index="2" exp="area" ref3D="1" dr="$A$72:$XFD$86" dn="Z_AEFEB150_9213_45F5_A178_7AC71E46DB11_.wvu.Rows" sId="6"/>
    <undo index="2" exp="area" ref3D="1" dr="$A$72:$XFD$86" dn="Z_9D4F0482_B164_4671_805A_E0D2D4DD4720_.wvu.Rows" sId="6"/>
    <undo index="2" exp="area" ref3D="1" dr="$A$72:$XFD$86" dn="Z_94DA13B6_7351_40F3_8CF7_A4211EC439DA_.wvu.Rows" sId="6"/>
    <undo index="2" exp="area" ref3D="1" dr="$A$72:$XFD$86" dn="Z_8F508F4D_4777_42BE_9707_8CB9355F7BDB_.wvu.Rows" sId="6"/>
    <undo index="2" exp="area" ref3D="1" dr="$A$72:$XFD$86" dn="Z_567C3053_2D8E_4705_8DC7_18896C5303CA_.wvu.Rows" sId="6"/>
    <undo index="2" exp="area" ref3D="1" dr="$A$72:$XFD$86" dn="Z_455630F5_40FC_47DB_8AD4_712C20B8FB91_.wvu.Rows" sId="6"/>
    <undo index="2" exp="area" ref3D="1" dr="$A$72:$XFD$86" dn="Z_1E5198E1_BA46_4CE0_8628_4F695B0D7A3B_.wvu.Rows" sId="6"/>
    <rfmt sheetId="6" xfDxf="1" sqref="A1:XFD1" start="0" length="0">
      <dxf>
        <font>
          <b/>
        </font>
      </dxf>
    </rfmt>
    <rfmt sheetId="6" sqref="A1" start="0" length="0">
      <dxf>
        <font>
          <b val="0"/>
          <i/>
        </font>
      </dxf>
    </rfmt>
    <rfmt sheetId="6" sqref="B1" start="0" length="0">
      <dxf>
        <numFmt numFmtId="167" formatCode="#,##0.0"/>
      </dxf>
    </rfmt>
    <rfmt sheetId="6" sqref="C1" start="0" length="0">
      <dxf>
        <numFmt numFmtId="167" formatCode="#,##0.0"/>
      </dxf>
    </rfmt>
    <rfmt sheetId="6" sqref="D1" start="0" length="0">
      <dxf>
        <numFmt numFmtId="167" formatCode="#,##0.0"/>
      </dxf>
    </rfmt>
    <rfmt sheetId="6" s="1" sqref="E1" start="0" length="0">
      <dxf>
        <numFmt numFmtId="13" formatCode="0%"/>
      </dxf>
    </rfmt>
    <rfmt sheetId="6" sqref="F1" start="0" length="0">
      <dxf>
        <numFmt numFmtId="167" formatCode="#,##0.0"/>
      </dxf>
    </rfmt>
    <rfmt sheetId="6" s="1" sqref="H1" start="0" length="0">
      <dxf>
        <numFmt numFmtId="13" formatCode="0%"/>
      </dxf>
    </rfmt>
  </rrc>
  <rrc rId="35935" sId="6" ref="A1:XFD1" action="deleteRow">
    <undo index="2" exp="area" ref3D="1" dr="$A$71:$XFD$85" dn="Z_78CA186D_B240_44D5_8A24_D241DE0B0FD9_.wvu.Rows" sId="6"/>
    <undo index="2" exp="area" ref3D="1" dr="$A$71:$XFD$85" dn="Z_F784130D_F647_4ABA_8943_C79CA5B0FDC4_.wvu.Rows" sId="6"/>
    <undo index="2" exp="area" ref3D="1" dr="$A$71:$XFD$85" dn="Z_E44F5FE1_54FC_4AB3_84F9_7D65ACF2DDE7_.wvu.Rows" sId="6"/>
    <undo index="2" exp="area" ref3D="1" dr="$A$71:$XFD$85" dn="Z_AEFEB150_9213_45F5_A178_7AC71E46DB11_.wvu.Rows" sId="6"/>
    <undo index="2" exp="area" ref3D="1" dr="$A$71:$XFD$85" dn="Z_9D4F0482_B164_4671_805A_E0D2D4DD4720_.wvu.Rows" sId="6"/>
    <undo index="2" exp="area" ref3D="1" dr="$A$71:$XFD$85" dn="Z_94DA13B6_7351_40F3_8CF7_A4211EC439DA_.wvu.Rows" sId="6"/>
    <undo index="2" exp="area" ref3D="1" dr="$A$71:$XFD$85" dn="Z_8F508F4D_4777_42BE_9707_8CB9355F7BDB_.wvu.Rows" sId="6"/>
    <undo index="2" exp="area" ref3D="1" dr="$A$71:$XFD$85" dn="Z_567C3053_2D8E_4705_8DC7_18896C5303CA_.wvu.Rows" sId="6"/>
    <undo index="2" exp="area" ref3D="1" dr="$A$71:$XFD$85" dn="Z_455630F5_40FC_47DB_8AD4_712C20B8FB91_.wvu.Rows" sId="6"/>
    <undo index="2" exp="area" ref3D="1" dr="$A$71:$XFD$85" dn="Z_1E5198E1_BA46_4CE0_8628_4F695B0D7A3B_.wvu.Rows" sId="6"/>
    <rfmt sheetId="6" xfDxf="1" sqref="A1:XFD1" start="0" length="0">
      <dxf>
        <font>
          <b/>
        </font>
      </dxf>
    </rfmt>
    <rfmt sheetId="6" sqref="A1" start="0" length="0">
      <dxf>
        <font>
          <b val="0"/>
          <i/>
        </font>
      </dxf>
    </rfmt>
    <rfmt sheetId="6" sqref="B1" start="0" length="0">
      <dxf>
        <numFmt numFmtId="167" formatCode="#,##0.0"/>
      </dxf>
    </rfmt>
    <rfmt sheetId="6" sqref="C1" start="0" length="0">
      <dxf>
        <numFmt numFmtId="167" formatCode="#,##0.0"/>
      </dxf>
    </rfmt>
    <rfmt sheetId="6" sqref="D1" start="0" length="0">
      <dxf>
        <numFmt numFmtId="167" formatCode="#,##0.0"/>
      </dxf>
    </rfmt>
    <rfmt sheetId="6" s="1" sqref="E1" start="0" length="0">
      <dxf>
        <numFmt numFmtId="13" formatCode="0%"/>
      </dxf>
    </rfmt>
    <rfmt sheetId="6" sqref="F1" start="0" length="0">
      <dxf>
        <numFmt numFmtId="167" formatCode="#,##0.0"/>
      </dxf>
    </rfmt>
    <rfmt sheetId="6" s="1" sqref="H1" start="0" length="0">
      <dxf>
        <numFmt numFmtId="13" formatCode="0%"/>
      </dxf>
    </rfmt>
  </rrc>
  <rrc rId="35936" sId="6" ref="A1:XFD1" action="deleteRow">
    <undo index="2" exp="area" ref3D="1" dr="$A$70:$XFD$84" dn="Z_78CA186D_B240_44D5_8A24_D241DE0B0FD9_.wvu.Rows" sId="6"/>
    <undo index="2" exp="area" ref3D="1" dr="$A$70:$XFD$84" dn="Z_F784130D_F647_4ABA_8943_C79CA5B0FDC4_.wvu.Rows" sId="6"/>
    <undo index="2" exp="area" ref3D="1" dr="$A$70:$XFD$84" dn="Z_E44F5FE1_54FC_4AB3_84F9_7D65ACF2DDE7_.wvu.Rows" sId="6"/>
    <undo index="2" exp="area" ref3D="1" dr="$A$70:$XFD$84" dn="Z_AEFEB150_9213_45F5_A178_7AC71E46DB11_.wvu.Rows" sId="6"/>
    <undo index="2" exp="area" ref3D="1" dr="$A$70:$XFD$84" dn="Z_9D4F0482_B164_4671_805A_E0D2D4DD4720_.wvu.Rows" sId="6"/>
    <undo index="2" exp="area" ref3D="1" dr="$A$70:$XFD$84" dn="Z_94DA13B6_7351_40F3_8CF7_A4211EC439DA_.wvu.Rows" sId="6"/>
    <undo index="2" exp="area" ref3D="1" dr="$A$70:$XFD$84" dn="Z_8F508F4D_4777_42BE_9707_8CB9355F7BDB_.wvu.Rows" sId="6"/>
    <undo index="2" exp="area" ref3D="1" dr="$A$70:$XFD$84" dn="Z_567C3053_2D8E_4705_8DC7_18896C5303CA_.wvu.Rows" sId="6"/>
    <undo index="2" exp="area" ref3D="1" dr="$A$70:$XFD$84" dn="Z_455630F5_40FC_47DB_8AD4_712C20B8FB91_.wvu.Rows" sId="6"/>
    <undo index="2" exp="area" ref3D="1" dr="$A$70:$XFD$84" dn="Z_1E5198E1_BA46_4CE0_8628_4F695B0D7A3B_.wvu.Rows" sId="6"/>
    <rfmt sheetId="6" xfDxf="1" sqref="A1:XFD1" start="0" length="0">
      <dxf>
        <font>
          <b/>
        </font>
      </dxf>
    </rfmt>
    <rfmt sheetId="6" sqref="A1" start="0" length="0">
      <dxf>
        <font>
          <b val="0"/>
          <i/>
        </font>
      </dxf>
    </rfmt>
    <rfmt sheetId="6" sqref="B1" start="0" length="0">
      <dxf>
        <numFmt numFmtId="167" formatCode="#,##0.0"/>
      </dxf>
    </rfmt>
    <rfmt sheetId="6" sqref="C1" start="0" length="0">
      <dxf>
        <numFmt numFmtId="167" formatCode="#,##0.0"/>
      </dxf>
    </rfmt>
    <rfmt sheetId="6" sqref="D1" start="0" length="0">
      <dxf>
        <numFmt numFmtId="167" formatCode="#,##0.0"/>
      </dxf>
    </rfmt>
    <rfmt sheetId="6" s="1" sqref="E1" start="0" length="0">
      <dxf>
        <numFmt numFmtId="13" formatCode="0%"/>
      </dxf>
    </rfmt>
    <rfmt sheetId="6" sqref="F1" start="0" length="0">
      <dxf>
        <numFmt numFmtId="167" formatCode="#,##0.0"/>
      </dxf>
    </rfmt>
    <rfmt sheetId="6" s="1" sqref="H1" start="0" length="0">
      <dxf>
        <numFmt numFmtId="13" formatCode="0%"/>
      </dxf>
    </rfmt>
  </rrc>
  <rrc rId="35937" sId="6" ref="A1:XFD1" action="deleteRow">
    <undo index="2" exp="area" ref3D="1" dr="$A$69:$XFD$83" dn="Z_78CA186D_B240_44D5_8A24_D241DE0B0FD9_.wvu.Rows" sId="6"/>
    <undo index="2" exp="area" ref3D="1" dr="$A$69:$XFD$83" dn="Z_F784130D_F647_4ABA_8943_C79CA5B0FDC4_.wvu.Rows" sId="6"/>
    <undo index="2" exp="area" ref3D="1" dr="$A$69:$XFD$83" dn="Z_E44F5FE1_54FC_4AB3_84F9_7D65ACF2DDE7_.wvu.Rows" sId="6"/>
    <undo index="2" exp="area" ref3D="1" dr="$A$69:$XFD$83" dn="Z_AEFEB150_9213_45F5_A178_7AC71E46DB11_.wvu.Rows" sId="6"/>
    <undo index="2" exp="area" ref3D="1" dr="$A$69:$XFD$83" dn="Z_9D4F0482_B164_4671_805A_E0D2D4DD4720_.wvu.Rows" sId="6"/>
    <undo index="2" exp="area" ref3D="1" dr="$A$69:$XFD$83" dn="Z_94DA13B6_7351_40F3_8CF7_A4211EC439DA_.wvu.Rows" sId="6"/>
    <undo index="2" exp="area" ref3D="1" dr="$A$69:$XFD$83" dn="Z_8F508F4D_4777_42BE_9707_8CB9355F7BDB_.wvu.Rows" sId="6"/>
    <undo index="2" exp="area" ref3D="1" dr="$A$69:$XFD$83" dn="Z_567C3053_2D8E_4705_8DC7_18896C5303CA_.wvu.Rows" sId="6"/>
    <undo index="2" exp="area" ref3D="1" dr="$A$69:$XFD$83" dn="Z_455630F5_40FC_47DB_8AD4_712C20B8FB91_.wvu.Rows" sId="6"/>
    <undo index="2" exp="area" ref3D="1" dr="$A$69:$XFD$83" dn="Z_1E5198E1_BA46_4CE0_8628_4F695B0D7A3B_.wvu.Rows" sId="6"/>
    <rfmt sheetId="6" xfDxf="1" sqref="A1:XFD1" start="0" length="0">
      <dxf>
        <font>
          <b/>
        </font>
      </dxf>
    </rfmt>
    <rfmt sheetId="6" sqref="A1" start="0" length="0">
      <dxf>
        <font>
          <b val="0"/>
          <i/>
        </font>
      </dxf>
    </rfmt>
    <rfmt sheetId="6" sqref="B1" start="0" length="0">
      <dxf>
        <numFmt numFmtId="167" formatCode="#,##0.0"/>
      </dxf>
    </rfmt>
    <rfmt sheetId="6" sqref="C1" start="0" length="0">
      <dxf>
        <numFmt numFmtId="167" formatCode="#,##0.0"/>
      </dxf>
    </rfmt>
    <rfmt sheetId="6" sqref="D1" start="0" length="0">
      <dxf>
        <numFmt numFmtId="167" formatCode="#,##0.0"/>
      </dxf>
    </rfmt>
    <rfmt sheetId="6" s="1" sqref="E1" start="0" length="0">
      <dxf>
        <numFmt numFmtId="13" formatCode="0%"/>
      </dxf>
    </rfmt>
    <rfmt sheetId="6" sqref="F1" start="0" length="0">
      <dxf>
        <numFmt numFmtId="167" formatCode="#,##0.0"/>
      </dxf>
    </rfmt>
    <rfmt sheetId="6" s="1" sqref="H1" start="0" length="0">
      <dxf>
        <numFmt numFmtId="13" formatCode="0%"/>
      </dxf>
    </rfmt>
  </rrc>
  <rrc rId="35938" sId="6" ref="A1:XFD1" action="deleteRow">
    <undo index="2" exp="area" ref3D="1" dr="$A$68:$XFD$82" dn="Z_78CA186D_B240_44D5_8A24_D241DE0B0FD9_.wvu.Rows" sId="6"/>
    <undo index="2" exp="area" ref3D="1" dr="$A$68:$XFD$82" dn="Z_F784130D_F647_4ABA_8943_C79CA5B0FDC4_.wvu.Rows" sId="6"/>
    <undo index="2" exp="area" ref3D="1" dr="$A$68:$XFD$82" dn="Z_E44F5FE1_54FC_4AB3_84F9_7D65ACF2DDE7_.wvu.Rows" sId="6"/>
    <undo index="2" exp="area" ref3D="1" dr="$A$68:$XFD$82" dn="Z_AEFEB150_9213_45F5_A178_7AC71E46DB11_.wvu.Rows" sId="6"/>
    <undo index="2" exp="area" ref3D="1" dr="$A$68:$XFD$82" dn="Z_9D4F0482_B164_4671_805A_E0D2D4DD4720_.wvu.Rows" sId="6"/>
    <undo index="2" exp="area" ref3D="1" dr="$A$68:$XFD$82" dn="Z_94DA13B6_7351_40F3_8CF7_A4211EC439DA_.wvu.Rows" sId="6"/>
    <undo index="2" exp="area" ref3D="1" dr="$A$68:$XFD$82" dn="Z_8F508F4D_4777_42BE_9707_8CB9355F7BDB_.wvu.Rows" sId="6"/>
    <undo index="2" exp="area" ref3D="1" dr="$A$68:$XFD$82" dn="Z_567C3053_2D8E_4705_8DC7_18896C5303CA_.wvu.Rows" sId="6"/>
    <undo index="2" exp="area" ref3D="1" dr="$A$68:$XFD$82" dn="Z_455630F5_40FC_47DB_8AD4_712C20B8FB91_.wvu.Rows" sId="6"/>
    <undo index="2" exp="area" ref3D="1" dr="$A$68:$XFD$82" dn="Z_1E5198E1_BA46_4CE0_8628_4F695B0D7A3B_.wvu.Rows" sId="6"/>
    <rfmt sheetId="6" xfDxf="1" sqref="A1:XFD1" start="0" length="0">
      <dxf>
        <font>
          <b/>
        </font>
      </dxf>
    </rfmt>
    <rfmt sheetId="6" sqref="A1" start="0" length="0">
      <dxf>
        <font>
          <b val="0"/>
          <i/>
        </font>
      </dxf>
    </rfmt>
    <rfmt sheetId="6" sqref="B1" start="0" length="0">
      <dxf>
        <font>
          <b val="0"/>
        </font>
        <numFmt numFmtId="167" formatCode="#,##0.0"/>
      </dxf>
    </rfmt>
    <rfmt sheetId="6" sqref="C1" start="0" length="0">
      <dxf>
        <font>
          <b val="0"/>
        </font>
        <numFmt numFmtId="167" formatCode="#,##0.0"/>
      </dxf>
    </rfmt>
    <rfmt sheetId="6" sqref="D1" start="0" length="0">
      <dxf>
        <font>
          <b val="0"/>
        </font>
        <numFmt numFmtId="167" formatCode="#,##0.0"/>
      </dxf>
    </rfmt>
    <rfmt sheetId="6" s="1" sqref="E1" start="0" length="0">
      <dxf>
        <numFmt numFmtId="13" formatCode="0%"/>
      </dxf>
    </rfmt>
    <rfmt sheetId="6" sqref="F1" start="0" length="0">
      <dxf>
        <font>
          <b val="0"/>
        </font>
        <numFmt numFmtId="167" formatCode="#,##0.0"/>
      </dxf>
    </rfmt>
    <rfmt sheetId="6" s="1" sqref="H1" start="0" length="0">
      <dxf>
        <numFmt numFmtId="13" formatCode="0%"/>
      </dxf>
    </rfmt>
  </rrc>
  <rrc rId="35939" sId="6" ref="A1:XFD1" action="deleteRow">
    <undo index="2" exp="area" ref3D="1" dr="$A$67:$XFD$81" dn="Z_78CA186D_B240_44D5_8A24_D241DE0B0FD9_.wvu.Rows" sId="6"/>
    <undo index="2" exp="area" ref3D="1" dr="$A$67:$XFD$81" dn="Z_F784130D_F647_4ABA_8943_C79CA5B0FDC4_.wvu.Rows" sId="6"/>
    <undo index="2" exp="area" ref3D="1" dr="$A$67:$XFD$81" dn="Z_E44F5FE1_54FC_4AB3_84F9_7D65ACF2DDE7_.wvu.Rows" sId="6"/>
    <undo index="2" exp="area" ref3D="1" dr="$A$67:$XFD$81" dn="Z_AEFEB150_9213_45F5_A178_7AC71E46DB11_.wvu.Rows" sId="6"/>
    <undo index="2" exp="area" ref3D="1" dr="$A$67:$XFD$81" dn="Z_9D4F0482_B164_4671_805A_E0D2D4DD4720_.wvu.Rows" sId="6"/>
    <undo index="2" exp="area" ref3D="1" dr="$A$67:$XFD$81" dn="Z_94DA13B6_7351_40F3_8CF7_A4211EC439DA_.wvu.Rows" sId="6"/>
    <undo index="2" exp="area" ref3D="1" dr="$A$67:$XFD$81" dn="Z_8F508F4D_4777_42BE_9707_8CB9355F7BDB_.wvu.Rows" sId="6"/>
    <undo index="2" exp="area" ref3D="1" dr="$A$67:$XFD$81" dn="Z_567C3053_2D8E_4705_8DC7_18896C5303CA_.wvu.Rows" sId="6"/>
    <undo index="2" exp="area" ref3D="1" dr="$A$67:$XFD$81" dn="Z_455630F5_40FC_47DB_8AD4_712C20B8FB91_.wvu.Rows" sId="6"/>
    <undo index="2" exp="area" ref3D="1" dr="$A$67:$XFD$81" dn="Z_1E5198E1_BA46_4CE0_8628_4F695B0D7A3B_.wvu.Rows" sId="6"/>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1" sqref="E1" start="0" length="0">
      <dxf>
        <numFmt numFmtId="13" formatCode="0%"/>
      </dxf>
    </rfmt>
    <rfmt sheetId="6" sqref="F1" start="0" length="0">
      <dxf>
        <numFmt numFmtId="167" formatCode="#,##0.0"/>
      </dxf>
    </rfmt>
    <rfmt sheetId="6" s="1" sqref="H1" start="0" length="0">
      <dxf>
        <numFmt numFmtId="13" formatCode="0%"/>
      </dxf>
    </rfmt>
  </rrc>
  <rrc rId="35940" sId="6" ref="A1:XFD1" action="deleteRow">
    <undo index="2" exp="area" ref3D="1" dr="$A$66:$XFD$80" dn="Z_78CA186D_B240_44D5_8A24_D241DE0B0FD9_.wvu.Rows" sId="6"/>
    <undo index="2" exp="area" ref3D="1" dr="$A$66:$XFD$80" dn="Z_F784130D_F647_4ABA_8943_C79CA5B0FDC4_.wvu.Rows" sId="6"/>
    <undo index="2" exp="area" ref3D="1" dr="$A$66:$XFD$80" dn="Z_E44F5FE1_54FC_4AB3_84F9_7D65ACF2DDE7_.wvu.Rows" sId="6"/>
    <undo index="2" exp="area" ref3D="1" dr="$A$66:$XFD$80" dn="Z_AEFEB150_9213_45F5_A178_7AC71E46DB11_.wvu.Rows" sId="6"/>
    <undo index="2" exp="area" ref3D="1" dr="$A$66:$XFD$80" dn="Z_9D4F0482_B164_4671_805A_E0D2D4DD4720_.wvu.Rows" sId="6"/>
    <undo index="2" exp="area" ref3D="1" dr="$A$66:$XFD$80" dn="Z_94DA13B6_7351_40F3_8CF7_A4211EC439DA_.wvu.Rows" sId="6"/>
    <undo index="2" exp="area" ref3D="1" dr="$A$66:$XFD$80" dn="Z_8F508F4D_4777_42BE_9707_8CB9355F7BDB_.wvu.Rows" sId="6"/>
    <undo index="2" exp="area" ref3D="1" dr="$A$66:$XFD$80" dn="Z_567C3053_2D8E_4705_8DC7_18896C5303CA_.wvu.Rows" sId="6"/>
    <undo index="2" exp="area" ref3D="1" dr="$A$66:$XFD$80" dn="Z_455630F5_40FC_47DB_8AD4_712C20B8FB91_.wvu.Rows" sId="6"/>
    <undo index="2" exp="area" ref3D="1" dr="$A$66:$XFD$80" dn="Z_1E5198E1_BA46_4CE0_8628_4F695B0D7A3B_.wvu.Rows" sId="6"/>
    <rfmt sheetId="6" xfDxf="1" sqref="A1:XFD1" start="0" length="0">
      <dxf>
        <font/>
        <fill>
          <patternFill patternType="solid">
            <bgColor theme="0" tint="-0.249977111117893"/>
          </patternFill>
        </fill>
      </dxf>
    </rfmt>
    <rfmt sheetId="6" sqref="A1" start="0" length="0">
      <dxf>
        <font>
          <b/>
        </font>
      </dxf>
    </rfmt>
    <rfmt sheetId="6" sqref="B1" start="0" length="0">
      <dxf>
        <numFmt numFmtId="167" formatCode="#,##0.0"/>
      </dxf>
    </rfmt>
    <rfmt sheetId="6" sqref="C1" start="0" length="0">
      <dxf>
        <numFmt numFmtId="167" formatCode="#,##0.0"/>
      </dxf>
    </rfmt>
    <rfmt sheetId="6" sqref="D1" start="0" length="0">
      <dxf>
        <numFmt numFmtId="167" formatCode="#,##0.0"/>
      </dxf>
    </rfmt>
    <rfmt sheetId="6" s="1" sqref="E1" start="0" length="0">
      <dxf>
        <numFmt numFmtId="13" formatCode="0%"/>
      </dxf>
    </rfmt>
    <rfmt sheetId="6" sqref="F1" start="0" length="0">
      <dxf>
        <numFmt numFmtId="167" formatCode="#,##0.0"/>
      </dxf>
    </rfmt>
    <rfmt sheetId="6" s="1" sqref="H1" start="0" length="0">
      <dxf>
        <numFmt numFmtId="13" formatCode="0%"/>
      </dxf>
    </rfmt>
  </rrc>
  <rrc rId="35941" sId="6" ref="A1:XFD1" action="deleteRow">
    <undo index="2" exp="area" ref3D="1" dr="$A$65:$XFD$79" dn="Z_78CA186D_B240_44D5_8A24_D241DE0B0FD9_.wvu.Rows" sId="6"/>
    <undo index="2" exp="area" ref3D="1" dr="$A$65:$XFD$79" dn="Z_F784130D_F647_4ABA_8943_C79CA5B0FDC4_.wvu.Rows" sId="6"/>
    <undo index="2" exp="area" ref3D="1" dr="$A$65:$XFD$79" dn="Z_E44F5FE1_54FC_4AB3_84F9_7D65ACF2DDE7_.wvu.Rows" sId="6"/>
    <undo index="2" exp="area" ref3D="1" dr="$A$65:$XFD$79" dn="Z_AEFEB150_9213_45F5_A178_7AC71E46DB11_.wvu.Rows" sId="6"/>
    <undo index="2" exp="area" ref3D="1" dr="$A$65:$XFD$79" dn="Z_9D4F0482_B164_4671_805A_E0D2D4DD4720_.wvu.Rows" sId="6"/>
    <undo index="2" exp="area" ref3D="1" dr="$A$65:$XFD$79" dn="Z_94DA13B6_7351_40F3_8CF7_A4211EC439DA_.wvu.Rows" sId="6"/>
    <undo index="2" exp="area" ref3D="1" dr="$A$65:$XFD$79" dn="Z_8F508F4D_4777_42BE_9707_8CB9355F7BDB_.wvu.Rows" sId="6"/>
    <undo index="2" exp="area" ref3D="1" dr="$A$65:$XFD$79" dn="Z_567C3053_2D8E_4705_8DC7_18896C5303CA_.wvu.Rows" sId="6"/>
    <undo index="2" exp="area" ref3D="1" dr="$A$65:$XFD$79" dn="Z_455630F5_40FC_47DB_8AD4_712C20B8FB91_.wvu.Rows" sId="6"/>
    <undo index="2" exp="area" ref3D="1" dr="$A$65:$XFD$79" dn="Z_1E5198E1_BA46_4CE0_8628_4F695B0D7A3B_.wvu.Rows" sId="6"/>
    <rfmt sheetId="6" xfDxf="1" sqref="A1:XFD1" start="0" length="0">
      <dxf>
        <font/>
      </dxf>
    </rfmt>
    <rfmt sheetId="6" sqref="A1" start="0" length="0">
      <dxf/>
    </rfmt>
    <rfmt sheetId="6" sqref="B1" start="0" length="0">
      <dxf>
        <numFmt numFmtId="167" formatCode="#,##0.0"/>
      </dxf>
    </rfmt>
    <rfmt sheetId="6" sqref="C1" start="0" length="0">
      <dxf>
        <numFmt numFmtId="167" formatCode="#,##0.0"/>
      </dxf>
    </rfmt>
    <rfmt sheetId="6" sqref="D1" start="0" length="0">
      <dxf>
        <numFmt numFmtId="167" formatCode="#,##0.0"/>
      </dxf>
    </rfmt>
    <rfmt sheetId="6" s="1" sqref="E1" start="0" length="0">
      <dxf>
        <numFmt numFmtId="13" formatCode="0%"/>
      </dxf>
    </rfmt>
    <rfmt sheetId="6" sqref="F1" start="0" length="0">
      <dxf>
        <numFmt numFmtId="167" formatCode="#,##0.0"/>
      </dxf>
    </rfmt>
    <rfmt sheetId="6" sqref="G1" start="0" length="0">
      <dxf>
        <numFmt numFmtId="167" formatCode="#,##0.0"/>
      </dxf>
    </rfmt>
    <rfmt sheetId="6" s="1" sqref="H1" start="0" length="0">
      <dxf>
        <numFmt numFmtId="13" formatCode="0%"/>
      </dxf>
    </rfmt>
  </rrc>
  <rrc rId="35942" sId="6" ref="A1:XFD1" action="deleteRow">
    <undo index="2" exp="area" ref3D="1" dr="$A$64:$XFD$78" dn="Z_78CA186D_B240_44D5_8A24_D241DE0B0FD9_.wvu.Rows" sId="6"/>
    <undo index="2" exp="area" ref3D="1" dr="$A$64:$XFD$78" dn="Z_F784130D_F647_4ABA_8943_C79CA5B0FDC4_.wvu.Rows" sId="6"/>
    <undo index="2" exp="area" ref3D="1" dr="$A$64:$XFD$78" dn="Z_E44F5FE1_54FC_4AB3_84F9_7D65ACF2DDE7_.wvu.Rows" sId="6"/>
    <undo index="2" exp="area" ref3D="1" dr="$A$64:$XFD$78" dn="Z_AEFEB150_9213_45F5_A178_7AC71E46DB11_.wvu.Rows" sId="6"/>
    <undo index="2" exp="area" ref3D="1" dr="$A$64:$XFD$78" dn="Z_9D4F0482_B164_4671_805A_E0D2D4DD4720_.wvu.Rows" sId="6"/>
    <undo index="2" exp="area" ref3D="1" dr="$A$64:$XFD$78" dn="Z_94DA13B6_7351_40F3_8CF7_A4211EC439DA_.wvu.Rows" sId="6"/>
    <undo index="2" exp="area" ref3D="1" dr="$A$64:$XFD$78" dn="Z_8F508F4D_4777_42BE_9707_8CB9355F7BDB_.wvu.Rows" sId="6"/>
    <undo index="2" exp="area" ref3D="1" dr="$A$64:$XFD$78" dn="Z_567C3053_2D8E_4705_8DC7_18896C5303CA_.wvu.Rows" sId="6"/>
    <undo index="2" exp="area" ref3D="1" dr="$A$64:$XFD$78" dn="Z_455630F5_40FC_47DB_8AD4_712C20B8FB91_.wvu.Rows" sId="6"/>
    <undo index="2" exp="area" ref3D="1" dr="$A$64:$XFD$78" dn="Z_1E5198E1_BA46_4CE0_8628_4F695B0D7A3B_.wvu.Rows" sId="6"/>
    <rfmt sheetId="6" xfDxf="1" sqref="A1:XFD1" start="0" length="0">
      <dxf>
        <font/>
      </dxf>
    </rfmt>
    <rfmt sheetId="6" sqref="A1" start="0" length="0">
      <dxf/>
    </rfmt>
    <rfmt sheetId="6" sqref="B1" start="0" length="0">
      <dxf>
        <numFmt numFmtId="167" formatCode="#,##0.0"/>
      </dxf>
    </rfmt>
    <rfmt sheetId="6" sqref="C1" start="0" length="0">
      <dxf>
        <numFmt numFmtId="167" formatCode="#,##0.0"/>
      </dxf>
    </rfmt>
    <rfmt sheetId="6" sqref="D1" start="0" length="0">
      <dxf>
        <numFmt numFmtId="167" formatCode="#,##0.0"/>
      </dxf>
    </rfmt>
    <rfmt sheetId="6" s="1" sqref="E1" start="0" length="0">
      <dxf>
        <numFmt numFmtId="13" formatCode="0%"/>
      </dxf>
    </rfmt>
    <rfmt sheetId="6" sqref="F1" start="0" length="0">
      <dxf>
        <numFmt numFmtId="167" formatCode="#,##0.0"/>
      </dxf>
    </rfmt>
    <rfmt sheetId="6" sqref="G1" start="0" length="0">
      <dxf>
        <numFmt numFmtId="167" formatCode="#,##0.0"/>
      </dxf>
    </rfmt>
    <rfmt sheetId="6" s="1" sqref="H1" start="0" length="0">
      <dxf>
        <numFmt numFmtId="13" formatCode="0%"/>
      </dxf>
    </rfmt>
  </rrc>
  <rrc rId="35943" sId="6" ref="A1:XFD1" action="deleteRow">
    <undo index="2" exp="area" ref3D="1" dr="$A$63:$XFD$77" dn="Z_78CA186D_B240_44D5_8A24_D241DE0B0FD9_.wvu.Rows" sId="6"/>
    <undo index="2" exp="area" ref3D="1" dr="$A$63:$XFD$77" dn="Z_F784130D_F647_4ABA_8943_C79CA5B0FDC4_.wvu.Rows" sId="6"/>
    <undo index="2" exp="area" ref3D="1" dr="$A$63:$XFD$77" dn="Z_E44F5FE1_54FC_4AB3_84F9_7D65ACF2DDE7_.wvu.Rows" sId="6"/>
    <undo index="2" exp="area" ref3D="1" dr="$A$63:$XFD$77" dn="Z_AEFEB150_9213_45F5_A178_7AC71E46DB11_.wvu.Rows" sId="6"/>
    <undo index="2" exp="area" ref3D="1" dr="$A$63:$XFD$77" dn="Z_9D4F0482_B164_4671_805A_E0D2D4DD4720_.wvu.Rows" sId="6"/>
    <undo index="2" exp="area" ref3D="1" dr="$A$63:$XFD$77" dn="Z_94DA13B6_7351_40F3_8CF7_A4211EC439DA_.wvu.Rows" sId="6"/>
    <undo index="2" exp="area" ref3D="1" dr="$A$63:$XFD$77" dn="Z_8F508F4D_4777_42BE_9707_8CB9355F7BDB_.wvu.Rows" sId="6"/>
    <undo index="2" exp="area" ref3D="1" dr="$A$63:$XFD$77" dn="Z_567C3053_2D8E_4705_8DC7_18896C5303CA_.wvu.Rows" sId="6"/>
    <undo index="2" exp="area" ref3D="1" dr="$A$63:$XFD$77" dn="Z_455630F5_40FC_47DB_8AD4_712C20B8FB91_.wvu.Rows" sId="6"/>
    <undo index="2" exp="area" ref3D="1" dr="$A$63:$XFD$77" dn="Z_1E5198E1_BA46_4CE0_8628_4F695B0D7A3B_.wvu.Rows" sId="6"/>
    <rfmt sheetId="6" xfDxf="1" sqref="A1:XFD1" start="0" length="0">
      <dxf>
        <font/>
      </dxf>
    </rfmt>
    <rfmt sheetId="6" sqref="A1" start="0" length="0">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numFmt numFmtId="164" formatCode="0.0%"/>
        <alignment horizontal="right" vertical="top" readingOrder="0"/>
      </dxf>
    </rfmt>
    <rfmt sheetId="6" sqref="F1" start="0" length="0">
      <dxf>
        <numFmt numFmtId="167" formatCode="#,##0.0"/>
      </dxf>
    </rfmt>
    <rfmt sheetId="6" sqref="G1" start="0" length="0">
      <dxf>
        <numFmt numFmtId="167" formatCode="#,##0.0"/>
      </dxf>
    </rfmt>
    <rfmt sheetId="6" sqref="H1" start="0" length="0">
      <dxf>
        <numFmt numFmtId="164" formatCode="0.0%"/>
        <alignment horizontal="right" vertical="top" readingOrder="0"/>
      </dxf>
    </rfmt>
  </rrc>
  <rrc rId="35944" sId="6" ref="A1:XFD1" action="deleteRow">
    <undo index="2" exp="area" ref3D="1" dr="$A$62:$XFD$76" dn="Z_78CA186D_B240_44D5_8A24_D241DE0B0FD9_.wvu.Rows" sId="6"/>
    <undo index="2" exp="area" ref3D="1" dr="$A$62:$XFD$76" dn="Z_F784130D_F647_4ABA_8943_C79CA5B0FDC4_.wvu.Rows" sId="6"/>
    <undo index="2" exp="area" ref3D="1" dr="$A$62:$XFD$76" dn="Z_E44F5FE1_54FC_4AB3_84F9_7D65ACF2DDE7_.wvu.Rows" sId="6"/>
    <undo index="2" exp="area" ref3D="1" dr="$A$62:$XFD$76" dn="Z_AEFEB150_9213_45F5_A178_7AC71E46DB11_.wvu.Rows" sId="6"/>
    <undo index="2" exp="area" ref3D="1" dr="$A$62:$XFD$76" dn="Z_9D4F0482_B164_4671_805A_E0D2D4DD4720_.wvu.Rows" sId="6"/>
    <undo index="2" exp="area" ref3D="1" dr="$A$62:$XFD$76" dn="Z_94DA13B6_7351_40F3_8CF7_A4211EC439DA_.wvu.Rows" sId="6"/>
    <undo index="2" exp="area" ref3D="1" dr="$A$62:$XFD$76" dn="Z_8F508F4D_4777_42BE_9707_8CB9355F7BDB_.wvu.Rows" sId="6"/>
    <undo index="2" exp="area" ref3D="1" dr="$A$62:$XFD$76" dn="Z_567C3053_2D8E_4705_8DC7_18896C5303CA_.wvu.Rows" sId="6"/>
    <undo index="2" exp="area" ref3D="1" dr="$A$62:$XFD$76" dn="Z_455630F5_40FC_47DB_8AD4_712C20B8FB91_.wvu.Rows" sId="6"/>
    <undo index="2" exp="area" ref3D="1" dr="$A$62:$XFD$76" dn="Z_1E5198E1_BA46_4CE0_8628_4F695B0D7A3B_.wvu.Rows" sId="6"/>
    <rfmt sheetId="6" xfDxf="1" sqref="A1:XFD1" start="0" length="0">
      <dxf>
        <font/>
      </dxf>
    </rfmt>
    <rfmt sheetId="6" sqref="A1" start="0" length="0">
      <dxf>
        <border outline="0">
          <left style="medium">
            <color indexed="64"/>
          </left>
        </border>
      </dxf>
    </rfmt>
    <rfmt sheetId="6" sqref="B1" start="0" length="0">
      <dxf>
        <numFmt numFmtId="167" formatCode="#,##0.0"/>
      </dxf>
    </rfmt>
    <rfmt sheetId="6" sqref="C1" start="0" length="0">
      <dxf>
        <numFmt numFmtId="167" formatCode="#,##0.0"/>
      </dxf>
    </rfmt>
    <rfmt sheetId="6" sqref="D1" start="0" length="0">
      <dxf>
        <numFmt numFmtId="167" formatCode="#,##0.0"/>
      </dxf>
    </rfmt>
    <rfmt sheetId="6" s="1" sqref="E1" start="0" length="0">
      <dxf>
        <numFmt numFmtId="13" formatCode="0%"/>
      </dxf>
    </rfmt>
    <rfmt sheetId="6" sqref="F1" start="0" length="0">
      <dxf>
        <numFmt numFmtId="167" formatCode="#,##0.0"/>
      </dxf>
    </rfmt>
    <rfmt sheetId="6" sqref="G1" start="0" length="0">
      <dxf>
        <numFmt numFmtId="167" formatCode="#,##0.0"/>
      </dxf>
    </rfmt>
    <rfmt sheetId="6" s="1" sqref="H1" start="0" length="0">
      <dxf>
        <numFmt numFmtId="13" formatCode="0%"/>
      </dxf>
    </rfmt>
  </rrc>
  <rrc rId="35945" sId="6" ref="A1:XFD1" action="deleteRow">
    <undo index="2" exp="area" ref3D="1" dr="$A$61:$XFD$75" dn="Z_78CA186D_B240_44D5_8A24_D241DE0B0FD9_.wvu.Rows" sId="6"/>
    <undo index="2" exp="area" ref3D="1" dr="$A$61:$XFD$75" dn="Z_F784130D_F647_4ABA_8943_C79CA5B0FDC4_.wvu.Rows" sId="6"/>
    <undo index="2" exp="area" ref3D="1" dr="$A$61:$XFD$75" dn="Z_E44F5FE1_54FC_4AB3_84F9_7D65ACF2DDE7_.wvu.Rows" sId="6"/>
    <undo index="2" exp="area" ref3D="1" dr="$A$61:$XFD$75" dn="Z_AEFEB150_9213_45F5_A178_7AC71E46DB11_.wvu.Rows" sId="6"/>
    <undo index="2" exp="area" ref3D="1" dr="$A$61:$XFD$75" dn="Z_9D4F0482_B164_4671_805A_E0D2D4DD4720_.wvu.Rows" sId="6"/>
    <undo index="2" exp="area" ref3D="1" dr="$A$61:$XFD$75" dn="Z_94DA13B6_7351_40F3_8CF7_A4211EC439DA_.wvu.Rows" sId="6"/>
    <undo index="2" exp="area" ref3D="1" dr="$A$61:$XFD$75" dn="Z_8F508F4D_4777_42BE_9707_8CB9355F7BDB_.wvu.Rows" sId="6"/>
    <undo index="2" exp="area" ref3D="1" dr="$A$61:$XFD$75" dn="Z_567C3053_2D8E_4705_8DC7_18896C5303CA_.wvu.Rows" sId="6"/>
    <undo index="2" exp="area" ref3D="1" dr="$A$61:$XFD$75" dn="Z_455630F5_40FC_47DB_8AD4_712C20B8FB91_.wvu.Rows" sId="6"/>
    <undo index="2" exp="area" ref3D="1" dr="$A$61:$XFD$75" dn="Z_1E5198E1_BA46_4CE0_8628_4F695B0D7A3B_.wvu.Rows" sId="6"/>
    <rfmt sheetId="6" xfDxf="1" sqref="A1:XFD1" start="0" length="0">
      <dxf>
        <font/>
      </dxf>
    </rfmt>
    <rfmt sheetId="6" sqref="A1" start="0" length="0">
      <dxf>
        <border outline="0">
          <left style="medium">
            <color indexed="64"/>
          </left>
        </border>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numFmt numFmtId="164" formatCode="0.0%"/>
        <alignment horizontal="right" vertical="top" readingOrder="0"/>
      </dxf>
    </rfmt>
    <rfmt sheetId="6" sqref="F1" start="0" length="0">
      <dxf>
        <numFmt numFmtId="167" formatCode="#,##0.0"/>
      </dxf>
    </rfmt>
    <rfmt sheetId="6" sqref="G1" start="0" length="0">
      <dxf>
        <numFmt numFmtId="167" formatCode="#,##0.0"/>
      </dxf>
    </rfmt>
    <rfmt sheetId="6" sqref="H1" start="0" length="0">
      <dxf>
        <numFmt numFmtId="164" formatCode="0.0%"/>
        <alignment horizontal="right" vertical="top" readingOrder="0"/>
      </dxf>
    </rfmt>
  </rrc>
  <rrc rId="35946" sId="6" ref="A1:XFD1" action="deleteRow">
    <undo index="2" exp="area" ref3D="1" dr="$A$60:$XFD$74" dn="Z_78CA186D_B240_44D5_8A24_D241DE0B0FD9_.wvu.Rows" sId="6"/>
    <undo index="2" exp="area" ref3D="1" dr="$A$60:$XFD$74" dn="Z_F784130D_F647_4ABA_8943_C79CA5B0FDC4_.wvu.Rows" sId="6"/>
    <undo index="2" exp="area" ref3D="1" dr="$A$60:$XFD$74" dn="Z_E44F5FE1_54FC_4AB3_84F9_7D65ACF2DDE7_.wvu.Rows" sId="6"/>
    <undo index="2" exp="area" ref3D="1" dr="$A$60:$XFD$74" dn="Z_AEFEB150_9213_45F5_A178_7AC71E46DB11_.wvu.Rows" sId="6"/>
    <undo index="2" exp="area" ref3D="1" dr="$A$60:$XFD$74" dn="Z_9D4F0482_B164_4671_805A_E0D2D4DD4720_.wvu.Rows" sId="6"/>
    <undo index="2" exp="area" ref3D="1" dr="$A$60:$XFD$74" dn="Z_94DA13B6_7351_40F3_8CF7_A4211EC439DA_.wvu.Rows" sId="6"/>
    <undo index="2" exp="area" ref3D="1" dr="$A$60:$XFD$74" dn="Z_8F508F4D_4777_42BE_9707_8CB9355F7BDB_.wvu.Rows" sId="6"/>
    <undo index="2" exp="area" ref3D="1" dr="$A$60:$XFD$74" dn="Z_567C3053_2D8E_4705_8DC7_18896C5303CA_.wvu.Rows" sId="6"/>
    <undo index="2" exp="area" ref3D="1" dr="$A$60:$XFD$74" dn="Z_455630F5_40FC_47DB_8AD4_712C20B8FB91_.wvu.Rows" sId="6"/>
    <undo index="2" exp="area" ref3D="1" dr="$A$60:$XFD$74" dn="Z_1E5198E1_BA46_4CE0_8628_4F695B0D7A3B_.wvu.Rows" sId="6"/>
    <rfmt sheetId="6" xfDxf="1" sqref="A1:XFD1" start="0" length="0">
      <dxf>
        <font/>
      </dxf>
    </rfmt>
    <rfmt sheetId="6" sqref="A1" start="0" length="0">
      <dxf>
        <border outline="0">
          <left style="medium">
            <color indexed="64"/>
          </left>
        </border>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numFmt numFmtId="164" formatCode="0.0%"/>
        <alignment horizontal="right" vertical="top" readingOrder="0"/>
      </dxf>
    </rfmt>
    <rfmt sheetId="6" sqref="F1" start="0" length="0">
      <dxf>
        <numFmt numFmtId="167" formatCode="#,##0.0"/>
      </dxf>
    </rfmt>
    <rfmt sheetId="6" sqref="G1" start="0" length="0">
      <dxf>
        <numFmt numFmtId="167" formatCode="#,##0.0"/>
      </dxf>
    </rfmt>
    <rfmt sheetId="6" sqref="H1" start="0" length="0">
      <dxf>
        <numFmt numFmtId="164" formatCode="0.0%"/>
        <alignment horizontal="right" vertical="top" readingOrder="0"/>
      </dxf>
    </rfmt>
  </rrc>
  <rrc rId="35947" sId="6" ref="A1:XFD1" action="deleteRow">
    <undo index="2" exp="area" ref3D="1" dr="$A$59:$XFD$73" dn="Z_78CA186D_B240_44D5_8A24_D241DE0B0FD9_.wvu.Rows" sId="6"/>
    <undo index="2" exp="area" ref3D="1" dr="$A$59:$XFD$73" dn="Z_F784130D_F647_4ABA_8943_C79CA5B0FDC4_.wvu.Rows" sId="6"/>
    <undo index="2" exp="area" ref3D="1" dr="$A$59:$XFD$73" dn="Z_E44F5FE1_54FC_4AB3_84F9_7D65ACF2DDE7_.wvu.Rows" sId="6"/>
    <undo index="2" exp="area" ref3D="1" dr="$A$59:$XFD$73" dn="Z_AEFEB150_9213_45F5_A178_7AC71E46DB11_.wvu.Rows" sId="6"/>
    <undo index="2" exp="area" ref3D="1" dr="$A$59:$XFD$73" dn="Z_9D4F0482_B164_4671_805A_E0D2D4DD4720_.wvu.Rows" sId="6"/>
    <undo index="2" exp="area" ref3D="1" dr="$A$59:$XFD$73" dn="Z_94DA13B6_7351_40F3_8CF7_A4211EC439DA_.wvu.Rows" sId="6"/>
    <undo index="2" exp="area" ref3D="1" dr="$A$59:$XFD$73" dn="Z_8F508F4D_4777_42BE_9707_8CB9355F7BDB_.wvu.Rows" sId="6"/>
    <undo index="2" exp="area" ref3D="1" dr="$A$59:$XFD$73" dn="Z_567C3053_2D8E_4705_8DC7_18896C5303CA_.wvu.Rows" sId="6"/>
    <undo index="2" exp="area" ref3D="1" dr="$A$59:$XFD$73" dn="Z_455630F5_40FC_47DB_8AD4_712C20B8FB91_.wvu.Rows" sId="6"/>
    <undo index="2" exp="area" ref3D="1" dr="$A$59:$XFD$73" dn="Z_1E5198E1_BA46_4CE0_8628_4F695B0D7A3B_.wvu.Rows" sId="6"/>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1" sqref="E1" start="0" length="0">
      <dxf>
        <numFmt numFmtId="13" formatCode="0%"/>
      </dxf>
    </rfmt>
    <rfmt sheetId="6" sqref="F1" start="0" length="0">
      <dxf>
        <numFmt numFmtId="167" formatCode="#,##0.0"/>
      </dxf>
    </rfmt>
    <rfmt sheetId="6" sqref="G1" start="0" length="0">
      <dxf>
        <numFmt numFmtId="167" formatCode="#,##0.0"/>
      </dxf>
    </rfmt>
    <rfmt sheetId="6" s="1" sqref="H1" start="0" length="0">
      <dxf>
        <numFmt numFmtId="13" formatCode="0%"/>
      </dxf>
    </rfmt>
  </rrc>
  <rrc rId="35948" sId="6" ref="A1:XFD1" action="deleteRow">
    <undo index="2" exp="area" ref3D="1" dr="$A$58:$XFD$72" dn="Z_78CA186D_B240_44D5_8A24_D241DE0B0FD9_.wvu.Rows" sId="6"/>
    <undo index="2" exp="area" ref3D="1" dr="$A$58:$XFD$72" dn="Z_F784130D_F647_4ABA_8943_C79CA5B0FDC4_.wvu.Rows" sId="6"/>
    <undo index="2" exp="area" ref3D="1" dr="$A$58:$XFD$72" dn="Z_E44F5FE1_54FC_4AB3_84F9_7D65ACF2DDE7_.wvu.Rows" sId="6"/>
    <undo index="2" exp="area" ref3D="1" dr="$A$58:$XFD$72" dn="Z_AEFEB150_9213_45F5_A178_7AC71E46DB11_.wvu.Rows" sId="6"/>
    <undo index="2" exp="area" ref3D="1" dr="$A$58:$XFD$72" dn="Z_9D4F0482_B164_4671_805A_E0D2D4DD4720_.wvu.Rows" sId="6"/>
    <undo index="2" exp="area" ref3D="1" dr="$A$58:$XFD$72" dn="Z_94DA13B6_7351_40F3_8CF7_A4211EC439DA_.wvu.Rows" sId="6"/>
    <undo index="2" exp="area" ref3D="1" dr="$A$58:$XFD$72" dn="Z_8F508F4D_4777_42BE_9707_8CB9355F7BDB_.wvu.Rows" sId="6"/>
    <undo index="2" exp="area" ref3D="1" dr="$A$58:$XFD$72" dn="Z_567C3053_2D8E_4705_8DC7_18896C5303CA_.wvu.Rows" sId="6"/>
    <undo index="2" exp="area" ref3D="1" dr="$A$58:$XFD$72" dn="Z_455630F5_40FC_47DB_8AD4_712C20B8FB91_.wvu.Rows" sId="6"/>
    <undo index="2" exp="area" ref3D="1" dr="$A$58:$XFD$72" dn="Z_1E5198E1_BA46_4CE0_8628_4F695B0D7A3B_.wvu.Rows" sId="6"/>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numFmt numFmtId="164" formatCode="0.0%"/>
        <alignment horizontal="right" vertical="top" readingOrder="0"/>
      </dxf>
    </rfmt>
    <rfmt sheetId="6" sqref="F1" start="0" length="0">
      <dxf>
        <numFmt numFmtId="167" formatCode="#,##0.0"/>
      </dxf>
    </rfmt>
    <rfmt sheetId="6" sqref="G1" start="0" length="0">
      <dxf>
        <numFmt numFmtId="167" formatCode="#,##0.0"/>
      </dxf>
    </rfmt>
    <rfmt sheetId="6" s="1" sqref="H1" start="0" length="0">
      <dxf>
        <numFmt numFmtId="13" formatCode="0%"/>
      </dxf>
    </rfmt>
  </rrc>
  <rrc rId="35949" sId="6" ref="A1:XFD1" action="deleteRow">
    <undo index="2" exp="area" ref3D="1" dr="$A$57:$XFD$71" dn="Z_78CA186D_B240_44D5_8A24_D241DE0B0FD9_.wvu.Rows" sId="6"/>
    <undo index="2" exp="area" ref3D="1" dr="$A$57:$XFD$71" dn="Z_F784130D_F647_4ABA_8943_C79CA5B0FDC4_.wvu.Rows" sId="6"/>
    <undo index="2" exp="area" ref3D="1" dr="$A$57:$XFD$71" dn="Z_E44F5FE1_54FC_4AB3_84F9_7D65ACF2DDE7_.wvu.Rows" sId="6"/>
    <undo index="2" exp="area" ref3D="1" dr="$A$57:$XFD$71" dn="Z_AEFEB150_9213_45F5_A178_7AC71E46DB11_.wvu.Rows" sId="6"/>
    <undo index="2" exp="area" ref3D="1" dr="$A$57:$XFD$71" dn="Z_9D4F0482_B164_4671_805A_E0D2D4DD4720_.wvu.Rows" sId="6"/>
    <undo index="2" exp="area" ref3D="1" dr="$A$57:$XFD$71" dn="Z_94DA13B6_7351_40F3_8CF7_A4211EC439DA_.wvu.Rows" sId="6"/>
    <undo index="2" exp="area" ref3D="1" dr="$A$57:$XFD$71" dn="Z_8F508F4D_4777_42BE_9707_8CB9355F7BDB_.wvu.Rows" sId="6"/>
    <undo index="2" exp="area" ref3D="1" dr="$A$57:$XFD$71" dn="Z_567C3053_2D8E_4705_8DC7_18896C5303CA_.wvu.Rows" sId="6"/>
    <undo index="2" exp="area" ref3D="1" dr="$A$57:$XFD$71" dn="Z_455630F5_40FC_47DB_8AD4_712C20B8FB91_.wvu.Rows" sId="6"/>
    <undo index="2" exp="area" ref3D="1" dr="$A$57:$XFD$71" dn="Z_1E5198E1_BA46_4CE0_8628_4F695B0D7A3B_.wvu.Rows" sId="6"/>
    <rfmt sheetId="6" xfDxf="1" sqref="A1:XFD1" start="0" length="0">
      <dxf>
        <font/>
      </dxf>
    </rfmt>
    <rfmt sheetId="6" sqref="A1" start="0" length="0">
      <dxf/>
    </rfmt>
    <rfmt sheetId="6" sqref="B1" start="0" length="0">
      <dxf>
        <numFmt numFmtId="167" formatCode="#,##0.0"/>
      </dxf>
    </rfmt>
    <rfmt sheetId="6" sqref="C1" start="0" length="0">
      <dxf>
        <numFmt numFmtId="167" formatCode="#,##0.0"/>
      </dxf>
    </rfmt>
    <rfmt sheetId="6" sqref="D1" start="0" length="0">
      <dxf>
        <numFmt numFmtId="167" formatCode="#,##0.0"/>
      </dxf>
    </rfmt>
    <rfmt sheetId="6" s="1" sqref="E1" start="0" length="0">
      <dxf>
        <numFmt numFmtId="13" formatCode="0%"/>
      </dxf>
    </rfmt>
    <rfmt sheetId="6" sqref="F1" start="0" length="0">
      <dxf>
        <numFmt numFmtId="167" formatCode="#,##0.0"/>
      </dxf>
    </rfmt>
    <rfmt sheetId="6" sqref="G1" start="0" length="0">
      <dxf>
        <numFmt numFmtId="167" formatCode="#,##0.0"/>
      </dxf>
    </rfmt>
    <rfmt sheetId="6" s="1" sqref="H1" start="0" length="0">
      <dxf>
        <numFmt numFmtId="13" formatCode="0%"/>
      </dxf>
    </rfmt>
  </rrc>
  <rrc rId="35950" sId="6" ref="A1:XFD1" action="deleteRow">
    <undo index="2" exp="area" ref3D="1" dr="$A$56:$XFD$70" dn="Z_78CA186D_B240_44D5_8A24_D241DE0B0FD9_.wvu.Rows" sId="6"/>
    <undo index="2" exp="area" ref3D="1" dr="$A$56:$XFD$70" dn="Z_F784130D_F647_4ABA_8943_C79CA5B0FDC4_.wvu.Rows" sId="6"/>
    <undo index="2" exp="area" ref3D="1" dr="$A$56:$XFD$70" dn="Z_E44F5FE1_54FC_4AB3_84F9_7D65ACF2DDE7_.wvu.Rows" sId="6"/>
    <undo index="2" exp="area" ref3D="1" dr="$A$56:$XFD$70" dn="Z_AEFEB150_9213_45F5_A178_7AC71E46DB11_.wvu.Rows" sId="6"/>
    <undo index="2" exp="area" ref3D="1" dr="$A$56:$XFD$70" dn="Z_9D4F0482_B164_4671_805A_E0D2D4DD4720_.wvu.Rows" sId="6"/>
    <undo index="2" exp="area" ref3D="1" dr="$A$56:$XFD$70" dn="Z_94DA13B6_7351_40F3_8CF7_A4211EC439DA_.wvu.Rows" sId="6"/>
    <undo index="2" exp="area" ref3D="1" dr="$A$56:$XFD$70" dn="Z_8F508F4D_4777_42BE_9707_8CB9355F7BDB_.wvu.Rows" sId="6"/>
    <undo index="2" exp="area" ref3D="1" dr="$A$56:$XFD$70" dn="Z_567C3053_2D8E_4705_8DC7_18896C5303CA_.wvu.Rows" sId="6"/>
    <undo index="2" exp="area" ref3D="1" dr="$A$56:$XFD$70" dn="Z_455630F5_40FC_47DB_8AD4_712C20B8FB91_.wvu.Rows" sId="6"/>
    <undo index="2" exp="area" ref3D="1" dr="$A$56:$XFD$70" dn="Z_1E5198E1_BA46_4CE0_8628_4F695B0D7A3B_.wvu.Rows" sId="6"/>
    <rfmt sheetId="6" xfDxf="1" sqref="A1:XFD1" start="0" length="0">
      <dxf>
        <font/>
      </dxf>
    </rfmt>
    <rfmt sheetId="6" sqref="A1" start="0" length="0">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numFmt numFmtId="164" formatCode="0.0%"/>
        <alignment horizontal="right" vertical="top" readingOrder="0"/>
      </dxf>
    </rfmt>
    <rfmt sheetId="6" sqref="F1" start="0" length="0">
      <dxf>
        <numFmt numFmtId="167" formatCode="#,##0.0"/>
      </dxf>
    </rfmt>
    <rfmt sheetId="6" sqref="G1" start="0" length="0">
      <dxf>
        <numFmt numFmtId="167" formatCode="#,##0.0"/>
      </dxf>
    </rfmt>
    <rfmt sheetId="6" sqref="H1" start="0" length="0">
      <dxf>
        <numFmt numFmtId="164" formatCode="0.0%"/>
        <alignment horizontal="right" vertical="top" readingOrder="0"/>
      </dxf>
    </rfmt>
  </rrc>
  <rrc rId="35951" sId="6" ref="A1:XFD1" action="deleteRow">
    <undo index="2" exp="area" ref3D="1" dr="$A$55:$XFD$69" dn="Z_78CA186D_B240_44D5_8A24_D241DE0B0FD9_.wvu.Rows" sId="6"/>
    <undo index="2" exp="area" ref3D="1" dr="$A$55:$XFD$69" dn="Z_F784130D_F647_4ABA_8943_C79CA5B0FDC4_.wvu.Rows" sId="6"/>
    <undo index="2" exp="area" ref3D="1" dr="$A$55:$XFD$69" dn="Z_E44F5FE1_54FC_4AB3_84F9_7D65ACF2DDE7_.wvu.Rows" sId="6"/>
    <undo index="2" exp="area" ref3D="1" dr="$A$55:$XFD$69" dn="Z_AEFEB150_9213_45F5_A178_7AC71E46DB11_.wvu.Rows" sId="6"/>
    <undo index="2" exp="area" ref3D="1" dr="$A$55:$XFD$69" dn="Z_9D4F0482_B164_4671_805A_E0D2D4DD4720_.wvu.Rows" sId="6"/>
    <undo index="2" exp="area" ref3D="1" dr="$A$55:$XFD$69" dn="Z_94DA13B6_7351_40F3_8CF7_A4211EC439DA_.wvu.Rows" sId="6"/>
    <undo index="2" exp="area" ref3D="1" dr="$A$55:$XFD$69" dn="Z_8F508F4D_4777_42BE_9707_8CB9355F7BDB_.wvu.Rows" sId="6"/>
    <undo index="2" exp="area" ref3D="1" dr="$A$55:$XFD$69" dn="Z_567C3053_2D8E_4705_8DC7_18896C5303CA_.wvu.Rows" sId="6"/>
    <undo index="2" exp="area" ref3D="1" dr="$A$55:$XFD$69" dn="Z_455630F5_40FC_47DB_8AD4_712C20B8FB91_.wvu.Rows" sId="6"/>
    <undo index="2" exp="area" ref3D="1" dr="$A$55:$XFD$69" dn="Z_1E5198E1_BA46_4CE0_8628_4F695B0D7A3B_.wvu.Rows" sId="6"/>
    <rfmt sheetId="6" xfDxf="1" sqref="A1:XFD1" start="0" length="0">
      <dxf>
        <font/>
        <border outline="0">
          <bottom style="medium">
            <color indexed="64"/>
          </bottom>
        </border>
      </dxf>
    </rfmt>
    <rfmt sheetId="6" sqref="B1" start="0" length="0">
      <dxf>
        <numFmt numFmtId="167" formatCode="#,##0.0"/>
      </dxf>
    </rfmt>
    <rfmt sheetId="6" sqref="C1" start="0" length="0">
      <dxf>
        <numFmt numFmtId="167" formatCode="#,##0.0"/>
        <fill>
          <patternFill patternType="solid">
            <bgColor rgb="FFFFFF00"/>
          </patternFill>
        </fill>
      </dxf>
    </rfmt>
    <rfmt sheetId="6" sqref="D1" start="0" length="0">
      <dxf>
        <numFmt numFmtId="167" formatCode="#,##0.0"/>
      </dxf>
    </rfmt>
    <rfmt sheetId="6" sqref="E1" start="0" length="0">
      <dxf>
        <numFmt numFmtId="164" formatCode="0.0%"/>
        <alignment horizontal="right" vertical="top" readingOrder="0"/>
      </dxf>
    </rfmt>
    <rfmt sheetId="6" sqref="F1" start="0" length="0">
      <dxf>
        <numFmt numFmtId="167" formatCode="#,##0.0"/>
      </dxf>
    </rfmt>
    <rfmt sheetId="6" sqref="G1" start="0" length="0">
      <dxf>
        <numFmt numFmtId="167" formatCode="#,##0.0"/>
      </dxf>
    </rfmt>
    <rfmt sheetId="6" s="1" sqref="H1" start="0" length="0">
      <dxf>
        <numFmt numFmtId="13" formatCode="0%"/>
      </dxf>
    </rfmt>
  </rrc>
  <rrc rId="35952" sId="6" ref="A1:XFD1" action="deleteRow">
    <undo index="2" exp="area" ref3D="1" dr="$A$54:$XFD$68" dn="Z_78CA186D_B240_44D5_8A24_D241DE0B0FD9_.wvu.Rows" sId="6"/>
    <undo index="2" exp="area" ref3D="1" dr="$A$54:$XFD$68" dn="Z_F784130D_F647_4ABA_8943_C79CA5B0FDC4_.wvu.Rows" sId="6"/>
    <undo index="2" exp="area" ref3D="1" dr="$A$54:$XFD$68" dn="Z_E44F5FE1_54FC_4AB3_84F9_7D65ACF2DDE7_.wvu.Rows" sId="6"/>
    <undo index="2" exp="area" ref3D="1" dr="$A$54:$XFD$68" dn="Z_AEFEB150_9213_45F5_A178_7AC71E46DB11_.wvu.Rows" sId="6"/>
    <undo index="2" exp="area" ref3D="1" dr="$A$54:$XFD$68" dn="Z_9D4F0482_B164_4671_805A_E0D2D4DD4720_.wvu.Rows" sId="6"/>
    <undo index="2" exp="area" ref3D="1" dr="$A$54:$XFD$68" dn="Z_94DA13B6_7351_40F3_8CF7_A4211EC439DA_.wvu.Rows" sId="6"/>
    <undo index="2" exp="area" ref3D="1" dr="$A$54:$XFD$68" dn="Z_8F508F4D_4777_42BE_9707_8CB9355F7BDB_.wvu.Rows" sId="6"/>
    <undo index="2" exp="area" ref3D="1" dr="$A$54:$XFD$68" dn="Z_567C3053_2D8E_4705_8DC7_18896C5303CA_.wvu.Rows" sId="6"/>
    <undo index="2" exp="area" ref3D="1" dr="$A$54:$XFD$68" dn="Z_455630F5_40FC_47DB_8AD4_712C20B8FB91_.wvu.Rows" sId="6"/>
    <undo index="2" exp="area" ref3D="1" dr="$A$54:$XFD$68" dn="Z_1E5198E1_BA46_4CE0_8628_4F695B0D7A3B_.wvu.Rows" sId="6"/>
    <rfmt sheetId="6" xfDxf="1" sqref="A1:XFD1" start="0" length="0">
      <dxf>
        <font>
          <b/>
        </font>
      </dxf>
    </rfmt>
    <rfmt sheetId="6" sqref="A1" start="0" length="0">
      <dxf/>
    </rfmt>
    <rfmt sheetId="6" sqref="B1" start="0" length="0">
      <dxf>
        <numFmt numFmtId="167" formatCode="#,##0.0"/>
      </dxf>
    </rfmt>
    <rfmt sheetId="6" sqref="C1" start="0" length="0">
      <dxf>
        <numFmt numFmtId="167" formatCode="#,##0.0"/>
      </dxf>
    </rfmt>
    <rfmt sheetId="6" sqref="D1" start="0" length="0">
      <dxf>
        <numFmt numFmtId="167" formatCode="#,##0.0"/>
      </dxf>
    </rfmt>
    <rfmt sheetId="6" s="1" sqref="E1" start="0" length="0">
      <dxf>
        <numFmt numFmtId="13" formatCode="0%"/>
      </dxf>
    </rfmt>
    <rfmt sheetId="6" sqref="F1" start="0" length="0">
      <dxf>
        <numFmt numFmtId="167" formatCode="#,##0.0"/>
      </dxf>
    </rfmt>
    <rfmt sheetId="6" sqref="G1" start="0" length="0">
      <dxf>
        <numFmt numFmtId="167" formatCode="#,##0.0"/>
      </dxf>
    </rfmt>
    <rfmt sheetId="6" s="1" sqref="H1" start="0" length="0">
      <dxf>
        <numFmt numFmtId="13" formatCode="0%"/>
      </dxf>
    </rfmt>
  </rrc>
  <rrc rId="35953" sId="6" ref="A1:XFD1" action="deleteRow">
    <undo index="2" exp="area" ref3D="1" dr="$A$53:$XFD$67" dn="Z_78CA186D_B240_44D5_8A24_D241DE0B0FD9_.wvu.Rows" sId="6"/>
    <undo index="2" exp="area" ref3D="1" dr="$A$53:$XFD$67" dn="Z_F784130D_F647_4ABA_8943_C79CA5B0FDC4_.wvu.Rows" sId="6"/>
    <undo index="2" exp="area" ref3D="1" dr="$A$53:$XFD$67" dn="Z_E44F5FE1_54FC_4AB3_84F9_7D65ACF2DDE7_.wvu.Rows" sId="6"/>
    <undo index="2" exp="area" ref3D="1" dr="$A$53:$XFD$67" dn="Z_AEFEB150_9213_45F5_A178_7AC71E46DB11_.wvu.Rows" sId="6"/>
    <undo index="2" exp="area" ref3D="1" dr="$A$53:$XFD$67" dn="Z_9D4F0482_B164_4671_805A_E0D2D4DD4720_.wvu.Rows" sId="6"/>
    <undo index="2" exp="area" ref3D="1" dr="$A$53:$XFD$67" dn="Z_94DA13B6_7351_40F3_8CF7_A4211EC439DA_.wvu.Rows" sId="6"/>
    <undo index="2" exp="area" ref3D="1" dr="$A$53:$XFD$67" dn="Z_8F508F4D_4777_42BE_9707_8CB9355F7BDB_.wvu.Rows" sId="6"/>
    <undo index="2" exp="area" ref3D="1" dr="$A$53:$XFD$67" dn="Z_567C3053_2D8E_4705_8DC7_18896C5303CA_.wvu.Rows" sId="6"/>
    <undo index="2" exp="area" ref3D="1" dr="$A$53:$XFD$67" dn="Z_455630F5_40FC_47DB_8AD4_712C20B8FB91_.wvu.Rows" sId="6"/>
    <undo index="2" exp="area" ref3D="1" dr="$A$53:$XFD$67" dn="Z_1E5198E1_BA46_4CE0_8628_4F695B0D7A3B_.wvu.Rows" sId="6"/>
    <rfmt sheetId="6" xfDxf="1" sqref="A1:XFD1" start="0" length="0">
      <dxf>
        <font>
          <b/>
        </font>
      </dxf>
    </rfmt>
    <rfmt sheetId="6" sqref="A1" start="0" length="0">
      <dxf/>
    </rfmt>
    <rfmt sheetId="6" sqref="B1" start="0" length="0">
      <dxf>
        <numFmt numFmtId="167" formatCode="#,##0.0"/>
      </dxf>
    </rfmt>
    <rfmt sheetId="6" sqref="C1" start="0" length="0">
      <dxf>
        <numFmt numFmtId="167" formatCode="#,##0.0"/>
      </dxf>
    </rfmt>
    <rfmt sheetId="6" sqref="D1" start="0" length="0">
      <dxf>
        <numFmt numFmtId="167" formatCode="#,##0.0"/>
      </dxf>
    </rfmt>
    <rfmt sheetId="6" s="1" sqref="E1" start="0" length="0">
      <dxf>
        <numFmt numFmtId="13" formatCode="0%"/>
      </dxf>
    </rfmt>
    <rfmt sheetId="6" sqref="F1" start="0" length="0">
      <dxf>
        <numFmt numFmtId="167" formatCode="#,##0.0"/>
      </dxf>
    </rfmt>
    <rfmt sheetId="6" s="1" sqref="H1" start="0" length="0">
      <dxf>
        <numFmt numFmtId="13" formatCode="0%"/>
      </dxf>
    </rfmt>
  </rrc>
  <rrc rId="35954" sId="6" ref="A1:XFD1" action="deleteRow">
    <undo index="2" exp="area" ref3D="1" dr="$A$52:$XFD$66" dn="Z_78CA186D_B240_44D5_8A24_D241DE0B0FD9_.wvu.Rows" sId="6"/>
    <undo index="2" exp="area" ref3D="1" dr="$A$52:$XFD$66" dn="Z_F784130D_F647_4ABA_8943_C79CA5B0FDC4_.wvu.Rows" sId="6"/>
    <undo index="2" exp="area" ref3D="1" dr="$A$52:$XFD$66" dn="Z_E44F5FE1_54FC_4AB3_84F9_7D65ACF2DDE7_.wvu.Rows" sId="6"/>
    <undo index="2" exp="area" ref3D="1" dr="$A$52:$XFD$66" dn="Z_AEFEB150_9213_45F5_A178_7AC71E46DB11_.wvu.Rows" sId="6"/>
    <undo index="2" exp="area" ref3D="1" dr="$A$52:$XFD$66" dn="Z_9D4F0482_B164_4671_805A_E0D2D4DD4720_.wvu.Rows" sId="6"/>
    <undo index="2" exp="area" ref3D="1" dr="$A$52:$XFD$66" dn="Z_94DA13B6_7351_40F3_8CF7_A4211EC439DA_.wvu.Rows" sId="6"/>
    <undo index="2" exp="area" ref3D="1" dr="$A$52:$XFD$66" dn="Z_8F508F4D_4777_42BE_9707_8CB9355F7BDB_.wvu.Rows" sId="6"/>
    <undo index="2" exp="area" ref3D="1" dr="$A$52:$XFD$66" dn="Z_567C3053_2D8E_4705_8DC7_18896C5303CA_.wvu.Rows" sId="6"/>
    <undo index="2" exp="area" ref3D="1" dr="$A$52:$XFD$66" dn="Z_455630F5_40FC_47DB_8AD4_712C20B8FB91_.wvu.Rows" sId="6"/>
    <undo index="2" exp="area" ref3D="1" dr="$A$52:$XFD$66" dn="Z_1E5198E1_BA46_4CE0_8628_4F695B0D7A3B_.wvu.Rows" sId="6"/>
    <rfmt sheetId="6" xfDxf="1" sqref="A1:XFD1" start="0" length="0">
      <dxf>
        <font/>
      </dxf>
    </rfmt>
    <rfmt sheetId="6" sqref="A1" start="0" length="0">
      <dxf>
        <font>
          <i/>
        </font>
      </dxf>
    </rfmt>
    <rfmt sheetId="6" sqref="B1" start="0" length="0">
      <dxf>
        <numFmt numFmtId="167" formatCode="#,##0.0"/>
      </dxf>
    </rfmt>
    <rfmt sheetId="6" sqref="C1" start="0" length="0">
      <dxf>
        <numFmt numFmtId="167" formatCode="#,##0.0"/>
      </dxf>
    </rfmt>
    <rfmt sheetId="6" sqref="D1" start="0" length="0">
      <dxf>
        <numFmt numFmtId="167" formatCode="#,##0.0"/>
      </dxf>
    </rfmt>
    <rfmt sheetId="6" s="1" sqref="E1" start="0" length="0">
      <dxf>
        <numFmt numFmtId="13" formatCode="0%"/>
      </dxf>
    </rfmt>
    <rfmt sheetId="6" sqref="F1" start="0" length="0">
      <dxf>
        <numFmt numFmtId="167" formatCode="#,##0.0"/>
      </dxf>
    </rfmt>
    <rfmt sheetId="6" s="1" sqref="H1" start="0" length="0">
      <dxf>
        <numFmt numFmtId="13" formatCode="0%"/>
      </dxf>
    </rfmt>
  </rrc>
  <rrc rId="35955" sId="6" ref="A1:XFD1" action="deleteRow">
    <undo index="2" exp="area" ref3D="1" dr="$A$51:$XFD$65" dn="Z_78CA186D_B240_44D5_8A24_D241DE0B0FD9_.wvu.Rows" sId="6"/>
    <undo index="2" exp="area" ref3D="1" dr="$A$51:$XFD$65" dn="Z_F784130D_F647_4ABA_8943_C79CA5B0FDC4_.wvu.Rows" sId="6"/>
    <undo index="2" exp="area" ref3D="1" dr="$A$51:$XFD$65" dn="Z_E44F5FE1_54FC_4AB3_84F9_7D65ACF2DDE7_.wvu.Rows" sId="6"/>
    <undo index="2" exp="area" ref3D="1" dr="$A$51:$XFD$65" dn="Z_AEFEB150_9213_45F5_A178_7AC71E46DB11_.wvu.Rows" sId="6"/>
    <undo index="2" exp="area" ref3D="1" dr="$A$51:$XFD$65" dn="Z_9D4F0482_B164_4671_805A_E0D2D4DD4720_.wvu.Rows" sId="6"/>
    <undo index="2" exp="area" ref3D="1" dr="$A$51:$XFD$65" dn="Z_94DA13B6_7351_40F3_8CF7_A4211EC439DA_.wvu.Rows" sId="6"/>
    <undo index="2" exp="area" ref3D="1" dr="$A$51:$XFD$65" dn="Z_8F508F4D_4777_42BE_9707_8CB9355F7BDB_.wvu.Rows" sId="6"/>
    <undo index="2" exp="area" ref3D="1" dr="$A$51:$XFD$65" dn="Z_567C3053_2D8E_4705_8DC7_18896C5303CA_.wvu.Rows" sId="6"/>
    <undo index="2" exp="area" ref3D="1" dr="$A$51:$XFD$65" dn="Z_455630F5_40FC_47DB_8AD4_712C20B8FB91_.wvu.Rows" sId="6"/>
    <undo index="2" exp="area" ref3D="1" dr="$A$51:$XFD$65" dn="Z_1E5198E1_BA46_4CE0_8628_4F695B0D7A3B_.wvu.Rows" sId="6"/>
    <rfmt sheetId="6" xfDxf="1" sqref="A1:XFD1" start="0" length="0">
      <dxf>
        <font/>
      </dxf>
    </rfmt>
    <rfmt sheetId="6" sqref="A1" start="0" length="0">
      <dxf>
        <font>
          <i/>
        </font>
      </dxf>
    </rfmt>
    <rfmt sheetId="6" sqref="B1" start="0" length="0">
      <dxf>
        <numFmt numFmtId="167" formatCode="#,##0.0"/>
      </dxf>
    </rfmt>
    <rfmt sheetId="6" sqref="C1" start="0" length="0">
      <dxf>
        <numFmt numFmtId="167" formatCode="#,##0.0"/>
      </dxf>
    </rfmt>
    <rfmt sheetId="6" sqref="D1" start="0" length="0">
      <dxf>
        <numFmt numFmtId="167" formatCode="#,##0.0"/>
      </dxf>
    </rfmt>
    <rfmt sheetId="6" s="1" sqref="E1" start="0" length="0">
      <dxf>
        <numFmt numFmtId="13" formatCode="0%"/>
      </dxf>
    </rfmt>
    <rfmt sheetId="6" sqref="F1" start="0" length="0">
      <dxf>
        <numFmt numFmtId="167" formatCode="#,##0.0"/>
      </dxf>
    </rfmt>
    <rfmt sheetId="6" s="1" sqref="H1" start="0" length="0">
      <dxf>
        <numFmt numFmtId="13" formatCode="0%"/>
      </dxf>
    </rfmt>
  </rrc>
  <rrc rId="35956" sId="6" ref="A1:XFD1" action="deleteRow">
    <undo index="2" exp="area" ref3D="1" dr="$A$50:$XFD$64" dn="Z_78CA186D_B240_44D5_8A24_D241DE0B0FD9_.wvu.Rows" sId="6"/>
    <undo index="2" exp="area" ref3D="1" dr="$A$50:$XFD$64" dn="Z_F784130D_F647_4ABA_8943_C79CA5B0FDC4_.wvu.Rows" sId="6"/>
    <undo index="2" exp="area" ref3D="1" dr="$A$50:$XFD$64" dn="Z_E44F5FE1_54FC_4AB3_84F9_7D65ACF2DDE7_.wvu.Rows" sId="6"/>
    <undo index="2" exp="area" ref3D="1" dr="$A$50:$XFD$64" dn="Z_AEFEB150_9213_45F5_A178_7AC71E46DB11_.wvu.Rows" sId="6"/>
    <undo index="2" exp="area" ref3D="1" dr="$A$50:$XFD$64" dn="Z_9D4F0482_B164_4671_805A_E0D2D4DD4720_.wvu.Rows" sId="6"/>
    <undo index="2" exp="area" ref3D="1" dr="$A$50:$XFD$64" dn="Z_94DA13B6_7351_40F3_8CF7_A4211EC439DA_.wvu.Rows" sId="6"/>
    <undo index="2" exp="area" ref3D="1" dr="$A$50:$XFD$64" dn="Z_8F508F4D_4777_42BE_9707_8CB9355F7BDB_.wvu.Rows" sId="6"/>
    <undo index="2" exp="area" ref3D="1" dr="$A$50:$XFD$64" dn="Z_567C3053_2D8E_4705_8DC7_18896C5303CA_.wvu.Rows" sId="6"/>
    <undo index="2" exp="area" ref3D="1" dr="$A$50:$XFD$64" dn="Z_455630F5_40FC_47DB_8AD4_712C20B8FB91_.wvu.Rows" sId="6"/>
    <undo index="2" exp="area" ref3D="1" dr="$A$50:$XFD$64" dn="Z_1E5198E1_BA46_4CE0_8628_4F695B0D7A3B_.wvu.Rows" sId="6"/>
    <rfmt sheetId="6" xfDxf="1" sqref="A1:XFD1" start="0" length="0">
      <dxf>
        <font/>
      </dxf>
    </rfmt>
    <rfmt sheetId="6" sqref="A1" start="0" length="0">
      <dxf>
        <font>
          <i/>
        </font>
      </dxf>
    </rfmt>
    <rfmt sheetId="6" sqref="B1" start="0" length="0">
      <dxf>
        <numFmt numFmtId="167" formatCode="#,##0.0"/>
      </dxf>
    </rfmt>
    <rfmt sheetId="6" sqref="C1" start="0" length="0">
      <dxf>
        <numFmt numFmtId="167" formatCode="#,##0.0"/>
      </dxf>
    </rfmt>
    <rfmt sheetId="6" sqref="D1" start="0" length="0">
      <dxf>
        <numFmt numFmtId="167" formatCode="#,##0.0"/>
      </dxf>
    </rfmt>
    <rfmt sheetId="6" s="1" sqref="E1" start="0" length="0">
      <dxf>
        <numFmt numFmtId="13" formatCode="0%"/>
      </dxf>
    </rfmt>
    <rfmt sheetId="6" sqref="F1" start="0" length="0">
      <dxf>
        <numFmt numFmtId="167" formatCode="#,##0.0"/>
      </dxf>
    </rfmt>
    <rfmt sheetId="6" s="1" sqref="H1" start="0" length="0">
      <dxf>
        <numFmt numFmtId="13" formatCode="0%"/>
      </dxf>
    </rfmt>
  </rrc>
  <rrc rId="35957" sId="6" ref="A1:XFD1" action="deleteRow">
    <undo index="2" exp="area" ref3D="1" dr="$A$49:$XFD$63" dn="Z_78CA186D_B240_44D5_8A24_D241DE0B0FD9_.wvu.Rows" sId="6"/>
    <undo index="2" exp="area" ref3D="1" dr="$A$49:$XFD$63" dn="Z_F784130D_F647_4ABA_8943_C79CA5B0FDC4_.wvu.Rows" sId="6"/>
    <undo index="2" exp="area" ref3D="1" dr="$A$49:$XFD$63" dn="Z_E44F5FE1_54FC_4AB3_84F9_7D65ACF2DDE7_.wvu.Rows" sId="6"/>
    <undo index="2" exp="area" ref3D="1" dr="$A$49:$XFD$63" dn="Z_AEFEB150_9213_45F5_A178_7AC71E46DB11_.wvu.Rows" sId="6"/>
    <undo index="2" exp="area" ref3D="1" dr="$A$49:$XFD$63" dn="Z_9D4F0482_B164_4671_805A_E0D2D4DD4720_.wvu.Rows" sId="6"/>
    <undo index="2" exp="area" ref3D="1" dr="$A$49:$XFD$63" dn="Z_94DA13B6_7351_40F3_8CF7_A4211EC439DA_.wvu.Rows" sId="6"/>
    <undo index="2" exp="area" ref3D="1" dr="$A$49:$XFD$63" dn="Z_8F508F4D_4777_42BE_9707_8CB9355F7BDB_.wvu.Rows" sId="6"/>
    <undo index="2" exp="area" ref3D="1" dr="$A$49:$XFD$63" dn="Z_567C3053_2D8E_4705_8DC7_18896C5303CA_.wvu.Rows" sId="6"/>
    <undo index="2" exp="area" ref3D="1" dr="$A$49:$XFD$63" dn="Z_455630F5_40FC_47DB_8AD4_712C20B8FB91_.wvu.Rows" sId="6"/>
    <undo index="2" exp="area" ref3D="1" dr="$A$49:$XFD$63" dn="Z_1E5198E1_BA46_4CE0_8628_4F695B0D7A3B_.wvu.Rows" sId="6"/>
    <rfmt sheetId="6" xfDxf="1" sqref="A1:XFD1" start="0" length="0">
      <dxf>
        <font/>
      </dxf>
    </rfmt>
    <rfmt sheetId="6" sqref="A1" start="0" length="0">
      <dxf>
        <font>
          <i/>
        </font>
      </dxf>
    </rfmt>
    <rfmt sheetId="6" sqref="B1" start="0" length="0">
      <dxf>
        <numFmt numFmtId="167" formatCode="#,##0.0"/>
      </dxf>
    </rfmt>
    <rfmt sheetId="6" sqref="C1" start="0" length="0">
      <dxf>
        <numFmt numFmtId="167" formatCode="#,##0.0"/>
      </dxf>
    </rfmt>
    <rfmt sheetId="6" sqref="D1" start="0" length="0">
      <dxf>
        <numFmt numFmtId="167" formatCode="#,##0.0"/>
      </dxf>
    </rfmt>
    <rfmt sheetId="6" s="1" sqref="E1" start="0" length="0">
      <dxf>
        <numFmt numFmtId="13" formatCode="0%"/>
      </dxf>
    </rfmt>
    <rfmt sheetId="6" sqref="F1" start="0" length="0">
      <dxf>
        <numFmt numFmtId="167" formatCode="#,##0.0"/>
      </dxf>
    </rfmt>
    <rfmt sheetId="6" s="1" sqref="H1" start="0" length="0">
      <dxf>
        <numFmt numFmtId="13" formatCode="0%"/>
      </dxf>
    </rfmt>
  </rrc>
  <rrc rId="35958" sId="6" ref="A1:XFD1" action="deleteRow">
    <undo index="2" exp="area" ref3D="1" dr="$A$48:$XFD$62" dn="Z_78CA186D_B240_44D5_8A24_D241DE0B0FD9_.wvu.Rows" sId="6"/>
    <undo index="2" exp="area" ref3D="1" dr="$A$48:$XFD$62" dn="Z_F784130D_F647_4ABA_8943_C79CA5B0FDC4_.wvu.Rows" sId="6"/>
    <undo index="2" exp="area" ref3D="1" dr="$A$48:$XFD$62" dn="Z_E44F5FE1_54FC_4AB3_84F9_7D65ACF2DDE7_.wvu.Rows" sId="6"/>
    <undo index="2" exp="area" ref3D="1" dr="$A$48:$XFD$62" dn="Z_AEFEB150_9213_45F5_A178_7AC71E46DB11_.wvu.Rows" sId="6"/>
    <undo index="2" exp="area" ref3D="1" dr="$A$48:$XFD$62" dn="Z_9D4F0482_B164_4671_805A_E0D2D4DD4720_.wvu.Rows" sId="6"/>
    <undo index="2" exp="area" ref3D="1" dr="$A$48:$XFD$62" dn="Z_94DA13B6_7351_40F3_8CF7_A4211EC439DA_.wvu.Rows" sId="6"/>
    <undo index="2" exp="area" ref3D="1" dr="$A$48:$XFD$62" dn="Z_8F508F4D_4777_42BE_9707_8CB9355F7BDB_.wvu.Rows" sId="6"/>
    <undo index="2" exp="area" ref3D="1" dr="$A$48:$XFD$62" dn="Z_567C3053_2D8E_4705_8DC7_18896C5303CA_.wvu.Rows" sId="6"/>
    <undo index="2" exp="area" ref3D="1" dr="$A$48:$XFD$62" dn="Z_455630F5_40FC_47DB_8AD4_712C20B8FB91_.wvu.Rows" sId="6"/>
    <undo index="2" exp="area" ref3D="1" dr="$A$48:$XFD$62" dn="Z_1E5198E1_BA46_4CE0_8628_4F695B0D7A3B_.wvu.Rows" sId="6"/>
    <rfmt sheetId="6" xfDxf="1" sqref="A1:XFD1" start="0" length="0">
      <dxf>
        <font/>
      </dxf>
    </rfmt>
    <rfmt sheetId="6" sqref="A1" start="0" length="0">
      <dxf>
        <font>
          <i/>
        </font>
      </dxf>
    </rfmt>
    <rfmt sheetId="6" sqref="B1" start="0" length="0">
      <dxf>
        <numFmt numFmtId="167" formatCode="#,##0.0"/>
      </dxf>
    </rfmt>
    <rfmt sheetId="6" sqref="C1" start="0" length="0">
      <dxf>
        <numFmt numFmtId="167" formatCode="#,##0.0"/>
      </dxf>
    </rfmt>
    <rfmt sheetId="6" sqref="D1" start="0" length="0">
      <dxf>
        <numFmt numFmtId="167" formatCode="#,##0.0"/>
      </dxf>
    </rfmt>
    <rfmt sheetId="6" s="1" sqref="E1" start="0" length="0">
      <dxf>
        <numFmt numFmtId="13" formatCode="0%"/>
      </dxf>
    </rfmt>
    <rfmt sheetId="6" sqref="F1" start="0" length="0">
      <dxf>
        <numFmt numFmtId="167" formatCode="#,##0.0"/>
      </dxf>
    </rfmt>
    <rfmt sheetId="6" s="1" sqref="H1" start="0" length="0">
      <dxf>
        <numFmt numFmtId="13" formatCode="0%"/>
      </dxf>
    </rfmt>
  </rrc>
  <rrc rId="35959" sId="6" ref="A1:XFD1" action="deleteRow">
    <undo index="2" exp="area" ref3D="1" dr="$A$47:$XFD$61" dn="Z_78CA186D_B240_44D5_8A24_D241DE0B0FD9_.wvu.Rows" sId="6"/>
    <undo index="2" exp="area" ref3D="1" dr="$A$47:$XFD$61" dn="Z_F784130D_F647_4ABA_8943_C79CA5B0FDC4_.wvu.Rows" sId="6"/>
    <undo index="2" exp="area" ref3D="1" dr="$A$47:$XFD$61" dn="Z_E44F5FE1_54FC_4AB3_84F9_7D65ACF2DDE7_.wvu.Rows" sId="6"/>
    <undo index="2" exp="area" ref3D="1" dr="$A$47:$XFD$61" dn="Z_AEFEB150_9213_45F5_A178_7AC71E46DB11_.wvu.Rows" sId="6"/>
    <undo index="2" exp="area" ref3D="1" dr="$A$47:$XFD$61" dn="Z_9D4F0482_B164_4671_805A_E0D2D4DD4720_.wvu.Rows" sId="6"/>
    <undo index="2" exp="area" ref3D="1" dr="$A$47:$XFD$61" dn="Z_94DA13B6_7351_40F3_8CF7_A4211EC439DA_.wvu.Rows" sId="6"/>
    <undo index="2" exp="area" ref3D="1" dr="$A$47:$XFD$61" dn="Z_8F508F4D_4777_42BE_9707_8CB9355F7BDB_.wvu.Rows" sId="6"/>
    <undo index="2" exp="area" ref3D="1" dr="$A$47:$XFD$61" dn="Z_567C3053_2D8E_4705_8DC7_18896C5303CA_.wvu.Rows" sId="6"/>
    <undo index="2" exp="area" ref3D="1" dr="$A$47:$XFD$61" dn="Z_455630F5_40FC_47DB_8AD4_712C20B8FB91_.wvu.Rows" sId="6"/>
    <undo index="2" exp="area" ref3D="1" dr="$A$47:$XFD$61" dn="Z_1E5198E1_BA46_4CE0_8628_4F695B0D7A3B_.wvu.Rows" sId="6"/>
    <rfmt sheetId="6" xfDxf="1" sqref="A1:XFD1" start="0" length="0">
      <dxf>
        <font/>
      </dxf>
    </rfmt>
    <rfmt sheetId="6" sqref="A1" start="0" length="0">
      <dxf>
        <font>
          <i/>
        </font>
      </dxf>
    </rfmt>
    <rfmt sheetId="6" sqref="B1" start="0" length="0">
      <dxf>
        <numFmt numFmtId="167" formatCode="#,##0.0"/>
      </dxf>
    </rfmt>
    <rfmt sheetId="6" sqref="C1" start="0" length="0">
      <dxf>
        <numFmt numFmtId="167" formatCode="#,##0.0"/>
      </dxf>
    </rfmt>
    <rfmt sheetId="6" sqref="D1" start="0" length="0">
      <dxf>
        <numFmt numFmtId="167" formatCode="#,##0.0"/>
      </dxf>
    </rfmt>
    <rfmt sheetId="6" s="1" sqref="E1" start="0" length="0">
      <dxf>
        <numFmt numFmtId="13" formatCode="0%"/>
      </dxf>
    </rfmt>
    <rfmt sheetId="6" sqref="F1" start="0" length="0">
      <dxf>
        <numFmt numFmtId="167" formatCode="#,##0.0"/>
      </dxf>
    </rfmt>
    <rfmt sheetId="6" s="1" sqref="H1" start="0" length="0">
      <dxf>
        <numFmt numFmtId="13" formatCode="0%"/>
      </dxf>
    </rfmt>
  </rrc>
  <rrc rId="35960" sId="6" ref="A1:XFD1" action="deleteRow">
    <undo index="2" exp="area" ref3D="1" dr="$A$46:$XFD$60" dn="Z_78CA186D_B240_44D5_8A24_D241DE0B0FD9_.wvu.Rows" sId="6"/>
    <undo index="2" exp="area" ref3D="1" dr="$A$46:$XFD$60" dn="Z_F784130D_F647_4ABA_8943_C79CA5B0FDC4_.wvu.Rows" sId="6"/>
    <undo index="2" exp="area" ref3D="1" dr="$A$46:$XFD$60" dn="Z_E44F5FE1_54FC_4AB3_84F9_7D65ACF2DDE7_.wvu.Rows" sId="6"/>
    <undo index="2" exp="area" ref3D="1" dr="$A$46:$XFD$60" dn="Z_AEFEB150_9213_45F5_A178_7AC71E46DB11_.wvu.Rows" sId="6"/>
    <undo index="2" exp="area" ref3D="1" dr="$A$46:$XFD$60" dn="Z_9D4F0482_B164_4671_805A_E0D2D4DD4720_.wvu.Rows" sId="6"/>
    <undo index="2" exp="area" ref3D="1" dr="$A$46:$XFD$60" dn="Z_94DA13B6_7351_40F3_8CF7_A4211EC439DA_.wvu.Rows" sId="6"/>
    <undo index="2" exp="area" ref3D="1" dr="$A$46:$XFD$60" dn="Z_8F508F4D_4777_42BE_9707_8CB9355F7BDB_.wvu.Rows" sId="6"/>
    <undo index="2" exp="area" ref3D="1" dr="$A$46:$XFD$60" dn="Z_567C3053_2D8E_4705_8DC7_18896C5303CA_.wvu.Rows" sId="6"/>
    <undo index="2" exp="area" ref3D="1" dr="$A$46:$XFD$60" dn="Z_455630F5_40FC_47DB_8AD4_712C20B8FB91_.wvu.Rows" sId="6"/>
    <undo index="2" exp="area" ref3D="1" dr="$A$46:$XFD$60" dn="Z_1E5198E1_BA46_4CE0_8628_4F695B0D7A3B_.wvu.Rows" sId="6"/>
    <rfmt sheetId="6" xfDxf="1" sqref="A1:XFD1" start="0" length="0">
      <dxf>
        <font/>
      </dxf>
    </rfmt>
    <rfmt sheetId="6" sqref="A1" start="0" length="0">
      <dxf>
        <font>
          <i/>
        </font>
      </dxf>
    </rfmt>
    <rfmt sheetId="6" sqref="B1" start="0" length="0">
      <dxf>
        <numFmt numFmtId="167" formatCode="#,##0.0"/>
      </dxf>
    </rfmt>
    <rfmt sheetId="6" sqref="C1" start="0" length="0">
      <dxf>
        <numFmt numFmtId="167" formatCode="#,##0.0"/>
      </dxf>
    </rfmt>
    <rfmt sheetId="6" sqref="D1" start="0" length="0">
      <dxf>
        <numFmt numFmtId="167" formatCode="#,##0.0"/>
      </dxf>
    </rfmt>
    <rfmt sheetId="6" s="1" sqref="E1" start="0" length="0">
      <dxf>
        <numFmt numFmtId="13" formatCode="0%"/>
      </dxf>
    </rfmt>
    <rfmt sheetId="6" sqref="F1" start="0" length="0">
      <dxf>
        <numFmt numFmtId="167" formatCode="#,##0.0"/>
      </dxf>
    </rfmt>
    <rfmt sheetId="6" s="1" sqref="H1" start="0" length="0">
      <dxf>
        <numFmt numFmtId="13" formatCode="0%"/>
      </dxf>
    </rfmt>
  </rrc>
  <rrc rId="35961" sId="6" ref="A1:XFD1" action="deleteRow">
    <undo index="2" exp="area" ref3D="1" dr="$A$45:$XFD$59" dn="Z_78CA186D_B240_44D5_8A24_D241DE0B0FD9_.wvu.Rows" sId="6"/>
    <undo index="2" exp="area" ref3D="1" dr="$A$45:$XFD$59" dn="Z_F784130D_F647_4ABA_8943_C79CA5B0FDC4_.wvu.Rows" sId="6"/>
    <undo index="2" exp="area" ref3D="1" dr="$A$45:$XFD$59" dn="Z_E44F5FE1_54FC_4AB3_84F9_7D65ACF2DDE7_.wvu.Rows" sId="6"/>
    <undo index="2" exp="area" ref3D="1" dr="$A$45:$XFD$59" dn="Z_AEFEB150_9213_45F5_A178_7AC71E46DB11_.wvu.Rows" sId="6"/>
    <undo index="2" exp="area" ref3D="1" dr="$A$45:$XFD$59" dn="Z_9D4F0482_B164_4671_805A_E0D2D4DD4720_.wvu.Rows" sId="6"/>
    <undo index="2" exp="area" ref3D="1" dr="$A$45:$XFD$59" dn="Z_94DA13B6_7351_40F3_8CF7_A4211EC439DA_.wvu.Rows" sId="6"/>
    <undo index="2" exp="area" ref3D="1" dr="$A$45:$XFD$59" dn="Z_8F508F4D_4777_42BE_9707_8CB9355F7BDB_.wvu.Rows" sId="6"/>
    <undo index="2" exp="area" ref3D="1" dr="$A$45:$XFD$59" dn="Z_567C3053_2D8E_4705_8DC7_18896C5303CA_.wvu.Rows" sId="6"/>
    <undo index="2" exp="area" ref3D="1" dr="$A$45:$XFD$59" dn="Z_455630F5_40FC_47DB_8AD4_712C20B8FB91_.wvu.Rows" sId="6"/>
    <undo index="2" exp="area" ref3D="1" dr="$A$45:$XFD$59" dn="Z_1E5198E1_BA46_4CE0_8628_4F695B0D7A3B_.wvu.Rows" sId="6"/>
    <rfmt sheetId="6" xfDxf="1" sqref="A1:XFD1" start="0" length="0">
      <dxf>
        <font/>
      </dxf>
    </rfmt>
    <rfmt sheetId="6" sqref="A1" start="0" length="0">
      <dxf>
        <font>
          <i/>
        </font>
      </dxf>
    </rfmt>
    <rfmt sheetId="6" sqref="B1" start="0" length="0">
      <dxf>
        <numFmt numFmtId="167" formatCode="#,##0.0"/>
      </dxf>
    </rfmt>
    <rfmt sheetId="6" sqref="C1" start="0" length="0">
      <dxf>
        <numFmt numFmtId="167" formatCode="#,##0.0"/>
      </dxf>
    </rfmt>
    <rfmt sheetId="6" sqref="D1" start="0" length="0">
      <dxf>
        <numFmt numFmtId="167" formatCode="#,##0.0"/>
      </dxf>
    </rfmt>
    <rfmt sheetId="6" s="1" sqref="E1" start="0" length="0">
      <dxf>
        <numFmt numFmtId="13" formatCode="0%"/>
      </dxf>
    </rfmt>
    <rfmt sheetId="6" sqref="F1" start="0" length="0">
      <dxf>
        <numFmt numFmtId="167" formatCode="#,##0.0"/>
      </dxf>
    </rfmt>
    <rfmt sheetId="6" s="1" sqref="H1" start="0" length="0">
      <dxf>
        <numFmt numFmtId="13" formatCode="0%"/>
      </dxf>
    </rfmt>
  </rrc>
  <rrc rId="35962" sId="6" ref="A1:XFD1" action="deleteRow">
    <undo index="2" exp="area" ref3D="1" dr="$A$44:$XFD$58" dn="Z_78CA186D_B240_44D5_8A24_D241DE0B0FD9_.wvu.Rows" sId="6"/>
    <undo index="2" exp="area" ref3D="1" dr="$A$44:$XFD$58" dn="Z_F784130D_F647_4ABA_8943_C79CA5B0FDC4_.wvu.Rows" sId="6"/>
    <undo index="2" exp="area" ref3D="1" dr="$A$44:$XFD$58" dn="Z_E44F5FE1_54FC_4AB3_84F9_7D65ACF2DDE7_.wvu.Rows" sId="6"/>
    <undo index="2" exp="area" ref3D="1" dr="$A$44:$XFD$58" dn="Z_AEFEB150_9213_45F5_A178_7AC71E46DB11_.wvu.Rows" sId="6"/>
    <undo index="2" exp="area" ref3D="1" dr="$A$44:$XFD$58" dn="Z_9D4F0482_B164_4671_805A_E0D2D4DD4720_.wvu.Rows" sId="6"/>
    <undo index="2" exp="area" ref3D="1" dr="$A$44:$XFD$58" dn="Z_94DA13B6_7351_40F3_8CF7_A4211EC439DA_.wvu.Rows" sId="6"/>
    <undo index="2" exp="area" ref3D="1" dr="$A$44:$XFD$58" dn="Z_8F508F4D_4777_42BE_9707_8CB9355F7BDB_.wvu.Rows" sId="6"/>
    <undo index="2" exp="area" ref3D="1" dr="$A$44:$XFD$58" dn="Z_567C3053_2D8E_4705_8DC7_18896C5303CA_.wvu.Rows" sId="6"/>
    <undo index="2" exp="area" ref3D="1" dr="$A$44:$XFD$58" dn="Z_455630F5_40FC_47DB_8AD4_712C20B8FB91_.wvu.Rows" sId="6"/>
    <undo index="2" exp="area" ref3D="1" dr="$A$44:$XFD$58" dn="Z_1E5198E1_BA46_4CE0_8628_4F695B0D7A3B_.wvu.Rows" sId="6"/>
    <rfmt sheetId="6" xfDxf="1" sqref="A1:XFD1" start="0" length="0">
      <dxf>
        <font/>
        <fill>
          <patternFill patternType="solid">
            <bgColor theme="0" tint="-0.249977111117893"/>
          </patternFill>
        </fill>
      </dxf>
    </rfmt>
    <rfmt sheetId="6" sqref="A1" start="0" length="0">
      <dxf>
        <font>
          <b/>
        </font>
      </dxf>
    </rfmt>
    <rfmt sheetId="6" sqref="B1" start="0" length="0">
      <dxf>
        <numFmt numFmtId="167" formatCode="#,##0.0"/>
      </dxf>
    </rfmt>
    <rfmt sheetId="6" sqref="C1" start="0" length="0">
      <dxf>
        <numFmt numFmtId="167" formatCode="#,##0.0"/>
      </dxf>
    </rfmt>
    <rfmt sheetId="6" sqref="D1" start="0" length="0">
      <dxf>
        <numFmt numFmtId="167" formatCode="#,##0.0"/>
      </dxf>
    </rfmt>
    <rfmt sheetId="6" s="1" sqref="E1" start="0" length="0">
      <dxf>
        <numFmt numFmtId="13" formatCode="0%"/>
      </dxf>
    </rfmt>
    <rfmt sheetId="6" sqref="F1" start="0" length="0">
      <dxf>
        <numFmt numFmtId="167" formatCode="#,##0.0"/>
      </dxf>
    </rfmt>
    <rfmt sheetId="6" s="1" sqref="H1" start="0" length="0">
      <dxf>
        <numFmt numFmtId="13" formatCode="0%"/>
      </dxf>
    </rfmt>
  </rrc>
  <rrc rId="35963" sId="6" ref="A1:XFD1" action="deleteRow">
    <undo index="2" exp="area" ref3D="1" dr="$A$43:$XFD$57" dn="Z_78CA186D_B240_44D5_8A24_D241DE0B0FD9_.wvu.Rows" sId="6"/>
    <undo index="2" exp="area" ref3D="1" dr="$A$43:$XFD$57" dn="Z_F784130D_F647_4ABA_8943_C79CA5B0FDC4_.wvu.Rows" sId="6"/>
    <undo index="2" exp="area" ref3D="1" dr="$A$43:$XFD$57" dn="Z_E44F5FE1_54FC_4AB3_84F9_7D65ACF2DDE7_.wvu.Rows" sId="6"/>
    <undo index="2" exp="area" ref3D="1" dr="$A$43:$XFD$57" dn="Z_AEFEB150_9213_45F5_A178_7AC71E46DB11_.wvu.Rows" sId="6"/>
    <undo index="2" exp="area" ref3D="1" dr="$A$43:$XFD$57" dn="Z_9D4F0482_B164_4671_805A_E0D2D4DD4720_.wvu.Rows" sId="6"/>
    <undo index="2" exp="area" ref3D="1" dr="$A$43:$XFD$57" dn="Z_94DA13B6_7351_40F3_8CF7_A4211EC439DA_.wvu.Rows" sId="6"/>
    <undo index="2" exp="area" ref3D="1" dr="$A$43:$XFD$57" dn="Z_8F508F4D_4777_42BE_9707_8CB9355F7BDB_.wvu.Rows" sId="6"/>
    <undo index="2" exp="area" ref3D="1" dr="$A$43:$XFD$57" dn="Z_567C3053_2D8E_4705_8DC7_18896C5303CA_.wvu.Rows" sId="6"/>
    <undo index="2" exp="area" ref3D="1" dr="$A$43:$XFD$57" dn="Z_455630F5_40FC_47DB_8AD4_712C20B8FB91_.wvu.Rows" sId="6"/>
    <undo index="2" exp="area" ref3D="1" dr="$A$43:$XFD$57" dn="Z_1E5198E1_BA46_4CE0_8628_4F695B0D7A3B_.wvu.Rows" sId="6"/>
    <rfmt sheetId="6" xfDxf="1" sqref="A1:XFD1" start="0" length="0">
      <dxf>
        <font/>
      </dxf>
    </rfmt>
    <rfmt sheetId="6" sqref="A1" start="0" length="0">
      <dxf>
        <border outline="0">
          <left style="medium">
            <color indexed="64"/>
          </left>
        </border>
      </dxf>
    </rfmt>
    <rfmt sheetId="6" sqref="B1" start="0" length="0">
      <dxf>
        <numFmt numFmtId="167" formatCode="#,##0.0"/>
      </dxf>
    </rfmt>
    <rfmt sheetId="6" sqref="C1" start="0" length="0">
      <dxf>
        <numFmt numFmtId="167" formatCode="#,##0.0"/>
      </dxf>
    </rfmt>
    <rfmt sheetId="6" sqref="D1" start="0" length="0">
      <dxf>
        <numFmt numFmtId="167" formatCode="#,##0.0"/>
      </dxf>
    </rfmt>
    <rfmt sheetId="6" s="1" sqref="E1" start="0" length="0">
      <dxf>
        <numFmt numFmtId="13" formatCode="0%"/>
      </dxf>
    </rfmt>
    <rfmt sheetId="6" sqref="F1" start="0" length="0">
      <dxf>
        <numFmt numFmtId="167" formatCode="#,##0.0"/>
      </dxf>
    </rfmt>
    <rfmt sheetId="6" sqref="G1" start="0" length="0">
      <dxf>
        <numFmt numFmtId="167" formatCode="#,##0.0"/>
      </dxf>
    </rfmt>
    <rfmt sheetId="6" s="1" sqref="H1" start="0" length="0">
      <dxf>
        <numFmt numFmtId="13" formatCode="0%"/>
      </dxf>
    </rfmt>
  </rrc>
  <rrc rId="35964" sId="6" ref="A1:XFD1" action="deleteRow">
    <undo index="2" exp="area" ref3D="1" dr="$A$42:$XFD$56" dn="Z_78CA186D_B240_44D5_8A24_D241DE0B0FD9_.wvu.Rows" sId="6"/>
    <undo index="2" exp="area" ref3D="1" dr="$A$42:$XFD$56" dn="Z_F784130D_F647_4ABA_8943_C79CA5B0FDC4_.wvu.Rows" sId="6"/>
    <undo index="2" exp="area" ref3D="1" dr="$A$42:$XFD$56" dn="Z_E44F5FE1_54FC_4AB3_84F9_7D65ACF2DDE7_.wvu.Rows" sId="6"/>
    <undo index="2" exp="area" ref3D="1" dr="$A$42:$XFD$56" dn="Z_AEFEB150_9213_45F5_A178_7AC71E46DB11_.wvu.Rows" sId="6"/>
    <undo index="2" exp="area" ref3D="1" dr="$A$42:$XFD$56" dn="Z_9D4F0482_B164_4671_805A_E0D2D4DD4720_.wvu.Rows" sId="6"/>
    <undo index="2" exp="area" ref3D="1" dr="$A$42:$XFD$56" dn="Z_94DA13B6_7351_40F3_8CF7_A4211EC439DA_.wvu.Rows" sId="6"/>
    <undo index="2" exp="area" ref3D="1" dr="$A$42:$XFD$56" dn="Z_8F508F4D_4777_42BE_9707_8CB9355F7BDB_.wvu.Rows" sId="6"/>
    <undo index="2" exp="area" ref3D="1" dr="$A$42:$XFD$56" dn="Z_567C3053_2D8E_4705_8DC7_18896C5303CA_.wvu.Rows" sId="6"/>
    <undo index="2" exp="area" ref3D="1" dr="$A$42:$XFD$56" dn="Z_455630F5_40FC_47DB_8AD4_712C20B8FB91_.wvu.Rows" sId="6"/>
    <undo index="2" exp="area" ref3D="1" dr="$A$42:$XFD$56" dn="Z_1E5198E1_BA46_4CE0_8628_4F695B0D7A3B_.wvu.Rows" sId="6"/>
    <rfmt sheetId="6" xfDxf="1" sqref="A1:XFD1" start="0" length="0">
      <dxf>
        <font/>
      </dxf>
    </rfmt>
    <rfmt sheetId="6" sqref="A1" start="0" length="0">
      <dxf>
        <border outline="0">
          <left style="medium">
            <color indexed="64"/>
          </left>
        </border>
      </dxf>
    </rfmt>
    <rfmt sheetId="6" sqref="B1" start="0" length="0">
      <dxf>
        <numFmt numFmtId="167" formatCode="#,##0.0"/>
      </dxf>
    </rfmt>
    <rfmt sheetId="6" sqref="C1" start="0" length="0">
      <dxf>
        <numFmt numFmtId="167" formatCode="#,##0.0"/>
      </dxf>
    </rfmt>
    <rfmt sheetId="6" sqref="D1" start="0" length="0">
      <dxf>
        <numFmt numFmtId="167" formatCode="#,##0.0"/>
      </dxf>
    </rfmt>
    <rfmt sheetId="6" s="1" sqref="E1" start="0" length="0">
      <dxf>
        <numFmt numFmtId="13" formatCode="0%"/>
      </dxf>
    </rfmt>
    <rfmt sheetId="6" sqref="F1" start="0" length="0">
      <dxf>
        <numFmt numFmtId="167" formatCode="#,##0.0"/>
      </dxf>
    </rfmt>
    <rfmt sheetId="6" sqref="G1" start="0" length="0">
      <dxf>
        <numFmt numFmtId="167" formatCode="#,##0.0"/>
      </dxf>
    </rfmt>
    <rfmt sheetId="6" s="1" sqref="H1" start="0" length="0">
      <dxf>
        <numFmt numFmtId="13" formatCode="0%"/>
      </dxf>
    </rfmt>
  </rrc>
  <rrc rId="35965" sId="6" ref="A1:XFD1" action="deleteRow">
    <undo index="2" exp="area" ref3D="1" dr="$A$41:$XFD$55" dn="Z_78CA186D_B240_44D5_8A24_D241DE0B0FD9_.wvu.Rows" sId="6"/>
    <undo index="2" exp="area" ref3D="1" dr="$A$41:$XFD$55" dn="Z_F784130D_F647_4ABA_8943_C79CA5B0FDC4_.wvu.Rows" sId="6"/>
    <undo index="2" exp="area" ref3D="1" dr="$A$41:$XFD$55" dn="Z_E44F5FE1_54FC_4AB3_84F9_7D65ACF2DDE7_.wvu.Rows" sId="6"/>
    <undo index="2" exp="area" ref3D="1" dr="$A$41:$XFD$55" dn="Z_AEFEB150_9213_45F5_A178_7AC71E46DB11_.wvu.Rows" sId="6"/>
    <undo index="2" exp="area" ref3D="1" dr="$A$41:$XFD$55" dn="Z_9D4F0482_B164_4671_805A_E0D2D4DD4720_.wvu.Rows" sId="6"/>
    <undo index="2" exp="area" ref3D="1" dr="$A$41:$XFD$55" dn="Z_94DA13B6_7351_40F3_8CF7_A4211EC439DA_.wvu.Rows" sId="6"/>
    <undo index="2" exp="area" ref3D="1" dr="$A$41:$XFD$55" dn="Z_8F508F4D_4777_42BE_9707_8CB9355F7BDB_.wvu.Rows" sId="6"/>
    <undo index="2" exp="area" ref3D="1" dr="$A$41:$XFD$55" dn="Z_567C3053_2D8E_4705_8DC7_18896C5303CA_.wvu.Rows" sId="6"/>
    <undo index="2" exp="area" ref3D="1" dr="$A$41:$XFD$55" dn="Z_455630F5_40FC_47DB_8AD4_712C20B8FB91_.wvu.Rows" sId="6"/>
    <undo index="2" exp="area" ref3D="1" dr="$A$41:$XFD$55" dn="Z_1E5198E1_BA46_4CE0_8628_4F695B0D7A3B_.wvu.Rows" sId="6"/>
    <rfmt sheetId="6" xfDxf="1" sqref="A1:XFD1" start="0" length="0">
      <dxf>
        <font/>
      </dxf>
    </rfmt>
    <rfmt sheetId="6" sqref="A1" start="0" length="0">
      <dxf>
        <border outline="0">
          <left style="medium">
            <color indexed="64"/>
          </left>
        </border>
      </dxf>
    </rfmt>
    <rfmt sheetId="6" sqref="B1" start="0" length="0">
      <dxf>
        <numFmt numFmtId="167" formatCode="#,##0.0"/>
      </dxf>
    </rfmt>
    <rfmt sheetId="6" sqref="C1" start="0" length="0">
      <dxf>
        <numFmt numFmtId="167" formatCode="#,##0.0"/>
      </dxf>
    </rfmt>
    <rfmt sheetId="6" sqref="D1" start="0" length="0">
      <dxf>
        <numFmt numFmtId="167" formatCode="#,##0.0"/>
      </dxf>
    </rfmt>
    <rfmt sheetId="6" s="1" sqref="E1" start="0" length="0">
      <dxf>
        <numFmt numFmtId="13" formatCode="0%"/>
      </dxf>
    </rfmt>
    <rfmt sheetId="6" sqref="F1" start="0" length="0">
      <dxf>
        <numFmt numFmtId="167" formatCode="#,##0.0"/>
      </dxf>
    </rfmt>
    <rfmt sheetId="6" sqref="G1" start="0" length="0">
      <dxf>
        <numFmt numFmtId="167" formatCode="#,##0.0"/>
      </dxf>
    </rfmt>
    <rfmt sheetId="6" s="1" sqref="H1" start="0" length="0">
      <dxf>
        <numFmt numFmtId="13" formatCode="0%"/>
      </dxf>
    </rfmt>
  </rrc>
  <rrc rId="35966" sId="6" ref="A1:XFD1" action="deleteRow">
    <undo index="2" exp="area" ref3D="1" dr="$A$40:$XFD$54" dn="Z_78CA186D_B240_44D5_8A24_D241DE0B0FD9_.wvu.Rows" sId="6"/>
    <undo index="2" exp="area" ref3D="1" dr="$A$40:$XFD$54" dn="Z_F784130D_F647_4ABA_8943_C79CA5B0FDC4_.wvu.Rows" sId="6"/>
    <undo index="2" exp="area" ref3D="1" dr="$A$40:$XFD$54" dn="Z_E44F5FE1_54FC_4AB3_84F9_7D65ACF2DDE7_.wvu.Rows" sId="6"/>
    <undo index="2" exp="area" ref3D="1" dr="$A$40:$XFD$54" dn="Z_AEFEB150_9213_45F5_A178_7AC71E46DB11_.wvu.Rows" sId="6"/>
    <undo index="2" exp="area" ref3D="1" dr="$A$40:$XFD$54" dn="Z_9D4F0482_B164_4671_805A_E0D2D4DD4720_.wvu.Rows" sId="6"/>
    <undo index="2" exp="area" ref3D="1" dr="$A$40:$XFD$54" dn="Z_94DA13B6_7351_40F3_8CF7_A4211EC439DA_.wvu.Rows" sId="6"/>
    <undo index="2" exp="area" ref3D="1" dr="$A$40:$XFD$54" dn="Z_8F508F4D_4777_42BE_9707_8CB9355F7BDB_.wvu.Rows" sId="6"/>
    <undo index="2" exp="area" ref3D="1" dr="$A$40:$XFD$54" dn="Z_567C3053_2D8E_4705_8DC7_18896C5303CA_.wvu.Rows" sId="6"/>
    <undo index="2" exp="area" ref3D="1" dr="$A$40:$XFD$54" dn="Z_455630F5_40FC_47DB_8AD4_712C20B8FB91_.wvu.Rows" sId="6"/>
    <undo index="2" exp="area" ref3D="1" dr="$A$40:$XFD$54" dn="Z_1E5198E1_BA46_4CE0_8628_4F695B0D7A3B_.wvu.Rows" sId="6"/>
    <rfmt sheetId="6" xfDxf="1" sqref="A1:XFD1" start="0" length="0">
      <dxf>
        <font/>
      </dxf>
    </rfmt>
    <rfmt sheetId="6" sqref="A1" start="0" length="0">
      <dxf>
        <border outline="0">
          <left style="medium">
            <color indexed="64"/>
          </left>
        </border>
      </dxf>
    </rfmt>
    <rfmt sheetId="6" sqref="B1" start="0" length="0">
      <dxf>
        <numFmt numFmtId="167" formatCode="#,##0.0"/>
      </dxf>
    </rfmt>
    <rfmt sheetId="6" sqref="C1" start="0" length="0">
      <dxf>
        <numFmt numFmtId="167" formatCode="#,##0.0"/>
      </dxf>
    </rfmt>
    <rfmt sheetId="6" sqref="D1" start="0" length="0">
      <dxf>
        <numFmt numFmtId="167" formatCode="#,##0.0"/>
      </dxf>
    </rfmt>
    <rfmt sheetId="6" s="1" sqref="E1" start="0" length="0">
      <dxf>
        <numFmt numFmtId="13" formatCode="0%"/>
      </dxf>
    </rfmt>
    <rfmt sheetId="6" sqref="F1" start="0" length="0">
      <dxf>
        <numFmt numFmtId="167" formatCode="#,##0.0"/>
      </dxf>
    </rfmt>
    <rfmt sheetId="6" sqref="G1" start="0" length="0">
      <dxf>
        <numFmt numFmtId="167" formatCode="#,##0.0"/>
      </dxf>
    </rfmt>
    <rfmt sheetId="6" s="1" sqref="H1" start="0" length="0">
      <dxf>
        <numFmt numFmtId="13" formatCode="0%"/>
      </dxf>
    </rfmt>
  </rrc>
  <rrc rId="35967" sId="6" ref="A1:XFD1" action="deleteRow">
    <undo index="2" exp="area" ref3D="1" dr="$A$39:$XFD$53" dn="Z_78CA186D_B240_44D5_8A24_D241DE0B0FD9_.wvu.Rows" sId="6"/>
    <undo index="2" exp="area" ref3D="1" dr="$A$39:$XFD$53" dn="Z_F784130D_F647_4ABA_8943_C79CA5B0FDC4_.wvu.Rows" sId="6"/>
    <undo index="2" exp="area" ref3D="1" dr="$A$39:$XFD$53" dn="Z_E44F5FE1_54FC_4AB3_84F9_7D65ACF2DDE7_.wvu.Rows" sId="6"/>
    <undo index="2" exp="area" ref3D="1" dr="$A$39:$XFD$53" dn="Z_AEFEB150_9213_45F5_A178_7AC71E46DB11_.wvu.Rows" sId="6"/>
    <undo index="2" exp="area" ref3D="1" dr="$A$39:$XFD$53" dn="Z_9D4F0482_B164_4671_805A_E0D2D4DD4720_.wvu.Rows" sId="6"/>
    <undo index="2" exp="area" ref3D="1" dr="$A$39:$XFD$53" dn="Z_94DA13B6_7351_40F3_8CF7_A4211EC439DA_.wvu.Rows" sId="6"/>
    <undo index="2" exp="area" ref3D="1" dr="$A$39:$XFD$53" dn="Z_8F508F4D_4777_42BE_9707_8CB9355F7BDB_.wvu.Rows" sId="6"/>
    <undo index="2" exp="area" ref3D="1" dr="$A$39:$XFD$53" dn="Z_567C3053_2D8E_4705_8DC7_18896C5303CA_.wvu.Rows" sId="6"/>
    <undo index="2" exp="area" ref3D="1" dr="$A$39:$XFD$53" dn="Z_455630F5_40FC_47DB_8AD4_712C20B8FB91_.wvu.Rows" sId="6"/>
    <undo index="2" exp="area" ref3D="1" dr="$A$39:$XFD$53" dn="Z_1E5198E1_BA46_4CE0_8628_4F695B0D7A3B_.wvu.Rows" sId="6"/>
    <rfmt sheetId="6" xfDxf="1" sqref="A1:XFD1" start="0" length="0">
      <dxf>
        <font/>
      </dxf>
    </rfmt>
    <rfmt sheetId="6" sqref="A1" start="0" length="0">
      <dxf>
        <border outline="0">
          <left style="medium">
            <color indexed="64"/>
          </left>
        </border>
      </dxf>
    </rfmt>
    <rfmt sheetId="6" sqref="B1" start="0" length="0">
      <dxf>
        <numFmt numFmtId="167" formatCode="#,##0.0"/>
      </dxf>
    </rfmt>
    <rfmt sheetId="6" sqref="C1" start="0" length="0">
      <dxf>
        <numFmt numFmtId="167" formatCode="#,##0.0"/>
      </dxf>
    </rfmt>
    <rfmt sheetId="6" sqref="D1" start="0" length="0">
      <dxf>
        <numFmt numFmtId="167" formatCode="#,##0.0"/>
      </dxf>
    </rfmt>
    <rfmt sheetId="6" s="1" sqref="E1" start="0" length="0">
      <dxf>
        <numFmt numFmtId="13" formatCode="0%"/>
      </dxf>
    </rfmt>
    <rfmt sheetId="6" sqref="F1" start="0" length="0">
      <dxf>
        <numFmt numFmtId="167" formatCode="#,##0.0"/>
      </dxf>
    </rfmt>
    <rfmt sheetId="6" sqref="G1" start="0" length="0">
      <dxf>
        <numFmt numFmtId="167" formatCode="#,##0.0"/>
      </dxf>
    </rfmt>
    <rfmt sheetId="6" s="1" sqref="H1" start="0" length="0">
      <dxf>
        <numFmt numFmtId="13" formatCode="0%"/>
      </dxf>
    </rfmt>
  </rrc>
  <rrc rId="35968" sId="6" ref="A1:XFD1" action="deleteRow">
    <undo index="2" exp="area" ref3D="1" dr="$A$38:$XFD$52" dn="Z_78CA186D_B240_44D5_8A24_D241DE0B0FD9_.wvu.Rows" sId="6"/>
    <undo index="2" exp="area" ref3D="1" dr="$A$38:$XFD$52" dn="Z_F784130D_F647_4ABA_8943_C79CA5B0FDC4_.wvu.Rows" sId="6"/>
    <undo index="2" exp="area" ref3D="1" dr="$A$38:$XFD$52" dn="Z_E44F5FE1_54FC_4AB3_84F9_7D65ACF2DDE7_.wvu.Rows" sId="6"/>
    <undo index="2" exp="area" ref3D="1" dr="$A$38:$XFD$52" dn="Z_AEFEB150_9213_45F5_A178_7AC71E46DB11_.wvu.Rows" sId="6"/>
    <undo index="2" exp="area" ref3D="1" dr="$A$38:$XFD$52" dn="Z_9D4F0482_B164_4671_805A_E0D2D4DD4720_.wvu.Rows" sId="6"/>
    <undo index="2" exp="area" ref3D="1" dr="$A$38:$XFD$52" dn="Z_94DA13B6_7351_40F3_8CF7_A4211EC439DA_.wvu.Rows" sId="6"/>
    <undo index="2" exp="area" ref3D="1" dr="$A$38:$XFD$52" dn="Z_8F508F4D_4777_42BE_9707_8CB9355F7BDB_.wvu.Rows" sId="6"/>
    <undo index="2" exp="area" ref3D="1" dr="$A$38:$XFD$52" dn="Z_567C3053_2D8E_4705_8DC7_18896C5303CA_.wvu.Rows" sId="6"/>
    <undo index="2" exp="area" ref3D="1" dr="$A$38:$XFD$52" dn="Z_455630F5_40FC_47DB_8AD4_712C20B8FB91_.wvu.Rows" sId="6"/>
    <undo index="2" exp="area" ref3D="1" dr="$A$38:$XFD$52" dn="Z_1E5198E1_BA46_4CE0_8628_4F695B0D7A3B_.wvu.Rows" sId="6"/>
    <rfmt sheetId="6" xfDxf="1" sqref="A1:XFD1" start="0" length="0">
      <dxf>
        <font/>
      </dxf>
    </rfmt>
    <rfmt sheetId="6" sqref="A1" start="0" length="0">
      <dxf>
        <border outline="0">
          <left style="medium">
            <color indexed="64"/>
          </left>
        </border>
      </dxf>
    </rfmt>
    <rfmt sheetId="6" sqref="B1" start="0" length="0">
      <dxf>
        <numFmt numFmtId="167" formatCode="#,##0.0"/>
      </dxf>
    </rfmt>
    <rfmt sheetId="6" sqref="C1" start="0" length="0">
      <dxf>
        <numFmt numFmtId="167" formatCode="#,##0.0"/>
      </dxf>
    </rfmt>
    <rfmt sheetId="6" sqref="D1" start="0" length="0">
      <dxf>
        <numFmt numFmtId="167" formatCode="#,##0.0"/>
      </dxf>
    </rfmt>
    <rfmt sheetId="6" s="1" sqref="E1" start="0" length="0">
      <dxf>
        <numFmt numFmtId="13" formatCode="0%"/>
      </dxf>
    </rfmt>
    <rfmt sheetId="6" sqref="F1" start="0" length="0">
      <dxf>
        <numFmt numFmtId="167" formatCode="#,##0.0"/>
      </dxf>
    </rfmt>
    <rfmt sheetId="6" sqref="G1" start="0" length="0">
      <dxf>
        <numFmt numFmtId="167" formatCode="#,##0.0"/>
      </dxf>
    </rfmt>
    <rfmt sheetId="6" s="1" sqref="H1" start="0" length="0">
      <dxf>
        <numFmt numFmtId="13" formatCode="0%"/>
      </dxf>
    </rfmt>
  </rrc>
  <rrc rId="35969" sId="6" ref="A1:XFD1" action="deleteRow">
    <undo index="2" exp="area" ref3D="1" dr="$A$37:$XFD$51" dn="Z_78CA186D_B240_44D5_8A24_D241DE0B0FD9_.wvu.Rows" sId="6"/>
    <undo index="2" exp="area" ref3D="1" dr="$A$37:$XFD$51" dn="Z_F784130D_F647_4ABA_8943_C79CA5B0FDC4_.wvu.Rows" sId="6"/>
    <undo index="2" exp="area" ref3D="1" dr="$A$37:$XFD$51" dn="Z_E44F5FE1_54FC_4AB3_84F9_7D65ACF2DDE7_.wvu.Rows" sId="6"/>
    <undo index="2" exp="area" ref3D="1" dr="$A$37:$XFD$51" dn="Z_AEFEB150_9213_45F5_A178_7AC71E46DB11_.wvu.Rows" sId="6"/>
    <undo index="2" exp="area" ref3D="1" dr="$A$37:$XFD$51" dn="Z_9D4F0482_B164_4671_805A_E0D2D4DD4720_.wvu.Rows" sId="6"/>
    <undo index="2" exp="area" ref3D="1" dr="$A$37:$XFD$51" dn="Z_94DA13B6_7351_40F3_8CF7_A4211EC439DA_.wvu.Rows" sId="6"/>
    <undo index="2" exp="area" ref3D="1" dr="$A$37:$XFD$51" dn="Z_8F508F4D_4777_42BE_9707_8CB9355F7BDB_.wvu.Rows" sId="6"/>
    <undo index="2" exp="area" ref3D="1" dr="$A$37:$XFD$51" dn="Z_567C3053_2D8E_4705_8DC7_18896C5303CA_.wvu.Rows" sId="6"/>
    <undo index="2" exp="area" ref3D="1" dr="$A$37:$XFD$51" dn="Z_455630F5_40FC_47DB_8AD4_712C20B8FB91_.wvu.Rows" sId="6"/>
    <undo index="2" exp="area" ref3D="1" dr="$A$37:$XFD$51" dn="Z_1E5198E1_BA46_4CE0_8628_4F695B0D7A3B_.wvu.Rows" sId="6"/>
    <rfmt sheetId="6" xfDxf="1" sqref="A1:XFD1" start="0" length="0">
      <dxf>
        <font/>
      </dxf>
    </rfmt>
    <rfmt sheetId="6" sqref="A1" start="0" length="0">
      <dxf>
        <border outline="0">
          <left style="medium">
            <color indexed="64"/>
          </left>
        </border>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numFmt numFmtId="164" formatCode="0.0%"/>
        <alignment horizontal="right" vertical="top" readingOrder="0"/>
      </dxf>
    </rfmt>
    <rfmt sheetId="6" sqref="F1" start="0" length="0">
      <dxf>
        <numFmt numFmtId="167" formatCode="#,##0.0"/>
      </dxf>
    </rfmt>
    <rfmt sheetId="6" sqref="G1" start="0" length="0">
      <dxf>
        <numFmt numFmtId="167" formatCode="#,##0.0"/>
      </dxf>
    </rfmt>
    <rfmt sheetId="6" sqref="H1" start="0" length="0">
      <dxf>
        <numFmt numFmtId="164" formatCode="0.0%"/>
        <alignment horizontal="right" vertical="top" readingOrder="0"/>
      </dxf>
    </rfmt>
  </rrc>
  <rrc rId="35970" sId="6" ref="A1:XFD1" action="deleteRow">
    <undo index="2" exp="area" ref3D="1" dr="$A$36:$XFD$50" dn="Z_78CA186D_B240_44D5_8A24_D241DE0B0FD9_.wvu.Rows" sId="6"/>
    <undo index="2" exp="area" ref3D="1" dr="$A$36:$XFD$50" dn="Z_F784130D_F647_4ABA_8943_C79CA5B0FDC4_.wvu.Rows" sId="6"/>
    <undo index="2" exp="area" ref3D="1" dr="$A$36:$XFD$50" dn="Z_E44F5FE1_54FC_4AB3_84F9_7D65ACF2DDE7_.wvu.Rows" sId="6"/>
    <undo index="2" exp="area" ref3D="1" dr="$A$36:$XFD$50" dn="Z_AEFEB150_9213_45F5_A178_7AC71E46DB11_.wvu.Rows" sId="6"/>
    <undo index="2" exp="area" ref3D="1" dr="$A$36:$XFD$50" dn="Z_9D4F0482_B164_4671_805A_E0D2D4DD4720_.wvu.Rows" sId="6"/>
    <undo index="2" exp="area" ref3D="1" dr="$A$36:$XFD$50" dn="Z_94DA13B6_7351_40F3_8CF7_A4211EC439DA_.wvu.Rows" sId="6"/>
    <undo index="2" exp="area" ref3D="1" dr="$A$36:$XFD$50" dn="Z_8F508F4D_4777_42BE_9707_8CB9355F7BDB_.wvu.Rows" sId="6"/>
    <undo index="2" exp="area" ref3D="1" dr="$A$36:$XFD$50" dn="Z_567C3053_2D8E_4705_8DC7_18896C5303CA_.wvu.Rows" sId="6"/>
    <undo index="2" exp="area" ref3D="1" dr="$A$36:$XFD$50" dn="Z_455630F5_40FC_47DB_8AD4_712C20B8FB91_.wvu.Rows" sId="6"/>
    <undo index="2" exp="area" ref3D="1" dr="$A$36:$XFD$50" dn="Z_1E5198E1_BA46_4CE0_8628_4F695B0D7A3B_.wvu.Rows" sId="6"/>
    <rfmt sheetId="6" xfDxf="1" sqref="A1:XFD1" start="0" length="0">
      <dxf>
        <font/>
      </dxf>
    </rfmt>
    <rfmt sheetId="6" sqref="A1" start="0" length="0">
      <dxf>
        <border outline="0">
          <left style="medium">
            <color indexed="64"/>
          </left>
        </border>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numFmt numFmtId="164" formatCode="0.0%"/>
        <alignment horizontal="right" vertical="top" readingOrder="0"/>
      </dxf>
    </rfmt>
    <rfmt sheetId="6" sqref="F1" start="0" length="0">
      <dxf>
        <numFmt numFmtId="167" formatCode="#,##0.0"/>
      </dxf>
    </rfmt>
    <rfmt sheetId="6" sqref="G1" start="0" length="0">
      <dxf>
        <numFmt numFmtId="167" formatCode="#,##0.0"/>
      </dxf>
    </rfmt>
    <rfmt sheetId="6" sqref="H1" start="0" length="0">
      <dxf>
        <numFmt numFmtId="164" formatCode="0.0%"/>
        <alignment horizontal="right" vertical="top" readingOrder="0"/>
      </dxf>
    </rfmt>
  </rrc>
  <rrc rId="35971" sId="6" ref="A1:XFD1" action="deleteRow">
    <undo index="2" exp="area" ref3D="1" dr="$A$35:$XFD$49" dn="Z_78CA186D_B240_44D5_8A24_D241DE0B0FD9_.wvu.Rows" sId="6"/>
    <undo index="2" exp="area" ref3D="1" dr="$A$35:$XFD$49" dn="Z_F784130D_F647_4ABA_8943_C79CA5B0FDC4_.wvu.Rows" sId="6"/>
    <undo index="2" exp="area" ref3D="1" dr="$A$35:$XFD$49" dn="Z_E44F5FE1_54FC_4AB3_84F9_7D65ACF2DDE7_.wvu.Rows" sId="6"/>
    <undo index="2" exp="area" ref3D="1" dr="$A$35:$XFD$49" dn="Z_AEFEB150_9213_45F5_A178_7AC71E46DB11_.wvu.Rows" sId="6"/>
    <undo index="2" exp="area" ref3D="1" dr="$A$35:$XFD$49" dn="Z_9D4F0482_B164_4671_805A_E0D2D4DD4720_.wvu.Rows" sId="6"/>
    <undo index="2" exp="area" ref3D="1" dr="$A$35:$XFD$49" dn="Z_94DA13B6_7351_40F3_8CF7_A4211EC439DA_.wvu.Rows" sId="6"/>
    <undo index="2" exp="area" ref3D="1" dr="$A$35:$XFD$49" dn="Z_8F508F4D_4777_42BE_9707_8CB9355F7BDB_.wvu.Rows" sId="6"/>
    <undo index="2" exp="area" ref3D="1" dr="$A$35:$XFD$49" dn="Z_567C3053_2D8E_4705_8DC7_18896C5303CA_.wvu.Rows" sId="6"/>
    <undo index="2" exp="area" ref3D="1" dr="$A$35:$XFD$49" dn="Z_455630F5_40FC_47DB_8AD4_712C20B8FB91_.wvu.Rows" sId="6"/>
    <undo index="2" exp="area" ref3D="1" dr="$A$35:$XFD$49" dn="Z_1E5198E1_BA46_4CE0_8628_4F695B0D7A3B_.wvu.Rows" sId="6"/>
    <rfmt sheetId="6" xfDxf="1" sqref="A1:XFD1" start="0" length="0">
      <dxf>
        <font/>
      </dxf>
    </rfmt>
    <rfmt sheetId="6" sqref="A1" start="0" length="0">
      <dxf>
        <border outline="0">
          <left style="medium">
            <color indexed="64"/>
          </left>
        </border>
      </dxf>
    </rfmt>
    <rfmt sheetId="6" sqref="B1" start="0" length="0">
      <dxf>
        <numFmt numFmtId="167" formatCode="#,##0.0"/>
      </dxf>
    </rfmt>
    <rfmt sheetId="6" sqref="C1" start="0" length="0">
      <dxf>
        <numFmt numFmtId="167" formatCode="#,##0.0"/>
      </dxf>
    </rfmt>
    <rfmt sheetId="6" sqref="D1" start="0" length="0">
      <dxf>
        <numFmt numFmtId="167" formatCode="#,##0.0"/>
      </dxf>
    </rfmt>
    <rfmt sheetId="6" s="1" sqref="E1" start="0" length="0">
      <dxf>
        <numFmt numFmtId="13" formatCode="0%"/>
      </dxf>
    </rfmt>
    <rfmt sheetId="6" sqref="F1" start="0" length="0">
      <dxf>
        <numFmt numFmtId="167" formatCode="#,##0.0"/>
      </dxf>
    </rfmt>
    <rfmt sheetId="6" sqref="G1" start="0" length="0">
      <dxf>
        <numFmt numFmtId="167" formatCode="#,##0.0"/>
      </dxf>
    </rfmt>
    <rfmt sheetId="6" s="1" sqref="H1" start="0" length="0">
      <dxf>
        <numFmt numFmtId="13" formatCode="0%"/>
      </dxf>
    </rfmt>
  </rrc>
  <rrc rId="35972" sId="6" ref="A1:XFD1" action="deleteRow">
    <undo index="2" exp="area" ref3D="1" dr="$A$34:$XFD$48" dn="Z_78CA186D_B240_44D5_8A24_D241DE0B0FD9_.wvu.Rows" sId="6"/>
    <undo index="2" exp="area" ref3D="1" dr="$A$34:$XFD$48" dn="Z_F784130D_F647_4ABA_8943_C79CA5B0FDC4_.wvu.Rows" sId="6"/>
    <undo index="2" exp="area" ref3D="1" dr="$A$34:$XFD$48" dn="Z_E44F5FE1_54FC_4AB3_84F9_7D65ACF2DDE7_.wvu.Rows" sId="6"/>
    <undo index="2" exp="area" ref3D="1" dr="$A$34:$XFD$48" dn="Z_AEFEB150_9213_45F5_A178_7AC71E46DB11_.wvu.Rows" sId="6"/>
    <undo index="2" exp="area" ref3D="1" dr="$A$34:$XFD$48" dn="Z_9D4F0482_B164_4671_805A_E0D2D4DD4720_.wvu.Rows" sId="6"/>
    <undo index="2" exp="area" ref3D="1" dr="$A$34:$XFD$48" dn="Z_94DA13B6_7351_40F3_8CF7_A4211EC439DA_.wvu.Rows" sId="6"/>
    <undo index="2" exp="area" ref3D="1" dr="$A$34:$XFD$48" dn="Z_8F508F4D_4777_42BE_9707_8CB9355F7BDB_.wvu.Rows" sId="6"/>
    <undo index="2" exp="area" ref3D="1" dr="$A$34:$XFD$48" dn="Z_567C3053_2D8E_4705_8DC7_18896C5303CA_.wvu.Rows" sId="6"/>
    <undo index="2" exp="area" ref3D="1" dr="$A$34:$XFD$48" dn="Z_455630F5_40FC_47DB_8AD4_712C20B8FB91_.wvu.Rows" sId="6"/>
    <undo index="2" exp="area" ref3D="1" dr="$A$34:$XFD$48" dn="Z_1E5198E1_BA46_4CE0_8628_4F695B0D7A3B_.wvu.Rows" sId="6"/>
    <rfmt sheetId="6" xfDxf="1" sqref="A1:XFD1" start="0" length="0">
      <dxf>
        <font/>
      </dxf>
    </rfmt>
    <rfmt sheetId="6" sqref="A1" start="0" length="0">
      <dxf>
        <border outline="0">
          <left style="medium">
            <color indexed="64"/>
          </left>
        </border>
      </dxf>
    </rfmt>
    <rfmt sheetId="6" sqref="B1" start="0" length="0">
      <dxf>
        <numFmt numFmtId="167" formatCode="#,##0.0"/>
      </dxf>
    </rfmt>
    <rfmt sheetId="6" sqref="C1" start="0" length="0">
      <dxf>
        <numFmt numFmtId="167" formatCode="#,##0.0"/>
      </dxf>
    </rfmt>
    <rfmt sheetId="6" sqref="D1" start="0" length="0">
      <dxf>
        <numFmt numFmtId="167" formatCode="#,##0.0"/>
      </dxf>
    </rfmt>
    <rfmt sheetId="6" s="1" sqref="E1" start="0" length="0">
      <dxf>
        <numFmt numFmtId="13" formatCode="0%"/>
      </dxf>
    </rfmt>
    <rfmt sheetId="6" sqref="F1" start="0" length="0">
      <dxf>
        <numFmt numFmtId="167" formatCode="#,##0.0"/>
      </dxf>
    </rfmt>
    <rfmt sheetId="6" sqref="G1" start="0" length="0">
      <dxf>
        <numFmt numFmtId="167" formatCode="#,##0.0"/>
      </dxf>
    </rfmt>
    <rfmt sheetId="6" s="1" sqref="H1" start="0" length="0">
      <dxf>
        <numFmt numFmtId="13" formatCode="0%"/>
      </dxf>
    </rfmt>
  </rrc>
  <rrc rId="35973" sId="6" ref="A1:XFD1" action="deleteRow">
    <undo index="2" exp="area" ref3D="1" dr="$A$33:$XFD$47" dn="Z_78CA186D_B240_44D5_8A24_D241DE0B0FD9_.wvu.Rows" sId="6"/>
    <undo index="2" exp="area" ref3D="1" dr="$A$33:$XFD$47" dn="Z_F784130D_F647_4ABA_8943_C79CA5B0FDC4_.wvu.Rows" sId="6"/>
    <undo index="2" exp="area" ref3D="1" dr="$A$33:$XFD$47" dn="Z_E44F5FE1_54FC_4AB3_84F9_7D65ACF2DDE7_.wvu.Rows" sId="6"/>
    <undo index="2" exp="area" ref3D="1" dr="$A$33:$XFD$47" dn="Z_AEFEB150_9213_45F5_A178_7AC71E46DB11_.wvu.Rows" sId="6"/>
    <undo index="2" exp="area" ref3D="1" dr="$A$33:$XFD$47" dn="Z_9D4F0482_B164_4671_805A_E0D2D4DD4720_.wvu.Rows" sId="6"/>
    <undo index="2" exp="area" ref3D="1" dr="$A$33:$XFD$47" dn="Z_94DA13B6_7351_40F3_8CF7_A4211EC439DA_.wvu.Rows" sId="6"/>
    <undo index="2" exp="area" ref3D="1" dr="$A$33:$XFD$47" dn="Z_8F508F4D_4777_42BE_9707_8CB9355F7BDB_.wvu.Rows" sId="6"/>
    <undo index="2" exp="area" ref3D="1" dr="$A$33:$XFD$47" dn="Z_567C3053_2D8E_4705_8DC7_18896C5303CA_.wvu.Rows" sId="6"/>
    <undo index="2" exp="area" ref3D="1" dr="$A$33:$XFD$47" dn="Z_455630F5_40FC_47DB_8AD4_712C20B8FB91_.wvu.Rows" sId="6"/>
    <undo index="2" exp="area" ref3D="1" dr="$A$33:$XFD$47" dn="Z_1E5198E1_BA46_4CE0_8628_4F695B0D7A3B_.wvu.Rows" sId="6"/>
    <rfmt sheetId="6" xfDxf="1" sqref="A1:XFD1" start="0" length="0">
      <dxf>
        <font/>
      </dxf>
    </rfmt>
    <rfmt sheetId="6" sqref="A1" start="0" length="0">
      <dxf>
        <border outline="0">
          <left style="medium">
            <color indexed="64"/>
          </left>
        </border>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numFmt numFmtId="164" formatCode="0.0%"/>
        <alignment horizontal="right" vertical="top" readingOrder="0"/>
      </dxf>
    </rfmt>
    <rfmt sheetId="6" sqref="F1" start="0" length="0">
      <dxf>
        <numFmt numFmtId="167" formatCode="#,##0.0"/>
      </dxf>
    </rfmt>
    <rfmt sheetId="6" sqref="G1" start="0" length="0">
      <dxf>
        <numFmt numFmtId="167" formatCode="#,##0.0"/>
      </dxf>
    </rfmt>
    <rfmt sheetId="6" sqref="H1" start="0" length="0">
      <dxf>
        <numFmt numFmtId="164" formatCode="0.0%"/>
        <alignment horizontal="right" vertical="top" readingOrder="0"/>
      </dxf>
    </rfmt>
  </rrc>
  <rrc rId="35974" sId="6" ref="A1:XFD1" action="deleteRow">
    <undo index="2" exp="area" ref3D="1" dr="$A$32:$XFD$46" dn="Z_78CA186D_B240_44D5_8A24_D241DE0B0FD9_.wvu.Rows" sId="6"/>
    <undo index="2" exp="area" ref3D="1" dr="$A$32:$XFD$46" dn="Z_F784130D_F647_4ABA_8943_C79CA5B0FDC4_.wvu.Rows" sId="6"/>
    <undo index="2" exp="area" ref3D="1" dr="$A$32:$XFD$46" dn="Z_E44F5FE1_54FC_4AB3_84F9_7D65ACF2DDE7_.wvu.Rows" sId="6"/>
    <undo index="2" exp="area" ref3D="1" dr="$A$32:$XFD$46" dn="Z_AEFEB150_9213_45F5_A178_7AC71E46DB11_.wvu.Rows" sId="6"/>
    <undo index="2" exp="area" ref3D="1" dr="$A$32:$XFD$46" dn="Z_9D4F0482_B164_4671_805A_E0D2D4DD4720_.wvu.Rows" sId="6"/>
    <undo index="2" exp="area" ref3D="1" dr="$A$32:$XFD$46" dn="Z_94DA13B6_7351_40F3_8CF7_A4211EC439DA_.wvu.Rows" sId="6"/>
    <undo index="2" exp="area" ref3D="1" dr="$A$32:$XFD$46" dn="Z_8F508F4D_4777_42BE_9707_8CB9355F7BDB_.wvu.Rows" sId="6"/>
    <undo index="2" exp="area" ref3D="1" dr="$A$32:$XFD$46" dn="Z_567C3053_2D8E_4705_8DC7_18896C5303CA_.wvu.Rows" sId="6"/>
    <undo index="2" exp="area" ref3D="1" dr="$A$32:$XFD$46" dn="Z_455630F5_40FC_47DB_8AD4_712C20B8FB91_.wvu.Rows" sId="6"/>
    <undo index="2" exp="area" ref3D="1" dr="$A$32:$XFD$46" dn="Z_1E5198E1_BA46_4CE0_8628_4F695B0D7A3B_.wvu.Rows" sId="6"/>
    <rfmt sheetId="6" xfDxf="1" sqref="A1:XFD1" start="0" length="0">
      <dxf>
        <font/>
      </dxf>
    </rfmt>
    <rfmt sheetId="6" sqref="A1" start="0" length="0">
      <dxf>
        <border outline="0">
          <left style="medium">
            <color indexed="64"/>
          </left>
        </border>
      </dxf>
    </rfmt>
    <rfmt sheetId="6" sqref="B1" start="0" length="0">
      <dxf>
        <numFmt numFmtId="167" formatCode="#,##0.0"/>
      </dxf>
    </rfmt>
    <rfmt sheetId="6" sqref="C1" start="0" length="0">
      <dxf>
        <numFmt numFmtId="167" formatCode="#,##0.0"/>
      </dxf>
    </rfmt>
    <rfmt sheetId="6" sqref="D1" start="0" length="0">
      <dxf>
        <numFmt numFmtId="167" formatCode="#,##0.0"/>
      </dxf>
    </rfmt>
    <rfmt sheetId="6" s="1" sqref="E1" start="0" length="0">
      <dxf>
        <numFmt numFmtId="13" formatCode="0%"/>
      </dxf>
    </rfmt>
    <rfmt sheetId="6" sqref="F1" start="0" length="0">
      <dxf>
        <numFmt numFmtId="167" formatCode="#,##0.0"/>
      </dxf>
    </rfmt>
    <rfmt sheetId="6" sqref="G1" start="0" length="0">
      <dxf>
        <numFmt numFmtId="167" formatCode="#,##0.0"/>
      </dxf>
    </rfmt>
    <rfmt sheetId="6" s="1" sqref="H1" start="0" length="0">
      <dxf>
        <numFmt numFmtId="13" formatCode="0%"/>
      </dxf>
    </rfmt>
  </rrc>
  <rrc rId="35975" sId="6" ref="A1:XFD1" action="deleteRow">
    <undo index="2" exp="area" ref3D="1" dr="$A$31:$XFD$45" dn="Z_78CA186D_B240_44D5_8A24_D241DE0B0FD9_.wvu.Rows" sId="6"/>
    <undo index="2" exp="area" ref3D="1" dr="$A$31:$XFD$45" dn="Z_F784130D_F647_4ABA_8943_C79CA5B0FDC4_.wvu.Rows" sId="6"/>
    <undo index="2" exp="area" ref3D="1" dr="$A$31:$XFD$45" dn="Z_E44F5FE1_54FC_4AB3_84F9_7D65ACF2DDE7_.wvu.Rows" sId="6"/>
    <undo index="2" exp="area" ref3D="1" dr="$A$31:$XFD$45" dn="Z_AEFEB150_9213_45F5_A178_7AC71E46DB11_.wvu.Rows" sId="6"/>
    <undo index="2" exp="area" ref3D="1" dr="$A$31:$XFD$45" dn="Z_9D4F0482_B164_4671_805A_E0D2D4DD4720_.wvu.Rows" sId="6"/>
    <undo index="2" exp="area" ref3D="1" dr="$A$31:$XFD$45" dn="Z_94DA13B6_7351_40F3_8CF7_A4211EC439DA_.wvu.Rows" sId="6"/>
    <undo index="2" exp="area" ref3D="1" dr="$A$31:$XFD$45" dn="Z_8F508F4D_4777_42BE_9707_8CB9355F7BDB_.wvu.Rows" sId="6"/>
    <undo index="2" exp="area" ref3D="1" dr="$A$31:$XFD$45" dn="Z_567C3053_2D8E_4705_8DC7_18896C5303CA_.wvu.Rows" sId="6"/>
    <undo index="2" exp="area" ref3D="1" dr="$A$31:$XFD$45" dn="Z_455630F5_40FC_47DB_8AD4_712C20B8FB91_.wvu.Rows" sId="6"/>
    <undo index="2" exp="area" ref3D="1" dr="$A$31:$XFD$45" dn="Z_1E5198E1_BA46_4CE0_8628_4F695B0D7A3B_.wvu.Rows" sId="6"/>
    <rfmt sheetId="6" xfDxf="1" sqref="A1:XFD1" start="0" length="0">
      <dxf>
        <font/>
      </dxf>
    </rfmt>
    <rfmt sheetId="6" sqref="A1" start="0" length="0">
      <dxf>
        <border outline="0">
          <left style="medium">
            <color indexed="64"/>
          </left>
        </border>
      </dxf>
    </rfmt>
    <rfmt sheetId="6" sqref="B1" start="0" length="0">
      <dxf>
        <numFmt numFmtId="167" formatCode="#,##0.0"/>
      </dxf>
    </rfmt>
    <rfmt sheetId="6" sqref="C1" start="0" length="0">
      <dxf>
        <numFmt numFmtId="167" formatCode="#,##0.0"/>
      </dxf>
    </rfmt>
    <rfmt sheetId="6" sqref="D1" start="0" length="0">
      <dxf>
        <numFmt numFmtId="167" formatCode="#,##0.0"/>
      </dxf>
    </rfmt>
    <rfmt sheetId="6" s="1" sqref="E1" start="0" length="0">
      <dxf>
        <numFmt numFmtId="13" formatCode="0%"/>
      </dxf>
    </rfmt>
    <rfmt sheetId="6" sqref="F1" start="0" length="0">
      <dxf>
        <numFmt numFmtId="167" formatCode="#,##0.0"/>
      </dxf>
    </rfmt>
    <rfmt sheetId="6" sqref="G1" start="0" length="0">
      <dxf>
        <numFmt numFmtId="167" formatCode="#,##0.0"/>
      </dxf>
    </rfmt>
    <rfmt sheetId="6" s="1" sqref="H1" start="0" length="0">
      <dxf>
        <numFmt numFmtId="13" formatCode="0%"/>
      </dxf>
    </rfmt>
  </rrc>
  <rrc rId="35976" sId="6" ref="A1:XFD1" action="deleteRow">
    <undo index="2" exp="area" ref3D="1" dr="$A$30:$XFD$44" dn="Z_78CA186D_B240_44D5_8A24_D241DE0B0FD9_.wvu.Rows" sId="6"/>
    <undo index="2" exp="area" ref3D="1" dr="$A$30:$XFD$44" dn="Z_F784130D_F647_4ABA_8943_C79CA5B0FDC4_.wvu.Rows" sId="6"/>
    <undo index="2" exp="area" ref3D="1" dr="$A$30:$XFD$44" dn="Z_E44F5FE1_54FC_4AB3_84F9_7D65ACF2DDE7_.wvu.Rows" sId="6"/>
    <undo index="2" exp="area" ref3D="1" dr="$A$30:$XFD$44" dn="Z_AEFEB150_9213_45F5_A178_7AC71E46DB11_.wvu.Rows" sId="6"/>
    <undo index="2" exp="area" ref3D="1" dr="$A$30:$XFD$44" dn="Z_9D4F0482_B164_4671_805A_E0D2D4DD4720_.wvu.Rows" sId="6"/>
    <undo index="2" exp="area" ref3D="1" dr="$A$30:$XFD$44" dn="Z_94DA13B6_7351_40F3_8CF7_A4211EC439DA_.wvu.Rows" sId="6"/>
    <undo index="2" exp="area" ref3D="1" dr="$A$30:$XFD$44" dn="Z_8F508F4D_4777_42BE_9707_8CB9355F7BDB_.wvu.Rows" sId="6"/>
    <undo index="2" exp="area" ref3D="1" dr="$A$30:$XFD$44" dn="Z_567C3053_2D8E_4705_8DC7_18896C5303CA_.wvu.Rows" sId="6"/>
    <undo index="2" exp="area" ref3D="1" dr="$A$30:$XFD$44" dn="Z_455630F5_40FC_47DB_8AD4_712C20B8FB91_.wvu.Rows" sId="6"/>
    <undo index="2" exp="area" ref3D="1" dr="$A$30:$XFD$44" dn="Z_1E5198E1_BA46_4CE0_8628_4F695B0D7A3B_.wvu.Rows" sId="6"/>
    <rfmt sheetId="6" xfDxf="1" sqref="A1:XFD1" start="0" length="0">
      <dxf>
        <font/>
      </dxf>
    </rfmt>
    <rfmt sheetId="6" sqref="A1" start="0" length="0">
      <dxf/>
    </rfmt>
    <rfmt sheetId="6" sqref="B1" start="0" length="0">
      <dxf>
        <numFmt numFmtId="167" formatCode="#,##0.0"/>
      </dxf>
    </rfmt>
    <rfmt sheetId="6" sqref="C1" start="0" length="0">
      <dxf>
        <numFmt numFmtId="167" formatCode="#,##0.0"/>
      </dxf>
    </rfmt>
    <rfmt sheetId="6" sqref="D1" start="0" length="0">
      <dxf>
        <numFmt numFmtId="167" formatCode="#,##0.0"/>
      </dxf>
    </rfmt>
    <rfmt sheetId="6" s="1" sqref="E1" start="0" length="0">
      <dxf>
        <numFmt numFmtId="13" formatCode="0%"/>
      </dxf>
    </rfmt>
    <rfmt sheetId="6" sqref="F1" start="0" length="0">
      <dxf>
        <numFmt numFmtId="167" formatCode="#,##0.0"/>
      </dxf>
    </rfmt>
    <rfmt sheetId="6" sqref="G1" start="0" length="0">
      <dxf>
        <numFmt numFmtId="167" formatCode="#,##0.0"/>
      </dxf>
    </rfmt>
    <rfmt sheetId="6" s="1" sqref="H1" start="0" length="0">
      <dxf>
        <numFmt numFmtId="13" formatCode="0%"/>
      </dxf>
    </rfmt>
  </rrc>
  <rrc rId="35977" sId="6" ref="A1:XFD1" action="deleteRow">
    <undo index="2" exp="area" ref3D="1" dr="$A$29:$XFD$43" dn="Z_78CA186D_B240_44D5_8A24_D241DE0B0FD9_.wvu.Rows" sId="6"/>
    <undo index="2" exp="area" ref3D="1" dr="$A$29:$XFD$43" dn="Z_F784130D_F647_4ABA_8943_C79CA5B0FDC4_.wvu.Rows" sId="6"/>
    <undo index="2" exp="area" ref3D="1" dr="$A$29:$XFD$43" dn="Z_E44F5FE1_54FC_4AB3_84F9_7D65ACF2DDE7_.wvu.Rows" sId="6"/>
    <undo index="2" exp="area" ref3D="1" dr="$A$29:$XFD$43" dn="Z_AEFEB150_9213_45F5_A178_7AC71E46DB11_.wvu.Rows" sId="6"/>
    <undo index="2" exp="area" ref3D="1" dr="$A$29:$XFD$43" dn="Z_9D4F0482_B164_4671_805A_E0D2D4DD4720_.wvu.Rows" sId="6"/>
    <undo index="2" exp="area" ref3D="1" dr="$A$29:$XFD$43" dn="Z_94DA13B6_7351_40F3_8CF7_A4211EC439DA_.wvu.Rows" sId="6"/>
    <undo index="2" exp="area" ref3D="1" dr="$A$29:$XFD$43" dn="Z_8F508F4D_4777_42BE_9707_8CB9355F7BDB_.wvu.Rows" sId="6"/>
    <undo index="2" exp="area" ref3D="1" dr="$A$29:$XFD$43" dn="Z_567C3053_2D8E_4705_8DC7_18896C5303CA_.wvu.Rows" sId="6"/>
    <undo index="2" exp="area" ref3D="1" dr="$A$29:$XFD$43" dn="Z_455630F5_40FC_47DB_8AD4_712C20B8FB91_.wvu.Rows" sId="6"/>
    <undo index="2" exp="area" ref3D="1" dr="$A$29:$XFD$43" dn="Z_1E5198E1_BA46_4CE0_8628_4F695B0D7A3B_.wvu.Rows" sId="6"/>
    <rfmt sheetId="6" xfDxf="1" sqref="A1:XFD1" start="0" length="0">
      <dxf>
        <font/>
      </dxf>
    </rfmt>
    <rfmt sheetId="6" sqref="A1" start="0" length="0">
      <dxf/>
    </rfmt>
    <rfmt sheetId="6" sqref="B1" start="0" length="0">
      <dxf>
        <numFmt numFmtId="167" formatCode="#,##0.0"/>
      </dxf>
    </rfmt>
    <rfmt sheetId="6" sqref="C1" start="0" length="0">
      <dxf>
        <numFmt numFmtId="167" formatCode="#,##0.0"/>
      </dxf>
    </rfmt>
    <rfmt sheetId="6" sqref="D1" start="0" length="0">
      <dxf>
        <numFmt numFmtId="167" formatCode="#,##0.0"/>
      </dxf>
    </rfmt>
    <rfmt sheetId="6" s="1" sqref="E1" start="0" length="0">
      <dxf>
        <numFmt numFmtId="13" formatCode="0%"/>
      </dxf>
    </rfmt>
    <rfmt sheetId="6" sqref="F1" start="0" length="0">
      <dxf>
        <numFmt numFmtId="167" formatCode="#,##0.0"/>
      </dxf>
    </rfmt>
    <rfmt sheetId="6" sqref="G1" start="0" length="0">
      <dxf>
        <numFmt numFmtId="167" formatCode="#,##0.0"/>
      </dxf>
    </rfmt>
    <rfmt sheetId="6" s="1" sqref="H1" start="0" length="0">
      <dxf>
        <numFmt numFmtId="13" formatCode="0%"/>
      </dxf>
    </rfmt>
  </rrc>
  <rrc rId="35978" sId="6" ref="A1:XFD1" action="deleteRow">
    <undo index="2" exp="area" ref3D="1" dr="$A$28:$XFD$42" dn="Z_78CA186D_B240_44D5_8A24_D241DE0B0FD9_.wvu.Rows" sId="6"/>
    <undo index="2" exp="area" ref3D="1" dr="$A$28:$XFD$42" dn="Z_F784130D_F647_4ABA_8943_C79CA5B0FDC4_.wvu.Rows" sId="6"/>
    <undo index="2" exp="area" ref3D="1" dr="$A$28:$XFD$42" dn="Z_E44F5FE1_54FC_4AB3_84F9_7D65ACF2DDE7_.wvu.Rows" sId="6"/>
    <undo index="2" exp="area" ref3D="1" dr="$A$28:$XFD$42" dn="Z_AEFEB150_9213_45F5_A178_7AC71E46DB11_.wvu.Rows" sId="6"/>
    <undo index="2" exp="area" ref3D="1" dr="$A$28:$XFD$42" dn="Z_9D4F0482_B164_4671_805A_E0D2D4DD4720_.wvu.Rows" sId="6"/>
    <undo index="2" exp="area" ref3D="1" dr="$A$28:$XFD$42" dn="Z_94DA13B6_7351_40F3_8CF7_A4211EC439DA_.wvu.Rows" sId="6"/>
    <undo index="2" exp="area" ref3D="1" dr="$A$28:$XFD$42" dn="Z_8F508F4D_4777_42BE_9707_8CB9355F7BDB_.wvu.Rows" sId="6"/>
    <undo index="2" exp="area" ref3D="1" dr="$A$28:$XFD$42" dn="Z_567C3053_2D8E_4705_8DC7_18896C5303CA_.wvu.Rows" sId="6"/>
    <undo index="2" exp="area" ref3D="1" dr="$A$28:$XFD$42" dn="Z_455630F5_40FC_47DB_8AD4_712C20B8FB91_.wvu.Rows" sId="6"/>
    <undo index="2" exp="area" ref3D="1" dr="$A$28:$XFD$42" dn="Z_1E5198E1_BA46_4CE0_8628_4F695B0D7A3B_.wvu.Rows" sId="6"/>
    <rfmt sheetId="6" xfDxf="1" sqref="A1:XFD1" start="0" length="0">
      <dxf>
        <font/>
        <border outline="0">
          <bottom style="medium">
            <color indexed="64"/>
          </bottom>
        </border>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numFmt numFmtId="164" formatCode="0.0%"/>
        <alignment horizontal="right" vertical="top" readingOrder="0"/>
      </dxf>
    </rfmt>
    <rfmt sheetId="6" sqref="F1" start="0" length="0">
      <dxf>
        <numFmt numFmtId="167" formatCode="#,##0.0"/>
      </dxf>
    </rfmt>
    <rfmt sheetId="6" sqref="G1" start="0" length="0">
      <dxf>
        <numFmt numFmtId="167" formatCode="#,##0.0"/>
      </dxf>
    </rfmt>
    <rfmt sheetId="6" s="1" sqref="H1" start="0" length="0">
      <dxf>
        <numFmt numFmtId="13" formatCode="0%"/>
      </dxf>
    </rfmt>
  </rrc>
  <rrc rId="35979" sId="6" ref="A1:XFD1" action="deleteRow">
    <undo index="2" exp="area" ref3D="1" dr="$A$27:$XFD$41" dn="Z_78CA186D_B240_44D5_8A24_D241DE0B0FD9_.wvu.Rows" sId="6"/>
    <undo index="2" exp="area" ref3D="1" dr="$A$27:$XFD$41" dn="Z_F784130D_F647_4ABA_8943_C79CA5B0FDC4_.wvu.Rows" sId="6"/>
    <undo index="2" exp="area" ref3D="1" dr="$A$27:$XFD$41" dn="Z_E44F5FE1_54FC_4AB3_84F9_7D65ACF2DDE7_.wvu.Rows" sId="6"/>
    <undo index="2" exp="area" ref3D="1" dr="$A$27:$XFD$41" dn="Z_AEFEB150_9213_45F5_A178_7AC71E46DB11_.wvu.Rows" sId="6"/>
    <undo index="2" exp="area" ref3D="1" dr="$A$27:$XFD$41" dn="Z_9D4F0482_B164_4671_805A_E0D2D4DD4720_.wvu.Rows" sId="6"/>
    <undo index="2" exp="area" ref3D="1" dr="$A$27:$XFD$41" dn="Z_94DA13B6_7351_40F3_8CF7_A4211EC439DA_.wvu.Rows" sId="6"/>
    <undo index="2" exp="area" ref3D="1" dr="$A$27:$XFD$41" dn="Z_8F508F4D_4777_42BE_9707_8CB9355F7BDB_.wvu.Rows" sId="6"/>
    <undo index="2" exp="area" ref3D="1" dr="$A$27:$XFD$41" dn="Z_567C3053_2D8E_4705_8DC7_18896C5303CA_.wvu.Rows" sId="6"/>
    <undo index="2" exp="area" ref3D="1" dr="$A$27:$XFD$41" dn="Z_455630F5_40FC_47DB_8AD4_712C20B8FB91_.wvu.Rows" sId="6"/>
    <undo index="2" exp="area" ref3D="1" dr="$A$27:$XFD$41" dn="Z_1E5198E1_BA46_4CE0_8628_4F695B0D7A3B_.wvu.Rows" sId="6"/>
    <rfmt sheetId="6" xfDxf="1" sqref="A1:XFD1" start="0" length="0">
      <dxf>
        <font>
          <b/>
        </font>
      </dxf>
    </rfmt>
    <rfmt sheetId="6" sqref="A1" start="0" length="0">
      <dxf/>
    </rfmt>
    <rfmt sheetId="6" sqref="B1" start="0" length="0">
      <dxf>
        <numFmt numFmtId="167" formatCode="#,##0.0"/>
      </dxf>
    </rfmt>
    <rfmt sheetId="6" sqref="C1" start="0" length="0">
      <dxf>
        <numFmt numFmtId="167" formatCode="#,##0.0"/>
      </dxf>
    </rfmt>
    <rfmt sheetId="6" sqref="D1" start="0" length="0">
      <dxf>
        <numFmt numFmtId="167" formatCode="#,##0.0"/>
      </dxf>
    </rfmt>
    <rfmt sheetId="6" s="1" sqref="E1" start="0" length="0">
      <dxf>
        <font>
          <b val="0"/>
          <sz val="10"/>
          <color auto="1"/>
          <name val="Arial"/>
          <scheme val="none"/>
        </font>
        <numFmt numFmtId="13" formatCode="0%"/>
      </dxf>
    </rfmt>
    <rfmt sheetId="6" sqref="F1" start="0" length="0">
      <dxf>
        <numFmt numFmtId="167" formatCode="#,##0.0"/>
      </dxf>
    </rfmt>
    <rfmt sheetId="6" sqref="G1" start="0" length="0">
      <dxf>
        <numFmt numFmtId="167" formatCode="#,##0.0"/>
      </dxf>
    </rfmt>
    <rfmt sheetId="6" s="1" sqref="H1" start="0" length="0">
      <dxf>
        <numFmt numFmtId="13" formatCode="0%"/>
      </dxf>
    </rfmt>
  </rrc>
  <rrc rId="35980" sId="6" ref="A1:XFD1" action="deleteRow">
    <undo index="2" exp="area" ref3D="1" dr="$A$26:$XFD$40" dn="Z_78CA186D_B240_44D5_8A24_D241DE0B0FD9_.wvu.Rows" sId="6"/>
    <undo index="2" exp="area" ref3D="1" dr="$A$26:$XFD$40" dn="Z_F784130D_F647_4ABA_8943_C79CA5B0FDC4_.wvu.Rows" sId="6"/>
    <undo index="2" exp="area" ref3D="1" dr="$A$26:$XFD$40" dn="Z_E44F5FE1_54FC_4AB3_84F9_7D65ACF2DDE7_.wvu.Rows" sId="6"/>
    <undo index="2" exp="area" ref3D="1" dr="$A$26:$XFD$40" dn="Z_AEFEB150_9213_45F5_A178_7AC71E46DB11_.wvu.Rows" sId="6"/>
    <undo index="2" exp="area" ref3D="1" dr="$A$26:$XFD$40" dn="Z_9D4F0482_B164_4671_805A_E0D2D4DD4720_.wvu.Rows" sId="6"/>
    <undo index="2" exp="area" ref3D="1" dr="$A$26:$XFD$40" dn="Z_94DA13B6_7351_40F3_8CF7_A4211EC439DA_.wvu.Rows" sId="6"/>
    <undo index="2" exp="area" ref3D="1" dr="$A$26:$XFD$40" dn="Z_8F508F4D_4777_42BE_9707_8CB9355F7BDB_.wvu.Rows" sId="6"/>
    <undo index="2" exp="area" ref3D="1" dr="$A$26:$XFD$40" dn="Z_567C3053_2D8E_4705_8DC7_18896C5303CA_.wvu.Rows" sId="6"/>
    <undo index="2" exp="area" ref3D="1" dr="$A$26:$XFD$40" dn="Z_455630F5_40FC_47DB_8AD4_712C20B8FB91_.wvu.Rows" sId="6"/>
    <undo index="2" exp="area" ref3D="1" dr="$A$26:$XFD$40" dn="Z_1E5198E1_BA46_4CE0_8628_4F695B0D7A3B_.wvu.Rows" sId="6"/>
    <rfmt sheetId="6" xfDxf="1" sqref="A1:XFD1" start="0" length="0">
      <dxf>
        <font>
          <b/>
        </font>
      </dxf>
    </rfmt>
    <rfmt sheetId="6" sqref="A1" start="0" length="0">
      <dxf/>
    </rfmt>
    <rfmt sheetId="6" sqref="B1" start="0" length="0">
      <dxf>
        <numFmt numFmtId="167" formatCode="#,##0.0"/>
      </dxf>
    </rfmt>
    <rfmt sheetId="6" sqref="C1" start="0" length="0">
      <dxf>
        <numFmt numFmtId="167" formatCode="#,##0.0"/>
      </dxf>
    </rfmt>
    <rfmt sheetId="6" sqref="D1" start="0" length="0">
      <dxf>
        <numFmt numFmtId="167" formatCode="#,##0.0"/>
      </dxf>
    </rfmt>
    <rfmt sheetId="6" s="1" sqref="E1" start="0" length="0">
      <dxf>
        <numFmt numFmtId="13" formatCode="0%"/>
      </dxf>
    </rfmt>
    <rfmt sheetId="6" sqref="F1" start="0" length="0">
      <dxf>
        <numFmt numFmtId="167" formatCode="#,##0.0"/>
      </dxf>
    </rfmt>
    <rfmt sheetId="6" s="1" sqref="H1" start="0" length="0">
      <dxf>
        <numFmt numFmtId="13" formatCode="0%"/>
      </dxf>
    </rfmt>
  </rrc>
  <rrc rId="35981" sId="6" ref="A1:XFD1" action="deleteRow">
    <undo index="2" exp="area" ref3D="1" dr="$A$25:$XFD$39" dn="Z_78CA186D_B240_44D5_8A24_D241DE0B0FD9_.wvu.Rows" sId="6"/>
    <undo index="2" exp="area" ref3D="1" dr="$A$25:$XFD$39" dn="Z_F784130D_F647_4ABA_8943_C79CA5B0FDC4_.wvu.Rows" sId="6"/>
    <undo index="2" exp="area" ref3D="1" dr="$A$25:$XFD$39" dn="Z_E44F5FE1_54FC_4AB3_84F9_7D65ACF2DDE7_.wvu.Rows" sId="6"/>
    <undo index="2" exp="area" ref3D="1" dr="$A$25:$XFD$39" dn="Z_AEFEB150_9213_45F5_A178_7AC71E46DB11_.wvu.Rows" sId="6"/>
    <undo index="2" exp="area" ref3D="1" dr="$A$25:$XFD$39" dn="Z_9D4F0482_B164_4671_805A_E0D2D4DD4720_.wvu.Rows" sId="6"/>
    <undo index="2" exp="area" ref3D="1" dr="$A$25:$XFD$39" dn="Z_94DA13B6_7351_40F3_8CF7_A4211EC439DA_.wvu.Rows" sId="6"/>
    <undo index="2" exp="area" ref3D="1" dr="$A$25:$XFD$39" dn="Z_8F508F4D_4777_42BE_9707_8CB9355F7BDB_.wvu.Rows" sId="6"/>
    <undo index="2" exp="area" ref3D="1" dr="$A$25:$XFD$39" dn="Z_567C3053_2D8E_4705_8DC7_18896C5303CA_.wvu.Rows" sId="6"/>
    <undo index="2" exp="area" ref3D="1" dr="$A$25:$XFD$39" dn="Z_455630F5_40FC_47DB_8AD4_712C20B8FB91_.wvu.Rows" sId="6"/>
    <undo index="2" exp="area" ref3D="1" dr="$A$25:$XFD$39" dn="Z_1E5198E1_BA46_4CE0_8628_4F695B0D7A3B_.wvu.Rows" sId="6"/>
    <rfmt sheetId="6" xfDxf="1" sqref="A1:XFD1" start="0" length="0">
      <dxf>
        <font>
          <b/>
        </font>
      </dxf>
    </rfmt>
    <rfmt sheetId="6" sqref="A1" start="0" length="0">
      <dxf>
        <font>
          <b val="0"/>
          <i/>
        </font>
      </dxf>
    </rfmt>
    <rfmt sheetId="6" sqref="B1" start="0" length="0">
      <dxf>
        <numFmt numFmtId="167" formatCode="#,##0.0"/>
      </dxf>
    </rfmt>
    <rfmt sheetId="6" sqref="C1" start="0" length="0">
      <dxf>
        <numFmt numFmtId="167" formatCode="#,##0.0"/>
      </dxf>
    </rfmt>
    <rfmt sheetId="6" sqref="D1" start="0" length="0">
      <dxf>
        <numFmt numFmtId="167" formatCode="#,##0.0"/>
      </dxf>
    </rfmt>
    <rfmt sheetId="6" s="1" sqref="E1" start="0" length="0">
      <dxf>
        <numFmt numFmtId="13" formatCode="0%"/>
      </dxf>
    </rfmt>
    <rfmt sheetId="6" sqref="F1" start="0" length="0">
      <dxf>
        <numFmt numFmtId="167" formatCode="#,##0.0"/>
      </dxf>
    </rfmt>
    <rfmt sheetId="6" s="1" sqref="H1" start="0" length="0">
      <dxf>
        <numFmt numFmtId="13" formatCode="0%"/>
      </dxf>
    </rfmt>
  </rrc>
  <rrc rId="35982" sId="6" ref="A1:XFD1" action="deleteRow">
    <undo index="2" exp="area" ref3D="1" dr="$A$24:$XFD$38" dn="Z_78CA186D_B240_44D5_8A24_D241DE0B0FD9_.wvu.Rows" sId="6"/>
    <undo index="2" exp="area" ref3D="1" dr="$A$24:$XFD$38" dn="Z_F784130D_F647_4ABA_8943_C79CA5B0FDC4_.wvu.Rows" sId="6"/>
    <undo index="2" exp="area" ref3D="1" dr="$A$24:$XFD$38" dn="Z_E44F5FE1_54FC_4AB3_84F9_7D65ACF2DDE7_.wvu.Rows" sId="6"/>
    <undo index="2" exp="area" ref3D="1" dr="$A$24:$XFD$38" dn="Z_AEFEB150_9213_45F5_A178_7AC71E46DB11_.wvu.Rows" sId="6"/>
    <undo index="2" exp="area" ref3D="1" dr="$A$24:$XFD$38" dn="Z_9D4F0482_B164_4671_805A_E0D2D4DD4720_.wvu.Rows" sId="6"/>
    <undo index="2" exp="area" ref3D="1" dr="$A$24:$XFD$38" dn="Z_94DA13B6_7351_40F3_8CF7_A4211EC439DA_.wvu.Rows" sId="6"/>
    <undo index="2" exp="area" ref3D="1" dr="$A$24:$XFD$38" dn="Z_8F508F4D_4777_42BE_9707_8CB9355F7BDB_.wvu.Rows" sId="6"/>
    <undo index="2" exp="area" ref3D="1" dr="$A$24:$XFD$38" dn="Z_567C3053_2D8E_4705_8DC7_18896C5303CA_.wvu.Rows" sId="6"/>
    <undo index="2" exp="area" ref3D="1" dr="$A$24:$XFD$38" dn="Z_455630F5_40FC_47DB_8AD4_712C20B8FB91_.wvu.Rows" sId="6"/>
    <undo index="2" exp="area" ref3D="1" dr="$A$24:$XFD$38" dn="Z_1E5198E1_BA46_4CE0_8628_4F695B0D7A3B_.wvu.Rows" sId="6"/>
    <rfmt sheetId="6" xfDxf="1" sqref="A1:XFD1" start="0" length="0">
      <dxf>
        <font>
          <b/>
        </font>
      </dxf>
    </rfmt>
    <rfmt sheetId="6" sqref="A1" start="0" length="0">
      <dxf>
        <font>
          <b val="0"/>
          <i/>
        </font>
      </dxf>
    </rfmt>
    <rfmt sheetId="6" sqref="B1" start="0" length="0">
      <dxf>
        <numFmt numFmtId="167" formatCode="#,##0.0"/>
      </dxf>
    </rfmt>
    <rfmt sheetId="6" sqref="C1" start="0" length="0">
      <dxf>
        <numFmt numFmtId="167" formatCode="#,##0.0"/>
      </dxf>
    </rfmt>
    <rfmt sheetId="6" sqref="D1" start="0" length="0">
      <dxf>
        <numFmt numFmtId="167" formatCode="#,##0.0"/>
      </dxf>
    </rfmt>
    <rfmt sheetId="6" s="1" sqref="E1" start="0" length="0">
      <dxf>
        <numFmt numFmtId="13" formatCode="0%"/>
      </dxf>
    </rfmt>
    <rfmt sheetId="6" sqref="F1" start="0" length="0">
      <dxf>
        <numFmt numFmtId="167" formatCode="#,##0.0"/>
      </dxf>
    </rfmt>
    <rfmt sheetId="6" s="1" sqref="H1" start="0" length="0">
      <dxf>
        <numFmt numFmtId="13" formatCode="0%"/>
      </dxf>
    </rfmt>
  </rrc>
  <rrc rId="35983" sId="6" ref="A1:XFD1" action="deleteRow">
    <undo index="2" exp="area" ref3D="1" dr="$A$23:$XFD$37" dn="Z_78CA186D_B240_44D5_8A24_D241DE0B0FD9_.wvu.Rows" sId="6"/>
    <undo index="2" exp="area" ref3D="1" dr="$A$23:$XFD$37" dn="Z_F784130D_F647_4ABA_8943_C79CA5B0FDC4_.wvu.Rows" sId="6"/>
    <undo index="2" exp="area" ref3D="1" dr="$A$23:$XFD$37" dn="Z_E44F5FE1_54FC_4AB3_84F9_7D65ACF2DDE7_.wvu.Rows" sId="6"/>
    <undo index="2" exp="area" ref3D="1" dr="$A$23:$XFD$37" dn="Z_AEFEB150_9213_45F5_A178_7AC71E46DB11_.wvu.Rows" sId="6"/>
    <undo index="2" exp="area" ref3D="1" dr="$A$23:$XFD$37" dn="Z_9D4F0482_B164_4671_805A_E0D2D4DD4720_.wvu.Rows" sId="6"/>
    <undo index="2" exp="area" ref3D="1" dr="$A$23:$XFD$37" dn="Z_94DA13B6_7351_40F3_8CF7_A4211EC439DA_.wvu.Rows" sId="6"/>
    <undo index="2" exp="area" ref3D="1" dr="$A$23:$XFD$37" dn="Z_8F508F4D_4777_42BE_9707_8CB9355F7BDB_.wvu.Rows" sId="6"/>
    <undo index="2" exp="area" ref3D="1" dr="$A$23:$XFD$37" dn="Z_567C3053_2D8E_4705_8DC7_18896C5303CA_.wvu.Rows" sId="6"/>
    <undo index="2" exp="area" ref3D="1" dr="$A$23:$XFD$37" dn="Z_455630F5_40FC_47DB_8AD4_712C20B8FB91_.wvu.Rows" sId="6"/>
    <undo index="2" exp="area" ref3D="1" dr="$A$23:$XFD$37" dn="Z_1E5198E1_BA46_4CE0_8628_4F695B0D7A3B_.wvu.Rows" sId="6"/>
    <rfmt sheetId="6" xfDxf="1" sqref="A1:XFD1" start="0" length="0">
      <dxf>
        <font>
          <b/>
        </font>
      </dxf>
    </rfmt>
    <rfmt sheetId="6" sqref="B1" start="0" length="0">
      <dxf>
        <numFmt numFmtId="167" formatCode="#,##0.0"/>
      </dxf>
    </rfmt>
    <rfmt sheetId="6" sqref="C1" start="0" length="0">
      <dxf>
        <numFmt numFmtId="167" formatCode="#,##0.0"/>
      </dxf>
    </rfmt>
    <rfmt sheetId="6" sqref="D1" start="0" length="0">
      <dxf>
        <numFmt numFmtId="167" formatCode="#,##0.0"/>
      </dxf>
    </rfmt>
    <rfmt sheetId="6" s="1" sqref="E1" start="0" length="0">
      <dxf>
        <numFmt numFmtId="13" formatCode="0%"/>
      </dxf>
    </rfmt>
    <rfmt sheetId="6" sqref="F1" start="0" length="0">
      <dxf>
        <numFmt numFmtId="167" formatCode="#,##0.0"/>
      </dxf>
    </rfmt>
    <rfmt sheetId="6" s="1" sqref="H1" start="0" length="0">
      <dxf>
        <numFmt numFmtId="13" formatCode="0%"/>
      </dxf>
    </rfmt>
  </rrc>
  <rrc rId="35984" sId="6" ref="A1:XFD1" action="deleteRow">
    <undo index="2" exp="area" ref3D="1" dr="$A$22:$XFD$36" dn="Z_78CA186D_B240_44D5_8A24_D241DE0B0FD9_.wvu.Rows" sId="6"/>
    <undo index="2" exp="area" ref3D="1" dr="$A$22:$XFD$36" dn="Z_F784130D_F647_4ABA_8943_C79CA5B0FDC4_.wvu.Rows" sId="6"/>
    <undo index="2" exp="area" ref3D="1" dr="$A$22:$XFD$36" dn="Z_E44F5FE1_54FC_4AB3_84F9_7D65ACF2DDE7_.wvu.Rows" sId="6"/>
    <undo index="2" exp="area" ref3D="1" dr="$A$22:$XFD$36" dn="Z_AEFEB150_9213_45F5_A178_7AC71E46DB11_.wvu.Rows" sId="6"/>
    <undo index="2" exp="area" ref3D="1" dr="$A$22:$XFD$36" dn="Z_9D4F0482_B164_4671_805A_E0D2D4DD4720_.wvu.Rows" sId="6"/>
    <undo index="2" exp="area" ref3D="1" dr="$A$22:$XFD$36" dn="Z_94DA13B6_7351_40F3_8CF7_A4211EC439DA_.wvu.Rows" sId="6"/>
    <undo index="2" exp="area" ref3D="1" dr="$A$22:$XFD$36" dn="Z_8F508F4D_4777_42BE_9707_8CB9355F7BDB_.wvu.Rows" sId="6"/>
    <undo index="2" exp="area" ref3D="1" dr="$A$22:$XFD$36" dn="Z_567C3053_2D8E_4705_8DC7_18896C5303CA_.wvu.Rows" sId="6"/>
    <undo index="2" exp="area" ref3D="1" dr="$A$22:$XFD$36" dn="Z_455630F5_40FC_47DB_8AD4_712C20B8FB91_.wvu.Rows" sId="6"/>
    <undo index="2" exp="area" ref3D="1" dr="$A$22:$XFD$36" dn="Z_1E5198E1_BA46_4CE0_8628_4F695B0D7A3B_.wvu.Rows" sId="6"/>
    <rfmt sheetId="6" xfDxf="1" sqref="A1:XFD1" start="0" length="0">
      <dxf>
        <font>
          <b/>
        </font>
      </dxf>
    </rfmt>
    <rfmt sheetId="6" sqref="A1" start="0" length="0">
      <dxf>
        <font>
          <b val="0"/>
          <i/>
        </font>
      </dxf>
    </rfmt>
    <rfmt sheetId="6" sqref="B1" start="0" length="0">
      <dxf>
        <numFmt numFmtId="167" formatCode="#,##0.0"/>
      </dxf>
    </rfmt>
    <rfmt sheetId="6" sqref="C1" start="0" length="0">
      <dxf>
        <numFmt numFmtId="167" formatCode="#,##0.0"/>
      </dxf>
    </rfmt>
    <rfmt sheetId="6" sqref="D1" start="0" length="0">
      <dxf>
        <numFmt numFmtId="167" formatCode="#,##0.0"/>
      </dxf>
    </rfmt>
    <rfmt sheetId="6" s="1" sqref="E1" start="0" length="0">
      <dxf>
        <numFmt numFmtId="13" formatCode="0%"/>
      </dxf>
    </rfmt>
    <rfmt sheetId="6" sqref="F1" start="0" length="0">
      <dxf>
        <numFmt numFmtId="167" formatCode="#,##0.0"/>
      </dxf>
    </rfmt>
    <rfmt sheetId="6" s="1" sqref="H1" start="0" length="0">
      <dxf>
        <numFmt numFmtId="13" formatCode="0%"/>
      </dxf>
    </rfmt>
  </rrc>
  <rrc rId="35985" sId="6" ref="A1:XFD1" action="deleteRow">
    <undo index="2" exp="area" ref3D="1" dr="$A$21:$XFD$35" dn="Z_78CA186D_B240_44D5_8A24_D241DE0B0FD9_.wvu.Rows" sId="6"/>
    <undo index="2" exp="area" ref3D="1" dr="$A$21:$XFD$35" dn="Z_F784130D_F647_4ABA_8943_C79CA5B0FDC4_.wvu.Rows" sId="6"/>
    <undo index="2" exp="area" ref3D="1" dr="$A$21:$XFD$35" dn="Z_E44F5FE1_54FC_4AB3_84F9_7D65ACF2DDE7_.wvu.Rows" sId="6"/>
    <undo index="2" exp="area" ref3D="1" dr="$A$21:$XFD$35" dn="Z_AEFEB150_9213_45F5_A178_7AC71E46DB11_.wvu.Rows" sId="6"/>
    <undo index="2" exp="area" ref3D="1" dr="$A$21:$XFD$35" dn="Z_9D4F0482_B164_4671_805A_E0D2D4DD4720_.wvu.Rows" sId="6"/>
    <undo index="2" exp="area" ref3D="1" dr="$A$21:$XFD$35" dn="Z_94DA13B6_7351_40F3_8CF7_A4211EC439DA_.wvu.Rows" sId="6"/>
    <undo index="2" exp="area" ref3D="1" dr="$A$21:$XFD$35" dn="Z_8F508F4D_4777_42BE_9707_8CB9355F7BDB_.wvu.Rows" sId="6"/>
    <undo index="2" exp="area" ref3D="1" dr="$A$21:$XFD$35" dn="Z_567C3053_2D8E_4705_8DC7_18896C5303CA_.wvu.Rows" sId="6"/>
    <undo index="2" exp="area" ref3D="1" dr="$A$21:$XFD$35" dn="Z_455630F5_40FC_47DB_8AD4_712C20B8FB91_.wvu.Rows" sId="6"/>
    <undo index="2" exp="area" ref3D="1" dr="$A$21:$XFD$35" dn="Z_1E5198E1_BA46_4CE0_8628_4F695B0D7A3B_.wvu.Rows" sId="6"/>
    <rfmt sheetId="6" xfDxf="1" sqref="A1:XFD1" start="0" length="0">
      <dxf>
        <font>
          <b/>
        </font>
      </dxf>
    </rfmt>
    <rfmt sheetId="6" sqref="A1" start="0" length="0">
      <dxf>
        <font>
          <b val="0"/>
          <i/>
        </font>
      </dxf>
    </rfmt>
    <rfmt sheetId="6" sqref="B1" start="0" length="0">
      <dxf>
        <numFmt numFmtId="167" formatCode="#,##0.0"/>
      </dxf>
    </rfmt>
    <rfmt sheetId="6" sqref="C1" start="0" length="0">
      <dxf>
        <numFmt numFmtId="167" formatCode="#,##0.0"/>
      </dxf>
    </rfmt>
    <rfmt sheetId="6" sqref="D1" start="0" length="0">
      <dxf>
        <numFmt numFmtId="167" formatCode="#,##0.0"/>
      </dxf>
    </rfmt>
    <rfmt sheetId="6" s="1" sqref="E1" start="0" length="0">
      <dxf>
        <numFmt numFmtId="13" formatCode="0%"/>
      </dxf>
    </rfmt>
    <rfmt sheetId="6" sqref="F1" start="0" length="0">
      <dxf>
        <numFmt numFmtId="167" formatCode="#,##0.0"/>
      </dxf>
    </rfmt>
    <rfmt sheetId="6" s="1" sqref="H1" start="0" length="0">
      <dxf>
        <numFmt numFmtId="13" formatCode="0%"/>
      </dxf>
    </rfmt>
  </rrc>
  <rrc rId="35986" sId="6" ref="A1:XFD1" action="deleteRow">
    <undo index="2" exp="area" ref3D="1" dr="$A$20:$XFD$34" dn="Z_78CA186D_B240_44D5_8A24_D241DE0B0FD9_.wvu.Rows" sId="6"/>
    <undo index="2" exp="area" ref3D="1" dr="$A$20:$XFD$34" dn="Z_F784130D_F647_4ABA_8943_C79CA5B0FDC4_.wvu.Rows" sId="6"/>
    <undo index="2" exp="area" ref3D="1" dr="$A$20:$XFD$34" dn="Z_E44F5FE1_54FC_4AB3_84F9_7D65ACF2DDE7_.wvu.Rows" sId="6"/>
    <undo index="2" exp="area" ref3D="1" dr="$A$20:$XFD$34" dn="Z_AEFEB150_9213_45F5_A178_7AC71E46DB11_.wvu.Rows" sId="6"/>
    <undo index="2" exp="area" ref3D="1" dr="$A$20:$XFD$34" dn="Z_9D4F0482_B164_4671_805A_E0D2D4DD4720_.wvu.Rows" sId="6"/>
    <undo index="2" exp="area" ref3D="1" dr="$A$20:$XFD$34" dn="Z_94DA13B6_7351_40F3_8CF7_A4211EC439DA_.wvu.Rows" sId="6"/>
    <undo index="2" exp="area" ref3D="1" dr="$A$20:$XFD$34" dn="Z_8F508F4D_4777_42BE_9707_8CB9355F7BDB_.wvu.Rows" sId="6"/>
    <undo index="2" exp="area" ref3D="1" dr="$A$20:$XFD$34" dn="Z_567C3053_2D8E_4705_8DC7_18896C5303CA_.wvu.Rows" sId="6"/>
    <undo index="2" exp="area" ref3D="1" dr="$A$20:$XFD$34" dn="Z_455630F5_40FC_47DB_8AD4_712C20B8FB91_.wvu.Rows" sId="6"/>
    <undo index="2" exp="area" ref3D="1" dr="$A$20:$XFD$34" dn="Z_1E5198E1_BA46_4CE0_8628_4F695B0D7A3B_.wvu.Rows" sId="6"/>
    <rfmt sheetId="6" xfDxf="1" sqref="A1:XFD1" start="0" length="0">
      <dxf>
        <font>
          <b/>
        </font>
      </dxf>
    </rfmt>
    <rfmt sheetId="6" sqref="A1" start="0" length="0">
      <dxf>
        <font>
          <b val="0"/>
          <i/>
        </font>
      </dxf>
    </rfmt>
    <rfmt sheetId="6" sqref="B1" start="0" length="0">
      <dxf>
        <numFmt numFmtId="167" formatCode="#,##0.0"/>
      </dxf>
    </rfmt>
    <rfmt sheetId="6" sqref="C1" start="0" length="0">
      <dxf>
        <numFmt numFmtId="167" formatCode="#,##0.0"/>
      </dxf>
    </rfmt>
    <rfmt sheetId="6" sqref="D1" start="0" length="0">
      <dxf>
        <numFmt numFmtId="167" formatCode="#,##0.0"/>
      </dxf>
    </rfmt>
    <rfmt sheetId="6" s="1" sqref="E1" start="0" length="0">
      <dxf>
        <numFmt numFmtId="13" formatCode="0%"/>
      </dxf>
    </rfmt>
    <rfmt sheetId="6" sqref="F1" start="0" length="0">
      <dxf>
        <numFmt numFmtId="167" formatCode="#,##0.0"/>
      </dxf>
    </rfmt>
    <rfmt sheetId="6" s="1" sqref="H1" start="0" length="0">
      <dxf>
        <numFmt numFmtId="13" formatCode="0%"/>
      </dxf>
    </rfmt>
  </rrc>
  <rrc rId="35987" sId="6" ref="A1:XFD1" action="deleteRow">
    <undo index="2" exp="area" ref3D="1" dr="$A$19:$XFD$33" dn="Z_78CA186D_B240_44D5_8A24_D241DE0B0FD9_.wvu.Rows" sId="6"/>
    <undo index="2" exp="area" ref3D="1" dr="$A$19:$XFD$33" dn="Z_F784130D_F647_4ABA_8943_C79CA5B0FDC4_.wvu.Rows" sId="6"/>
    <undo index="2" exp="area" ref3D="1" dr="$A$19:$XFD$33" dn="Z_E44F5FE1_54FC_4AB3_84F9_7D65ACF2DDE7_.wvu.Rows" sId="6"/>
    <undo index="2" exp="area" ref3D="1" dr="$A$19:$XFD$33" dn="Z_AEFEB150_9213_45F5_A178_7AC71E46DB11_.wvu.Rows" sId="6"/>
    <undo index="2" exp="area" ref3D="1" dr="$A$19:$XFD$33" dn="Z_9D4F0482_B164_4671_805A_E0D2D4DD4720_.wvu.Rows" sId="6"/>
    <undo index="2" exp="area" ref3D="1" dr="$A$19:$XFD$33" dn="Z_94DA13B6_7351_40F3_8CF7_A4211EC439DA_.wvu.Rows" sId="6"/>
    <undo index="2" exp="area" ref3D="1" dr="$A$19:$XFD$33" dn="Z_8F508F4D_4777_42BE_9707_8CB9355F7BDB_.wvu.Rows" sId="6"/>
    <undo index="2" exp="area" ref3D="1" dr="$A$19:$XFD$33" dn="Z_567C3053_2D8E_4705_8DC7_18896C5303CA_.wvu.Rows" sId="6"/>
    <undo index="2" exp="area" ref3D="1" dr="$A$19:$XFD$33" dn="Z_455630F5_40FC_47DB_8AD4_712C20B8FB91_.wvu.Rows" sId="6"/>
    <undo index="2" exp="area" ref3D="1" dr="$A$19:$XFD$33" dn="Z_1E5198E1_BA46_4CE0_8628_4F695B0D7A3B_.wvu.Rows" sId="6"/>
    <rfmt sheetId="6" xfDxf="1" sqref="A1:XFD1" start="0" length="0">
      <dxf>
        <font/>
      </dxf>
    </rfmt>
    <rfmt sheetId="6" sqref="A1" start="0" length="0">
      <dxf>
        <font>
          <i/>
        </font>
      </dxf>
    </rfmt>
    <rfmt sheetId="6" sqref="B1" start="0" length="0">
      <dxf>
        <numFmt numFmtId="167" formatCode="#,##0.0"/>
      </dxf>
    </rfmt>
    <rfmt sheetId="6" sqref="C1" start="0" length="0">
      <dxf>
        <numFmt numFmtId="167" formatCode="#,##0.0"/>
      </dxf>
    </rfmt>
    <rfmt sheetId="6" sqref="D1" start="0" length="0">
      <dxf>
        <numFmt numFmtId="167" formatCode="#,##0.0"/>
      </dxf>
    </rfmt>
    <rfmt sheetId="6" s="1" sqref="E1" start="0" length="0">
      <dxf>
        <numFmt numFmtId="13" formatCode="0%"/>
      </dxf>
    </rfmt>
    <rfmt sheetId="6" sqref="F1" start="0" length="0">
      <dxf>
        <numFmt numFmtId="167" formatCode="#,##0.0"/>
      </dxf>
    </rfmt>
    <rfmt sheetId="6" s="1" sqref="H1" start="0" length="0">
      <dxf>
        <numFmt numFmtId="13" formatCode="0%"/>
      </dxf>
    </rfmt>
  </rrc>
  <rrc rId="35988" sId="6" ref="A1:XFD1" action="deleteRow">
    <undo index="2" exp="area" ref3D="1" dr="$A$18:$XFD$32" dn="Z_78CA186D_B240_44D5_8A24_D241DE0B0FD9_.wvu.Rows" sId="6"/>
    <undo index="2" exp="area" ref3D="1" dr="$A$18:$XFD$32" dn="Z_F784130D_F647_4ABA_8943_C79CA5B0FDC4_.wvu.Rows" sId="6"/>
    <undo index="2" exp="area" ref3D="1" dr="$A$18:$XFD$32" dn="Z_E44F5FE1_54FC_4AB3_84F9_7D65ACF2DDE7_.wvu.Rows" sId="6"/>
    <undo index="2" exp="area" ref3D="1" dr="$A$18:$XFD$32" dn="Z_AEFEB150_9213_45F5_A178_7AC71E46DB11_.wvu.Rows" sId="6"/>
    <undo index="2" exp="area" ref3D="1" dr="$A$18:$XFD$32" dn="Z_9D4F0482_B164_4671_805A_E0D2D4DD4720_.wvu.Rows" sId="6"/>
    <undo index="2" exp="area" ref3D="1" dr="$A$18:$XFD$32" dn="Z_94DA13B6_7351_40F3_8CF7_A4211EC439DA_.wvu.Rows" sId="6"/>
    <undo index="2" exp="area" ref3D="1" dr="$A$18:$XFD$32" dn="Z_8F508F4D_4777_42BE_9707_8CB9355F7BDB_.wvu.Rows" sId="6"/>
    <undo index="2" exp="area" ref3D="1" dr="$A$18:$XFD$32" dn="Z_567C3053_2D8E_4705_8DC7_18896C5303CA_.wvu.Rows" sId="6"/>
    <undo index="2" exp="area" ref3D="1" dr="$A$18:$XFD$32" dn="Z_455630F5_40FC_47DB_8AD4_712C20B8FB91_.wvu.Rows" sId="6"/>
    <undo index="2" exp="area" ref3D="1" dr="$A$18:$XFD$32" dn="Z_1E5198E1_BA46_4CE0_8628_4F695B0D7A3B_.wvu.Rows" sId="6"/>
    <rfmt sheetId="6" xfDxf="1" sqref="A1:XFD1" start="0" length="0">
      <dxf>
        <font/>
      </dxf>
    </rfmt>
    <rfmt sheetId="6" sqref="A1" start="0" length="0">
      <dxf>
        <font>
          <i/>
        </font>
      </dxf>
    </rfmt>
    <rfmt sheetId="6" sqref="B1" start="0" length="0">
      <dxf>
        <numFmt numFmtId="167" formatCode="#,##0.0"/>
      </dxf>
    </rfmt>
    <rfmt sheetId="6" sqref="C1" start="0" length="0">
      <dxf>
        <numFmt numFmtId="167" formatCode="#,##0.0"/>
      </dxf>
    </rfmt>
    <rfmt sheetId="6" sqref="D1" start="0" length="0">
      <dxf>
        <numFmt numFmtId="167" formatCode="#,##0.0"/>
      </dxf>
    </rfmt>
    <rfmt sheetId="6" s="1" sqref="E1" start="0" length="0">
      <dxf>
        <numFmt numFmtId="13" formatCode="0%"/>
      </dxf>
    </rfmt>
    <rfmt sheetId="6" sqref="F1" start="0" length="0">
      <dxf>
        <numFmt numFmtId="167" formatCode="#,##0.0"/>
      </dxf>
    </rfmt>
    <rfmt sheetId="6" s="1" sqref="H1" start="0" length="0">
      <dxf>
        <numFmt numFmtId="13" formatCode="0%"/>
      </dxf>
    </rfmt>
  </rrc>
  <rrc rId="35989" sId="6" ref="A1:XFD1" action="deleteRow">
    <undo index="2" exp="area" ref3D="1" dr="$A$17:$XFD$31" dn="Z_78CA186D_B240_44D5_8A24_D241DE0B0FD9_.wvu.Rows" sId="6"/>
    <undo index="2" exp="area" ref3D="1" dr="$A$17:$XFD$31" dn="Z_F784130D_F647_4ABA_8943_C79CA5B0FDC4_.wvu.Rows" sId="6"/>
    <undo index="2" exp="area" ref3D="1" dr="$A$17:$XFD$31" dn="Z_E44F5FE1_54FC_4AB3_84F9_7D65ACF2DDE7_.wvu.Rows" sId="6"/>
    <undo index="2" exp="area" ref3D="1" dr="$A$17:$XFD$31" dn="Z_AEFEB150_9213_45F5_A178_7AC71E46DB11_.wvu.Rows" sId="6"/>
    <undo index="2" exp="area" ref3D="1" dr="$A$17:$XFD$31" dn="Z_9D4F0482_B164_4671_805A_E0D2D4DD4720_.wvu.Rows" sId="6"/>
    <undo index="2" exp="area" ref3D="1" dr="$A$17:$XFD$31" dn="Z_94DA13B6_7351_40F3_8CF7_A4211EC439DA_.wvu.Rows" sId="6"/>
    <undo index="2" exp="area" ref3D="1" dr="$A$17:$XFD$31" dn="Z_8F508F4D_4777_42BE_9707_8CB9355F7BDB_.wvu.Rows" sId="6"/>
    <undo index="2" exp="area" ref3D="1" dr="$A$17:$XFD$31" dn="Z_567C3053_2D8E_4705_8DC7_18896C5303CA_.wvu.Rows" sId="6"/>
    <undo index="2" exp="area" ref3D="1" dr="$A$17:$XFD$31" dn="Z_455630F5_40FC_47DB_8AD4_712C20B8FB91_.wvu.Rows" sId="6"/>
    <undo index="2" exp="area" ref3D="1" dr="$A$17:$XFD$31" dn="Z_1E5198E1_BA46_4CE0_8628_4F695B0D7A3B_.wvu.Rows" sId="6"/>
    <rfmt sheetId="6" xfDxf="1" sqref="A1:XFD1" start="0" length="0">
      <dxf>
        <font/>
        <fill>
          <patternFill patternType="solid">
            <bgColor theme="0" tint="-0.249977111117893"/>
          </patternFill>
        </fill>
      </dxf>
    </rfmt>
    <rfmt sheetId="6" sqref="A1" start="0" length="0">
      <dxf>
        <font>
          <b/>
        </font>
      </dxf>
    </rfmt>
    <rfmt sheetId="6" sqref="B1" start="0" length="0">
      <dxf>
        <numFmt numFmtId="167" formatCode="#,##0.0"/>
      </dxf>
    </rfmt>
    <rfmt sheetId="6" sqref="C1" start="0" length="0">
      <dxf>
        <numFmt numFmtId="167" formatCode="#,##0.0"/>
      </dxf>
    </rfmt>
    <rfmt sheetId="6" sqref="D1" start="0" length="0">
      <dxf>
        <numFmt numFmtId="167" formatCode="#,##0.0"/>
      </dxf>
    </rfmt>
    <rfmt sheetId="6" s="1" sqref="E1" start="0" length="0">
      <dxf>
        <numFmt numFmtId="13" formatCode="0%"/>
      </dxf>
    </rfmt>
    <rfmt sheetId="6" sqref="F1" start="0" length="0">
      <dxf>
        <numFmt numFmtId="167" formatCode="#,##0.0"/>
      </dxf>
    </rfmt>
    <rfmt sheetId="6" s="1" sqref="H1" start="0" length="0">
      <dxf>
        <numFmt numFmtId="13" formatCode="0%"/>
      </dxf>
    </rfmt>
  </rrc>
  <rrc rId="35990" sId="6" ref="A1:XFD1" action="deleteRow">
    <undo index="2" exp="area" ref3D="1" dr="$A$16:$XFD$30" dn="Z_78CA186D_B240_44D5_8A24_D241DE0B0FD9_.wvu.Rows" sId="6"/>
    <undo index="2" exp="area" ref3D="1" dr="$A$16:$XFD$30" dn="Z_F784130D_F647_4ABA_8943_C79CA5B0FDC4_.wvu.Rows" sId="6"/>
    <undo index="2" exp="area" ref3D="1" dr="$A$16:$XFD$30" dn="Z_E44F5FE1_54FC_4AB3_84F9_7D65ACF2DDE7_.wvu.Rows" sId="6"/>
    <undo index="2" exp="area" ref3D="1" dr="$A$16:$XFD$30" dn="Z_AEFEB150_9213_45F5_A178_7AC71E46DB11_.wvu.Rows" sId="6"/>
    <undo index="2" exp="area" ref3D="1" dr="$A$16:$XFD$30" dn="Z_9D4F0482_B164_4671_805A_E0D2D4DD4720_.wvu.Rows" sId="6"/>
    <undo index="2" exp="area" ref3D="1" dr="$A$16:$XFD$30" dn="Z_94DA13B6_7351_40F3_8CF7_A4211EC439DA_.wvu.Rows" sId="6"/>
    <undo index="2" exp="area" ref3D="1" dr="$A$16:$XFD$30" dn="Z_8F508F4D_4777_42BE_9707_8CB9355F7BDB_.wvu.Rows" sId="6"/>
    <undo index="2" exp="area" ref3D="1" dr="$A$16:$XFD$30" dn="Z_567C3053_2D8E_4705_8DC7_18896C5303CA_.wvu.Rows" sId="6"/>
    <undo index="2" exp="area" ref3D="1" dr="$A$16:$XFD$30" dn="Z_455630F5_40FC_47DB_8AD4_712C20B8FB91_.wvu.Rows" sId="6"/>
    <undo index="2" exp="area" ref3D="1" dr="$A$16:$XFD$30" dn="Z_1E5198E1_BA46_4CE0_8628_4F695B0D7A3B_.wvu.Rows" sId="6"/>
    <rfmt sheetId="6" xfDxf="1" sqref="A1:XFD1" start="0" length="0">
      <dxf>
        <font/>
      </dxf>
    </rfmt>
    <rfmt sheetId="6" sqref="A1" start="0" length="0">
      <dxf>
        <border outline="0">
          <left style="medium">
            <color indexed="64"/>
          </left>
        </border>
      </dxf>
    </rfmt>
    <rfmt sheetId="6" sqref="B1" start="0" length="0">
      <dxf>
        <numFmt numFmtId="167" formatCode="#,##0.0"/>
      </dxf>
    </rfmt>
    <rfmt sheetId="6" sqref="C1" start="0" length="0">
      <dxf>
        <numFmt numFmtId="167" formatCode="#,##0.0"/>
      </dxf>
    </rfmt>
    <rfmt sheetId="6" sqref="D1" start="0" length="0">
      <dxf>
        <numFmt numFmtId="167" formatCode="#,##0.0"/>
      </dxf>
    </rfmt>
    <rfmt sheetId="6" s="1" sqref="E1" start="0" length="0">
      <dxf>
        <numFmt numFmtId="13" formatCode="0%"/>
      </dxf>
    </rfmt>
    <rfmt sheetId="6" sqref="F1" start="0" length="0">
      <dxf>
        <numFmt numFmtId="167" formatCode="#,##0.0"/>
      </dxf>
    </rfmt>
    <rfmt sheetId="6" sqref="G1" start="0" length="0">
      <dxf>
        <numFmt numFmtId="167" formatCode="#,##0.0"/>
      </dxf>
    </rfmt>
    <rfmt sheetId="6" s="1" sqref="H1" start="0" length="0">
      <dxf>
        <numFmt numFmtId="13" formatCode="0%"/>
      </dxf>
    </rfmt>
  </rrc>
  <rrc rId="35991" sId="6" ref="A1:XFD1" action="deleteRow">
    <undo index="2" exp="area" ref3D="1" dr="$A$15:$XFD$29" dn="Z_78CA186D_B240_44D5_8A24_D241DE0B0FD9_.wvu.Rows" sId="6"/>
    <undo index="2" exp="area" ref3D="1" dr="$A$15:$XFD$29" dn="Z_F784130D_F647_4ABA_8943_C79CA5B0FDC4_.wvu.Rows" sId="6"/>
    <undo index="2" exp="area" ref3D="1" dr="$A$15:$XFD$29" dn="Z_E44F5FE1_54FC_4AB3_84F9_7D65ACF2DDE7_.wvu.Rows" sId="6"/>
    <undo index="2" exp="area" ref3D="1" dr="$A$15:$XFD$29" dn="Z_AEFEB150_9213_45F5_A178_7AC71E46DB11_.wvu.Rows" sId="6"/>
    <undo index="2" exp="area" ref3D="1" dr="$A$15:$XFD$29" dn="Z_9D4F0482_B164_4671_805A_E0D2D4DD4720_.wvu.Rows" sId="6"/>
    <undo index="2" exp="area" ref3D="1" dr="$A$15:$XFD$29" dn="Z_94DA13B6_7351_40F3_8CF7_A4211EC439DA_.wvu.Rows" sId="6"/>
    <undo index="2" exp="area" ref3D="1" dr="$A$15:$XFD$29" dn="Z_8F508F4D_4777_42BE_9707_8CB9355F7BDB_.wvu.Rows" sId="6"/>
    <undo index="2" exp="area" ref3D="1" dr="$A$15:$XFD$29" dn="Z_567C3053_2D8E_4705_8DC7_18896C5303CA_.wvu.Rows" sId="6"/>
    <undo index="2" exp="area" ref3D="1" dr="$A$15:$XFD$29" dn="Z_455630F5_40FC_47DB_8AD4_712C20B8FB91_.wvu.Rows" sId="6"/>
    <undo index="2" exp="area" ref3D="1" dr="$A$15:$XFD$29" dn="Z_1E5198E1_BA46_4CE0_8628_4F695B0D7A3B_.wvu.Rows" sId="6"/>
    <rfmt sheetId="6" xfDxf="1" sqref="A1:XFD1" start="0" length="0">
      <dxf>
        <font/>
      </dxf>
    </rfmt>
    <rfmt sheetId="6" sqref="A1" start="0" length="0">
      <dxf>
        <border outline="0">
          <left style="medium">
            <color indexed="64"/>
          </left>
        </border>
      </dxf>
    </rfmt>
    <rfmt sheetId="6" sqref="B1" start="0" length="0">
      <dxf>
        <numFmt numFmtId="167" formatCode="#,##0.0"/>
      </dxf>
    </rfmt>
    <rfmt sheetId="6" sqref="C1" start="0" length="0">
      <dxf>
        <numFmt numFmtId="167" formatCode="#,##0.0"/>
      </dxf>
    </rfmt>
    <rfmt sheetId="6" sqref="D1" start="0" length="0">
      <dxf>
        <numFmt numFmtId="167" formatCode="#,##0.0"/>
      </dxf>
    </rfmt>
    <rfmt sheetId="6" s="1" sqref="E1" start="0" length="0">
      <dxf>
        <numFmt numFmtId="13" formatCode="0%"/>
      </dxf>
    </rfmt>
    <rfmt sheetId="6" sqref="F1" start="0" length="0">
      <dxf>
        <numFmt numFmtId="167" formatCode="#,##0.0"/>
      </dxf>
    </rfmt>
    <rfmt sheetId="6" sqref="G1" start="0" length="0">
      <dxf>
        <numFmt numFmtId="167" formatCode="#,##0.0"/>
      </dxf>
    </rfmt>
    <rfmt sheetId="6" s="1" sqref="H1" start="0" length="0">
      <dxf>
        <numFmt numFmtId="13" formatCode="0%"/>
      </dxf>
    </rfmt>
  </rrc>
  <rrc rId="35992" sId="6" ref="A1:XFD1" action="deleteRow">
    <undo index="2" exp="area" ref3D="1" dr="$A$14:$XFD$28" dn="Z_78CA186D_B240_44D5_8A24_D241DE0B0FD9_.wvu.Rows" sId="6"/>
    <undo index="2" exp="area" ref3D="1" dr="$A$14:$XFD$28" dn="Z_F784130D_F647_4ABA_8943_C79CA5B0FDC4_.wvu.Rows" sId="6"/>
    <undo index="2" exp="area" ref3D="1" dr="$A$14:$XFD$28" dn="Z_E44F5FE1_54FC_4AB3_84F9_7D65ACF2DDE7_.wvu.Rows" sId="6"/>
    <undo index="2" exp="area" ref3D="1" dr="$A$14:$XFD$28" dn="Z_AEFEB150_9213_45F5_A178_7AC71E46DB11_.wvu.Rows" sId="6"/>
    <undo index="2" exp="area" ref3D="1" dr="$A$14:$XFD$28" dn="Z_9D4F0482_B164_4671_805A_E0D2D4DD4720_.wvu.Rows" sId="6"/>
    <undo index="2" exp="area" ref3D="1" dr="$A$14:$XFD$28" dn="Z_94DA13B6_7351_40F3_8CF7_A4211EC439DA_.wvu.Rows" sId="6"/>
    <undo index="2" exp="area" ref3D="1" dr="$A$14:$XFD$28" dn="Z_8F508F4D_4777_42BE_9707_8CB9355F7BDB_.wvu.Rows" sId="6"/>
    <undo index="2" exp="area" ref3D="1" dr="$A$14:$XFD$28" dn="Z_567C3053_2D8E_4705_8DC7_18896C5303CA_.wvu.Rows" sId="6"/>
    <undo index="2" exp="area" ref3D="1" dr="$A$14:$XFD$28" dn="Z_455630F5_40FC_47DB_8AD4_712C20B8FB91_.wvu.Rows" sId="6"/>
    <undo index="2" exp="area" ref3D="1" dr="$A$14:$XFD$28" dn="Z_1E5198E1_BA46_4CE0_8628_4F695B0D7A3B_.wvu.Rows" sId="6"/>
    <rfmt sheetId="6" xfDxf="1" sqref="A1:XFD1" start="0" length="0">
      <dxf>
        <font/>
      </dxf>
    </rfmt>
    <rfmt sheetId="6" sqref="A1" start="0" length="0">
      <dxf>
        <border outline="0">
          <left style="medium">
            <color indexed="64"/>
          </left>
        </border>
      </dxf>
    </rfmt>
    <rfmt sheetId="6" sqref="B1" start="0" length="0">
      <dxf>
        <numFmt numFmtId="167" formatCode="#,##0.0"/>
      </dxf>
    </rfmt>
    <rfmt sheetId="6" sqref="C1" start="0" length="0">
      <dxf>
        <numFmt numFmtId="167" formatCode="#,##0.0"/>
      </dxf>
    </rfmt>
    <rfmt sheetId="6" sqref="D1" start="0" length="0">
      <dxf>
        <numFmt numFmtId="167" formatCode="#,##0.0"/>
      </dxf>
    </rfmt>
    <rfmt sheetId="6" s="1" sqref="E1" start="0" length="0">
      <dxf>
        <numFmt numFmtId="13" formatCode="0%"/>
      </dxf>
    </rfmt>
    <rfmt sheetId="6" sqref="F1" start="0" length="0">
      <dxf>
        <numFmt numFmtId="167" formatCode="#,##0.0"/>
      </dxf>
    </rfmt>
    <rfmt sheetId="6" sqref="G1" start="0" length="0">
      <dxf>
        <numFmt numFmtId="167" formatCode="#,##0.0"/>
      </dxf>
    </rfmt>
    <rfmt sheetId="6" s="1" sqref="H1" start="0" length="0">
      <dxf>
        <numFmt numFmtId="13" formatCode="0%"/>
      </dxf>
    </rfmt>
  </rrc>
  <rrc rId="35993" sId="6" ref="A1:XFD1" action="deleteRow">
    <undo index="2" exp="area" ref3D="1" dr="$A$13:$XFD$27" dn="Z_78CA186D_B240_44D5_8A24_D241DE0B0FD9_.wvu.Rows" sId="6"/>
    <undo index="2" exp="area" ref3D="1" dr="$A$13:$XFD$27" dn="Z_F784130D_F647_4ABA_8943_C79CA5B0FDC4_.wvu.Rows" sId="6"/>
    <undo index="2" exp="area" ref3D="1" dr="$A$13:$XFD$27" dn="Z_E44F5FE1_54FC_4AB3_84F9_7D65ACF2DDE7_.wvu.Rows" sId="6"/>
    <undo index="2" exp="area" ref3D="1" dr="$A$13:$XFD$27" dn="Z_AEFEB150_9213_45F5_A178_7AC71E46DB11_.wvu.Rows" sId="6"/>
    <undo index="2" exp="area" ref3D="1" dr="$A$13:$XFD$27" dn="Z_9D4F0482_B164_4671_805A_E0D2D4DD4720_.wvu.Rows" sId="6"/>
    <undo index="2" exp="area" ref3D="1" dr="$A$13:$XFD$27" dn="Z_94DA13B6_7351_40F3_8CF7_A4211EC439DA_.wvu.Rows" sId="6"/>
    <undo index="2" exp="area" ref3D="1" dr="$A$13:$XFD$27" dn="Z_8F508F4D_4777_42BE_9707_8CB9355F7BDB_.wvu.Rows" sId="6"/>
    <undo index="2" exp="area" ref3D="1" dr="$A$13:$XFD$27" dn="Z_567C3053_2D8E_4705_8DC7_18896C5303CA_.wvu.Rows" sId="6"/>
    <undo index="2" exp="area" ref3D="1" dr="$A$13:$XFD$27" dn="Z_455630F5_40FC_47DB_8AD4_712C20B8FB91_.wvu.Rows" sId="6"/>
    <undo index="2" exp="area" ref3D="1" dr="$A$13:$XFD$27" dn="Z_1E5198E1_BA46_4CE0_8628_4F695B0D7A3B_.wvu.Rows" sId="6"/>
    <rfmt sheetId="6" xfDxf="1" sqref="A1:XFD1" start="0" length="0">
      <dxf>
        <font/>
      </dxf>
    </rfmt>
    <rfmt sheetId="6" sqref="A1" start="0" length="0">
      <dxf>
        <border outline="0">
          <left style="medium">
            <color indexed="64"/>
          </left>
        </border>
      </dxf>
    </rfmt>
    <rfmt sheetId="6" sqref="B1" start="0" length="0">
      <dxf>
        <numFmt numFmtId="167" formatCode="#,##0.0"/>
      </dxf>
    </rfmt>
    <rfmt sheetId="6" sqref="C1" start="0" length="0">
      <dxf>
        <numFmt numFmtId="167" formatCode="#,##0.0"/>
      </dxf>
    </rfmt>
    <rfmt sheetId="6" sqref="D1" start="0" length="0">
      <dxf>
        <numFmt numFmtId="167" formatCode="#,##0.0"/>
      </dxf>
    </rfmt>
    <rfmt sheetId="6" s="1" sqref="E1" start="0" length="0">
      <dxf>
        <numFmt numFmtId="13" formatCode="0%"/>
      </dxf>
    </rfmt>
    <rfmt sheetId="6" sqref="F1" start="0" length="0">
      <dxf>
        <numFmt numFmtId="167" formatCode="#,##0.0"/>
      </dxf>
    </rfmt>
    <rfmt sheetId="6" sqref="G1" start="0" length="0">
      <dxf>
        <numFmt numFmtId="167" formatCode="#,##0.0"/>
      </dxf>
    </rfmt>
    <rfmt sheetId="6" s="1" sqref="H1" start="0" length="0">
      <dxf>
        <numFmt numFmtId="13" formatCode="0%"/>
      </dxf>
    </rfmt>
  </rrc>
  <rrc rId="35994" sId="6" ref="A1:XFD1" action="deleteRow">
    <undo index="2" exp="area" ref3D="1" dr="$A$12:$XFD$26" dn="Z_78CA186D_B240_44D5_8A24_D241DE0B0FD9_.wvu.Rows" sId="6"/>
    <undo index="2" exp="area" ref3D="1" dr="$A$12:$XFD$26" dn="Z_F784130D_F647_4ABA_8943_C79CA5B0FDC4_.wvu.Rows" sId="6"/>
    <undo index="2" exp="area" ref3D="1" dr="$A$12:$XFD$26" dn="Z_E44F5FE1_54FC_4AB3_84F9_7D65ACF2DDE7_.wvu.Rows" sId="6"/>
    <undo index="2" exp="area" ref3D="1" dr="$A$12:$XFD$26" dn="Z_AEFEB150_9213_45F5_A178_7AC71E46DB11_.wvu.Rows" sId="6"/>
    <undo index="2" exp="area" ref3D="1" dr="$A$12:$XFD$26" dn="Z_9D4F0482_B164_4671_805A_E0D2D4DD4720_.wvu.Rows" sId="6"/>
    <undo index="2" exp="area" ref3D="1" dr="$A$12:$XFD$26" dn="Z_94DA13B6_7351_40F3_8CF7_A4211EC439DA_.wvu.Rows" sId="6"/>
    <undo index="2" exp="area" ref3D="1" dr="$A$12:$XFD$26" dn="Z_8F508F4D_4777_42BE_9707_8CB9355F7BDB_.wvu.Rows" sId="6"/>
    <undo index="2" exp="area" ref3D="1" dr="$A$12:$XFD$26" dn="Z_567C3053_2D8E_4705_8DC7_18896C5303CA_.wvu.Rows" sId="6"/>
    <undo index="2" exp="area" ref3D="1" dr="$A$12:$XFD$26" dn="Z_455630F5_40FC_47DB_8AD4_712C20B8FB91_.wvu.Rows" sId="6"/>
    <undo index="2" exp="area" ref3D="1" dr="$A$12:$XFD$26" dn="Z_1E5198E1_BA46_4CE0_8628_4F695B0D7A3B_.wvu.Rows" sId="6"/>
    <rfmt sheetId="6" xfDxf="1" sqref="A1:XFD1" start="0" length="0">
      <dxf>
        <font/>
      </dxf>
    </rfmt>
    <rfmt sheetId="6" sqref="A1" start="0" length="0">
      <dxf>
        <border outline="0">
          <left style="medium">
            <color indexed="64"/>
          </left>
        </border>
      </dxf>
    </rfmt>
    <rfmt sheetId="6" sqref="B1" start="0" length="0">
      <dxf>
        <numFmt numFmtId="167" formatCode="#,##0.0"/>
      </dxf>
    </rfmt>
    <rfmt sheetId="6" sqref="C1" start="0" length="0">
      <dxf>
        <numFmt numFmtId="167" formatCode="#,##0.0"/>
      </dxf>
    </rfmt>
    <rfmt sheetId="6" sqref="D1" start="0" length="0">
      <dxf>
        <numFmt numFmtId="167" formatCode="#,##0.0"/>
      </dxf>
    </rfmt>
    <rfmt sheetId="6" s="1" sqref="E1" start="0" length="0">
      <dxf>
        <numFmt numFmtId="13" formatCode="0%"/>
      </dxf>
    </rfmt>
    <rfmt sheetId="6" sqref="F1" start="0" length="0">
      <dxf>
        <numFmt numFmtId="167" formatCode="#,##0.0"/>
      </dxf>
    </rfmt>
    <rfmt sheetId="6" sqref="G1" start="0" length="0">
      <dxf>
        <numFmt numFmtId="167" formatCode="#,##0.0"/>
      </dxf>
    </rfmt>
    <rfmt sheetId="6" s="1" sqref="H1" start="0" length="0">
      <dxf>
        <numFmt numFmtId="13" formatCode="0%"/>
      </dxf>
    </rfmt>
  </rrc>
  <rrc rId="35995" sId="6" ref="A1:XFD1" action="deleteRow">
    <undo index="2" exp="area" ref3D="1" dr="$A$11:$XFD$25" dn="Z_78CA186D_B240_44D5_8A24_D241DE0B0FD9_.wvu.Rows" sId="6"/>
    <undo index="2" exp="area" ref3D="1" dr="$A$11:$XFD$25" dn="Z_F784130D_F647_4ABA_8943_C79CA5B0FDC4_.wvu.Rows" sId="6"/>
    <undo index="2" exp="area" ref3D="1" dr="$A$11:$XFD$25" dn="Z_E44F5FE1_54FC_4AB3_84F9_7D65ACF2DDE7_.wvu.Rows" sId="6"/>
    <undo index="2" exp="area" ref3D="1" dr="$A$11:$XFD$25" dn="Z_AEFEB150_9213_45F5_A178_7AC71E46DB11_.wvu.Rows" sId="6"/>
    <undo index="2" exp="area" ref3D="1" dr="$A$11:$XFD$25" dn="Z_9D4F0482_B164_4671_805A_E0D2D4DD4720_.wvu.Rows" sId="6"/>
    <undo index="2" exp="area" ref3D="1" dr="$A$11:$XFD$25" dn="Z_94DA13B6_7351_40F3_8CF7_A4211EC439DA_.wvu.Rows" sId="6"/>
    <undo index="2" exp="area" ref3D="1" dr="$A$11:$XFD$25" dn="Z_8F508F4D_4777_42BE_9707_8CB9355F7BDB_.wvu.Rows" sId="6"/>
    <undo index="2" exp="area" ref3D="1" dr="$A$11:$XFD$25" dn="Z_567C3053_2D8E_4705_8DC7_18896C5303CA_.wvu.Rows" sId="6"/>
    <undo index="2" exp="area" ref3D="1" dr="$A$11:$XFD$25" dn="Z_455630F5_40FC_47DB_8AD4_712C20B8FB91_.wvu.Rows" sId="6"/>
    <undo index="2" exp="area" ref3D="1" dr="$A$11:$XFD$25" dn="Z_1E5198E1_BA46_4CE0_8628_4F695B0D7A3B_.wvu.Rows" sId="6"/>
    <rfmt sheetId="6" xfDxf="1" sqref="A1:XFD1" start="0" length="0">
      <dxf>
        <font/>
      </dxf>
    </rfmt>
    <rfmt sheetId="6" sqref="A1" start="0" length="0">
      <dxf>
        <border outline="0">
          <left style="medium">
            <color indexed="64"/>
          </left>
        </border>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numFmt numFmtId="164" formatCode="0.0%"/>
        <alignment horizontal="right" vertical="top" readingOrder="0"/>
      </dxf>
    </rfmt>
    <rfmt sheetId="6" sqref="F1" start="0" length="0">
      <dxf>
        <numFmt numFmtId="167" formatCode="#,##0.0"/>
      </dxf>
    </rfmt>
    <rfmt sheetId="6" sqref="G1" start="0" length="0">
      <dxf>
        <numFmt numFmtId="167" formatCode="#,##0.0"/>
      </dxf>
    </rfmt>
    <rfmt sheetId="6" sqref="H1" start="0" length="0">
      <dxf>
        <numFmt numFmtId="164" formatCode="0.0%"/>
        <alignment horizontal="right" vertical="top" readingOrder="0"/>
      </dxf>
    </rfmt>
  </rrc>
  <rrc rId="35996" sId="6" ref="A1:XFD1" action="deleteRow">
    <undo index="2" exp="area" ref3D="1" dr="$A$10:$XFD$24" dn="Z_78CA186D_B240_44D5_8A24_D241DE0B0FD9_.wvu.Rows" sId="6"/>
    <undo index="2" exp="area" ref3D="1" dr="$A$10:$XFD$24" dn="Z_F784130D_F647_4ABA_8943_C79CA5B0FDC4_.wvu.Rows" sId="6"/>
    <undo index="2" exp="area" ref3D="1" dr="$A$10:$XFD$24" dn="Z_E44F5FE1_54FC_4AB3_84F9_7D65ACF2DDE7_.wvu.Rows" sId="6"/>
    <undo index="2" exp="area" ref3D="1" dr="$A$10:$XFD$24" dn="Z_AEFEB150_9213_45F5_A178_7AC71E46DB11_.wvu.Rows" sId="6"/>
    <undo index="2" exp="area" ref3D="1" dr="$A$10:$XFD$24" dn="Z_9D4F0482_B164_4671_805A_E0D2D4DD4720_.wvu.Rows" sId="6"/>
    <undo index="2" exp="area" ref3D="1" dr="$A$10:$XFD$24" dn="Z_94DA13B6_7351_40F3_8CF7_A4211EC439DA_.wvu.Rows" sId="6"/>
    <undo index="2" exp="area" ref3D="1" dr="$A$10:$XFD$24" dn="Z_8F508F4D_4777_42BE_9707_8CB9355F7BDB_.wvu.Rows" sId="6"/>
    <undo index="2" exp="area" ref3D="1" dr="$A$10:$XFD$24" dn="Z_567C3053_2D8E_4705_8DC7_18896C5303CA_.wvu.Rows" sId="6"/>
    <undo index="2" exp="area" ref3D="1" dr="$A$10:$XFD$24" dn="Z_455630F5_40FC_47DB_8AD4_712C20B8FB91_.wvu.Rows" sId="6"/>
    <undo index="2" exp="area" ref3D="1" dr="$A$10:$XFD$24" dn="Z_1E5198E1_BA46_4CE0_8628_4F695B0D7A3B_.wvu.Rows" sId="6"/>
    <rfmt sheetId="6" xfDxf="1" sqref="A1:XFD1" start="0" length="0">
      <dxf>
        <font/>
      </dxf>
    </rfmt>
    <rfmt sheetId="6" sqref="A1" start="0" length="0">
      <dxf>
        <border outline="0">
          <left style="medium">
            <color indexed="64"/>
          </left>
        </border>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numFmt numFmtId="164" formatCode="0.0%"/>
        <alignment horizontal="right" vertical="top" readingOrder="0"/>
      </dxf>
    </rfmt>
    <rfmt sheetId="6" sqref="F1" start="0" length="0">
      <dxf>
        <numFmt numFmtId="167" formatCode="#,##0.0"/>
      </dxf>
    </rfmt>
    <rfmt sheetId="6" sqref="G1" start="0" length="0">
      <dxf>
        <numFmt numFmtId="167" formatCode="#,##0.0"/>
      </dxf>
    </rfmt>
    <rfmt sheetId="6" sqref="H1" start="0" length="0">
      <dxf>
        <numFmt numFmtId="164" formatCode="0.0%"/>
        <alignment horizontal="right" vertical="top" readingOrder="0"/>
      </dxf>
    </rfmt>
  </rrc>
  <rrc rId="35997" sId="6" ref="A1:XFD1" action="deleteRow">
    <undo index="2" exp="area" ref3D="1" dr="$A$9:$XFD$23" dn="Z_78CA186D_B240_44D5_8A24_D241DE0B0FD9_.wvu.Rows" sId="6"/>
    <undo index="2" exp="area" ref3D="1" dr="$A$9:$XFD$23" dn="Z_F784130D_F647_4ABA_8943_C79CA5B0FDC4_.wvu.Rows" sId="6"/>
    <undo index="2" exp="area" ref3D="1" dr="$A$9:$XFD$23" dn="Z_E44F5FE1_54FC_4AB3_84F9_7D65ACF2DDE7_.wvu.Rows" sId="6"/>
    <undo index="2" exp="area" ref3D="1" dr="$A$9:$XFD$23" dn="Z_AEFEB150_9213_45F5_A178_7AC71E46DB11_.wvu.Rows" sId="6"/>
    <undo index="2" exp="area" ref3D="1" dr="$A$9:$XFD$23" dn="Z_9D4F0482_B164_4671_805A_E0D2D4DD4720_.wvu.Rows" sId="6"/>
    <undo index="2" exp="area" ref3D="1" dr="$A$9:$XFD$23" dn="Z_94DA13B6_7351_40F3_8CF7_A4211EC439DA_.wvu.Rows" sId="6"/>
    <undo index="2" exp="area" ref3D="1" dr="$A$9:$XFD$23" dn="Z_8F508F4D_4777_42BE_9707_8CB9355F7BDB_.wvu.Rows" sId="6"/>
    <undo index="2" exp="area" ref3D="1" dr="$A$9:$XFD$23" dn="Z_567C3053_2D8E_4705_8DC7_18896C5303CA_.wvu.Rows" sId="6"/>
    <undo index="2" exp="area" ref3D="1" dr="$A$9:$XFD$23" dn="Z_455630F5_40FC_47DB_8AD4_712C20B8FB91_.wvu.Rows" sId="6"/>
    <undo index="2" exp="area" ref3D="1" dr="$A$9:$XFD$23" dn="Z_1E5198E1_BA46_4CE0_8628_4F695B0D7A3B_.wvu.Rows" sId="6"/>
    <rfmt sheetId="6" xfDxf="1" sqref="A1:XFD1" start="0" length="0">
      <dxf>
        <font/>
        <border outline="0">
          <bottom style="medium">
            <color indexed="64"/>
          </bottom>
        </border>
      </dxf>
    </rfmt>
    <rfmt sheetId="6" sqref="A1" start="0" length="0">
      <dxf>
        <border outline="0">
          <left style="medium">
            <color indexed="64"/>
          </left>
        </border>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numFmt numFmtId="164" formatCode="0.0%"/>
        <alignment horizontal="right" vertical="top" readingOrder="0"/>
      </dxf>
    </rfmt>
    <rfmt sheetId="6" sqref="F1" start="0" length="0">
      <dxf>
        <numFmt numFmtId="167" formatCode="#,##0.0"/>
      </dxf>
    </rfmt>
    <rfmt sheetId="6" sqref="G1" start="0" length="0">
      <dxf>
        <numFmt numFmtId="167" formatCode="#,##0.0"/>
      </dxf>
    </rfmt>
    <rfmt sheetId="6" sqref="H1" start="0" length="0">
      <dxf>
        <numFmt numFmtId="164" formatCode="0.0%"/>
        <alignment horizontal="right" vertical="top" readingOrder="0"/>
      </dxf>
    </rfmt>
  </rrc>
  <rrc rId="35998" sId="6" ref="A1:XFD1" action="deleteRow">
    <undo index="2" exp="area" ref3D="1" dr="$A$8:$XFD$22" dn="Z_78CA186D_B240_44D5_8A24_D241DE0B0FD9_.wvu.Rows" sId="6"/>
    <undo index="2" exp="area" ref3D="1" dr="$A$8:$XFD$22" dn="Z_F784130D_F647_4ABA_8943_C79CA5B0FDC4_.wvu.Rows" sId="6"/>
    <undo index="2" exp="area" ref3D="1" dr="$A$8:$XFD$22" dn="Z_E44F5FE1_54FC_4AB3_84F9_7D65ACF2DDE7_.wvu.Rows" sId="6"/>
    <undo index="2" exp="area" ref3D="1" dr="$A$8:$XFD$22" dn="Z_AEFEB150_9213_45F5_A178_7AC71E46DB11_.wvu.Rows" sId="6"/>
    <undo index="2" exp="area" ref3D="1" dr="$A$8:$XFD$22" dn="Z_9D4F0482_B164_4671_805A_E0D2D4DD4720_.wvu.Rows" sId="6"/>
    <undo index="2" exp="area" ref3D="1" dr="$A$8:$XFD$22" dn="Z_94DA13B6_7351_40F3_8CF7_A4211EC439DA_.wvu.Rows" sId="6"/>
    <undo index="2" exp="area" ref3D="1" dr="$A$8:$XFD$22" dn="Z_8F508F4D_4777_42BE_9707_8CB9355F7BDB_.wvu.Rows" sId="6"/>
    <undo index="2" exp="area" ref3D="1" dr="$A$8:$XFD$22" dn="Z_567C3053_2D8E_4705_8DC7_18896C5303CA_.wvu.Rows" sId="6"/>
    <undo index="2" exp="area" ref3D="1" dr="$A$8:$XFD$22" dn="Z_455630F5_40FC_47DB_8AD4_712C20B8FB91_.wvu.Rows" sId="6"/>
    <undo index="2" exp="area" ref3D="1" dr="$A$8:$XFD$22" dn="Z_1E5198E1_BA46_4CE0_8628_4F695B0D7A3B_.wvu.Rows" sId="6"/>
    <rfmt sheetId="6" xfDxf="1" sqref="A1:XFD1" start="0" length="0">
      <dxf>
        <font>
          <b/>
        </font>
      </dxf>
    </rfmt>
    <rfmt sheetId="6" sqref="A1" start="0" length="0">
      <dxf/>
    </rfmt>
    <rfmt sheetId="6" sqref="B1" start="0" length="0">
      <dxf>
        <numFmt numFmtId="167" formatCode="#,##0.0"/>
      </dxf>
    </rfmt>
    <rfmt sheetId="6" sqref="C1" start="0" length="0">
      <dxf>
        <numFmt numFmtId="167" formatCode="#,##0.0"/>
      </dxf>
    </rfmt>
    <rfmt sheetId="6" sqref="D1" start="0" length="0">
      <dxf>
        <numFmt numFmtId="167" formatCode="#,##0.0"/>
      </dxf>
    </rfmt>
    <rfmt sheetId="6" s="1" sqref="E1" start="0" length="0">
      <dxf>
        <numFmt numFmtId="13" formatCode="0%"/>
      </dxf>
    </rfmt>
    <rfmt sheetId="6" sqref="F1" start="0" length="0">
      <dxf>
        <numFmt numFmtId="167" formatCode="#,##0.0"/>
      </dxf>
    </rfmt>
    <rfmt sheetId="6" sqref="G1" start="0" length="0">
      <dxf>
        <numFmt numFmtId="167" formatCode="#,##0.0"/>
      </dxf>
    </rfmt>
    <rfmt sheetId="6" s="1" sqref="H1" start="0" length="0">
      <dxf>
        <numFmt numFmtId="13" formatCode="0%"/>
      </dxf>
    </rfmt>
  </rrc>
  <rrc rId="35999" sId="6" ref="A1:XFD1" action="deleteRow">
    <undo index="2" exp="area" ref3D="1" dr="$A$7:$XFD$21" dn="Z_78CA186D_B240_44D5_8A24_D241DE0B0FD9_.wvu.Rows" sId="6"/>
    <undo index="2" exp="area" ref3D="1" dr="$A$7:$XFD$21" dn="Z_F784130D_F647_4ABA_8943_C79CA5B0FDC4_.wvu.Rows" sId="6"/>
    <undo index="2" exp="area" ref3D="1" dr="$A$7:$XFD$21" dn="Z_E44F5FE1_54FC_4AB3_84F9_7D65ACF2DDE7_.wvu.Rows" sId="6"/>
    <undo index="2" exp="area" ref3D="1" dr="$A$7:$XFD$21" dn="Z_AEFEB150_9213_45F5_A178_7AC71E46DB11_.wvu.Rows" sId="6"/>
    <undo index="2" exp="area" ref3D="1" dr="$A$7:$XFD$21" dn="Z_9D4F0482_B164_4671_805A_E0D2D4DD4720_.wvu.Rows" sId="6"/>
    <undo index="2" exp="area" ref3D="1" dr="$A$7:$XFD$21" dn="Z_94DA13B6_7351_40F3_8CF7_A4211EC439DA_.wvu.Rows" sId="6"/>
    <undo index="2" exp="area" ref3D="1" dr="$A$7:$XFD$21" dn="Z_8F508F4D_4777_42BE_9707_8CB9355F7BDB_.wvu.Rows" sId="6"/>
    <undo index="2" exp="area" ref3D="1" dr="$A$7:$XFD$21" dn="Z_567C3053_2D8E_4705_8DC7_18896C5303CA_.wvu.Rows" sId="6"/>
    <undo index="2" exp="area" ref3D="1" dr="$A$7:$XFD$21" dn="Z_455630F5_40FC_47DB_8AD4_712C20B8FB91_.wvu.Rows" sId="6"/>
    <undo index="2" exp="area" ref3D="1" dr="$A$7:$XFD$21" dn="Z_1E5198E1_BA46_4CE0_8628_4F695B0D7A3B_.wvu.Rows" sId="6"/>
    <rfmt sheetId="6" xfDxf="1" sqref="A1:XFD1" start="0" length="0">
      <dxf>
        <font/>
      </dxf>
    </rfmt>
    <rfmt sheetId="6" sqref="A1" start="0" length="0">
      <dxf>
        <font>
          <b/>
        </font>
      </dxf>
    </rfmt>
    <rfmt sheetId="6" sqref="B1" start="0" length="0">
      <dxf>
        <numFmt numFmtId="167" formatCode="#,##0.0"/>
      </dxf>
    </rfmt>
    <rfmt sheetId="6" sqref="C1" start="0" length="0">
      <dxf>
        <numFmt numFmtId="167" formatCode="#,##0.0"/>
      </dxf>
    </rfmt>
    <rfmt sheetId="6" sqref="D1" start="0" length="0">
      <dxf>
        <numFmt numFmtId="167" formatCode="#,##0.0"/>
      </dxf>
    </rfmt>
    <rfmt sheetId="6" s="1" sqref="E1" start="0" length="0">
      <dxf>
        <numFmt numFmtId="13" formatCode="0%"/>
      </dxf>
    </rfmt>
    <rfmt sheetId="6" sqref="F1" start="0" length="0">
      <dxf>
        <numFmt numFmtId="167" formatCode="#,##0.0"/>
      </dxf>
    </rfmt>
    <rfmt sheetId="6" s="1" sqref="H1" start="0" length="0">
      <dxf>
        <numFmt numFmtId="13" formatCode="0%"/>
      </dxf>
    </rfmt>
  </rrc>
  <rrc rId="36000" sId="6" ref="A1:XFD1" action="deleteRow">
    <undo index="2" exp="area" ref3D="1" dr="$A$6:$XFD$20" dn="Z_78CA186D_B240_44D5_8A24_D241DE0B0FD9_.wvu.Rows" sId="6"/>
    <undo index="2" exp="area" ref3D="1" dr="$A$6:$XFD$20" dn="Z_F784130D_F647_4ABA_8943_C79CA5B0FDC4_.wvu.Rows" sId="6"/>
    <undo index="2" exp="area" ref3D="1" dr="$A$6:$XFD$20" dn="Z_E44F5FE1_54FC_4AB3_84F9_7D65ACF2DDE7_.wvu.Rows" sId="6"/>
    <undo index="2" exp="area" ref3D="1" dr="$A$6:$XFD$20" dn="Z_AEFEB150_9213_45F5_A178_7AC71E46DB11_.wvu.Rows" sId="6"/>
    <undo index="2" exp="area" ref3D="1" dr="$A$6:$XFD$20" dn="Z_9D4F0482_B164_4671_805A_E0D2D4DD4720_.wvu.Rows" sId="6"/>
    <undo index="2" exp="area" ref3D="1" dr="$A$6:$XFD$20" dn="Z_94DA13B6_7351_40F3_8CF7_A4211EC439DA_.wvu.Rows" sId="6"/>
    <undo index="2" exp="area" ref3D="1" dr="$A$6:$XFD$20" dn="Z_8F508F4D_4777_42BE_9707_8CB9355F7BDB_.wvu.Rows" sId="6"/>
    <undo index="2" exp="area" ref3D="1" dr="$A$6:$XFD$20" dn="Z_567C3053_2D8E_4705_8DC7_18896C5303CA_.wvu.Rows" sId="6"/>
    <undo index="2" exp="area" ref3D="1" dr="$A$6:$XFD$20" dn="Z_455630F5_40FC_47DB_8AD4_712C20B8FB91_.wvu.Rows" sId="6"/>
    <undo index="2" exp="area" ref3D="1" dr="$A$6:$XFD$20" dn="Z_1E5198E1_BA46_4CE0_8628_4F695B0D7A3B_.wvu.Rows" sId="6"/>
    <rfmt sheetId="6" xfDxf="1" sqref="A1:XFD1" start="0" length="0">
      <dxf>
        <font/>
      </dxf>
    </rfmt>
    <rfmt sheetId="6" sqref="A1" start="0" length="0">
      <dxf>
        <font>
          <i/>
        </font>
      </dxf>
    </rfmt>
    <rfmt sheetId="6" sqref="B1" start="0" length="0">
      <dxf>
        <numFmt numFmtId="167" formatCode="#,##0.0"/>
      </dxf>
    </rfmt>
    <rfmt sheetId="6" sqref="C1" start="0" length="0">
      <dxf>
        <numFmt numFmtId="167" formatCode="#,##0.0"/>
      </dxf>
    </rfmt>
    <rfmt sheetId="6" sqref="D1" start="0" length="0">
      <dxf>
        <numFmt numFmtId="167" formatCode="#,##0.0"/>
      </dxf>
    </rfmt>
    <rfmt sheetId="6" s="1" sqref="E1" start="0" length="0">
      <dxf>
        <numFmt numFmtId="13" formatCode="0%"/>
      </dxf>
    </rfmt>
    <rfmt sheetId="6" sqref="F1" start="0" length="0">
      <dxf>
        <numFmt numFmtId="167" formatCode="#,##0.0"/>
      </dxf>
    </rfmt>
    <rfmt sheetId="6" s="1" sqref="H1" start="0" length="0">
      <dxf>
        <numFmt numFmtId="13" formatCode="0%"/>
      </dxf>
    </rfmt>
  </rrc>
  <rrc rId="36001" sId="6" ref="A1:XFD1" action="deleteRow">
    <undo index="2" exp="area" ref3D="1" dr="$A$5:$XFD$19" dn="Z_78CA186D_B240_44D5_8A24_D241DE0B0FD9_.wvu.Rows" sId="6"/>
    <undo index="2" exp="area" ref3D="1" dr="$A$5:$XFD$19" dn="Z_F784130D_F647_4ABA_8943_C79CA5B0FDC4_.wvu.Rows" sId="6"/>
    <undo index="2" exp="area" ref3D="1" dr="$A$5:$XFD$19" dn="Z_E44F5FE1_54FC_4AB3_84F9_7D65ACF2DDE7_.wvu.Rows" sId="6"/>
    <undo index="2" exp="area" ref3D="1" dr="$A$5:$XFD$19" dn="Z_AEFEB150_9213_45F5_A178_7AC71E46DB11_.wvu.Rows" sId="6"/>
    <undo index="2" exp="area" ref3D="1" dr="$A$5:$XFD$19" dn="Z_9D4F0482_B164_4671_805A_E0D2D4DD4720_.wvu.Rows" sId="6"/>
    <undo index="2" exp="area" ref3D="1" dr="$A$5:$XFD$19" dn="Z_94DA13B6_7351_40F3_8CF7_A4211EC439DA_.wvu.Rows" sId="6"/>
    <undo index="2" exp="area" ref3D="1" dr="$A$5:$XFD$19" dn="Z_8F508F4D_4777_42BE_9707_8CB9355F7BDB_.wvu.Rows" sId="6"/>
    <undo index="2" exp="area" ref3D="1" dr="$A$5:$XFD$19" dn="Z_567C3053_2D8E_4705_8DC7_18896C5303CA_.wvu.Rows" sId="6"/>
    <undo index="2" exp="area" ref3D="1" dr="$A$5:$XFD$19" dn="Z_455630F5_40FC_47DB_8AD4_712C20B8FB91_.wvu.Rows" sId="6"/>
    <undo index="2" exp="area" ref3D="1" dr="$A$5:$XFD$19" dn="Z_1E5198E1_BA46_4CE0_8628_4F695B0D7A3B_.wvu.Rows" sId="6"/>
    <rfmt sheetId="6" xfDxf="1" sqref="A1:XFD1" start="0" length="0">
      <dxf>
        <font/>
      </dxf>
    </rfmt>
    <rfmt sheetId="6" sqref="A1" start="0" length="0">
      <dxf>
        <font>
          <i/>
        </font>
      </dxf>
    </rfmt>
    <rfmt sheetId="6" sqref="B1" start="0" length="0">
      <dxf>
        <numFmt numFmtId="167" formatCode="#,##0.0"/>
      </dxf>
    </rfmt>
    <rfmt sheetId="6" sqref="C1" start="0" length="0">
      <dxf>
        <numFmt numFmtId="167" formatCode="#,##0.0"/>
      </dxf>
    </rfmt>
    <rfmt sheetId="6" sqref="D1" start="0" length="0">
      <dxf>
        <numFmt numFmtId="167" formatCode="#,##0.0"/>
      </dxf>
    </rfmt>
    <rfmt sheetId="6" s="1" sqref="E1" start="0" length="0">
      <dxf>
        <numFmt numFmtId="13" formatCode="0%"/>
      </dxf>
    </rfmt>
    <rfmt sheetId="6" sqref="F1" start="0" length="0">
      <dxf>
        <numFmt numFmtId="167" formatCode="#,##0.0"/>
      </dxf>
    </rfmt>
    <rfmt sheetId="6" s="1" sqref="H1" start="0" length="0">
      <dxf>
        <numFmt numFmtId="13" formatCode="0%"/>
      </dxf>
    </rfmt>
  </rrc>
  <rrc rId="36002" sId="6" ref="A1:XFD1" action="deleteRow">
    <undo index="2" exp="area" ref3D="1" dr="$A$4:$XFD$18" dn="Z_78CA186D_B240_44D5_8A24_D241DE0B0FD9_.wvu.Rows" sId="6"/>
    <undo index="2" exp="area" ref3D="1" dr="$A$4:$XFD$18" dn="Z_F784130D_F647_4ABA_8943_C79CA5B0FDC4_.wvu.Rows" sId="6"/>
    <undo index="2" exp="area" ref3D="1" dr="$A$4:$XFD$18" dn="Z_E44F5FE1_54FC_4AB3_84F9_7D65ACF2DDE7_.wvu.Rows" sId="6"/>
    <undo index="2" exp="area" ref3D="1" dr="$A$4:$XFD$18" dn="Z_AEFEB150_9213_45F5_A178_7AC71E46DB11_.wvu.Rows" sId="6"/>
    <undo index="2" exp="area" ref3D="1" dr="$A$4:$XFD$18" dn="Z_9D4F0482_B164_4671_805A_E0D2D4DD4720_.wvu.Rows" sId="6"/>
    <undo index="2" exp="area" ref3D="1" dr="$A$4:$XFD$18" dn="Z_94DA13B6_7351_40F3_8CF7_A4211EC439DA_.wvu.Rows" sId="6"/>
    <undo index="2" exp="area" ref3D="1" dr="$A$4:$XFD$18" dn="Z_8F508F4D_4777_42BE_9707_8CB9355F7BDB_.wvu.Rows" sId="6"/>
    <undo index="2" exp="area" ref3D="1" dr="$A$4:$XFD$18" dn="Z_567C3053_2D8E_4705_8DC7_18896C5303CA_.wvu.Rows" sId="6"/>
    <undo index="2" exp="area" ref3D="1" dr="$A$4:$XFD$18" dn="Z_455630F5_40FC_47DB_8AD4_712C20B8FB91_.wvu.Rows" sId="6"/>
    <undo index="2" exp="area" ref3D="1" dr="$A$4:$XFD$18" dn="Z_1E5198E1_BA46_4CE0_8628_4F695B0D7A3B_.wvu.Rows" sId="6"/>
    <rfmt sheetId="6" xfDxf="1" sqref="A1:XFD1" start="0" length="0">
      <dxf>
        <font/>
      </dxf>
    </rfmt>
    <rfmt sheetId="6" sqref="A1" start="0" length="0">
      <dxf>
        <font>
          <i/>
        </font>
      </dxf>
    </rfmt>
    <rfmt sheetId="6" sqref="B1" start="0" length="0">
      <dxf>
        <numFmt numFmtId="167" formatCode="#,##0.0"/>
      </dxf>
    </rfmt>
    <rfmt sheetId="6" sqref="C1" start="0" length="0">
      <dxf>
        <numFmt numFmtId="167" formatCode="#,##0.0"/>
      </dxf>
    </rfmt>
    <rfmt sheetId="6" sqref="D1" start="0" length="0">
      <dxf>
        <numFmt numFmtId="167" formatCode="#,##0.0"/>
      </dxf>
    </rfmt>
    <rfmt sheetId="6" s="1" sqref="E1" start="0" length="0">
      <dxf>
        <numFmt numFmtId="13" formatCode="0%"/>
      </dxf>
    </rfmt>
    <rfmt sheetId="6" sqref="F1" start="0" length="0">
      <dxf>
        <numFmt numFmtId="167" formatCode="#,##0.0"/>
      </dxf>
    </rfmt>
    <rfmt sheetId="6" s="1" sqref="H1" start="0" length="0">
      <dxf>
        <numFmt numFmtId="13" formatCode="0%"/>
      </dxf>
    </rfmt>
  </rrc>
  <rrc rId="36003" sId="6" ref="A1:XFD1" action="deleteRow">
    <undo index="2" exp="area" ref3D="1" dr="$A$3:$XFD$17" dn="Z_78CA186D_B240_44D5_8A24_D241DE0B0FD9_.wvu.Rows" sId="6"/>
    <undo index="2" exp="area" ref3D="1" dr="$A$3:$XFD$17" dn="Z_F784130D_F647_4ABA_8943_C79CA5B0FDC4_.wvu.Rows" sId="6"/>
    <undo index="2" exp="area" ref3D="1" dr="$A$3:$XFD$17" dn="Z_E44F5FE1_54FC_4AB3_84F9_7D65ACF2DDE7_.wvu.Rows" sId="6"/>
    <undo index="2" exp="area" ref3D="1" dr="$A$3:$XFD$17" dn="Z_AEFEB150_9213_45F5_A178_7AC71E46DB11_.wvu.Rows" sId="6"/>
    <undo index="2" exp="area" ref3D="1" dr="$A$3:$XFD$17" dn="Z_9D4F0482_B164_4671_805A_E0D2D4DD4720_.wvu.Rows" sId="6"/>
    <undo index="2" exp="area" ref3D="1" dr="$A$3:$XFD$17" dn="Z_94DA13B6_7351_40F3_8CF7_A4211EC439DA_.wvu.Rows" sId="6"/>
    <undo index="2" exp="area" ref3D="1" dr="$A$3:$XFD$17" dn="Z_8F508F4D_4777_42BE_9707_8CB9355F7BDB_.wvu.Rows" sId="6"/>
    <undo index="2" exp="area" ref3D="1" dr="$A$3:$XFD$17" dn="Z_567C3053_2D8E_4705_8DC7_18896C5303CA_.wvu.Rows" sId="6"/>
    <undo index="2" exp="area" ref3D="1" dr="$A$3:$XFD$17" dn="Z_455630F5_40FC_47DB_8AD4_712C20B8FB91_.wvu.Rows" sId="6"/>
    <undo index="2" exp="area" ref3D="1" dr="$A$3:$XFD$17" dn="Z_1E5198E1_BA46_4CE0_8628_4F695B0D7A3B_.wvu.Rows" sId="6"/>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1" sqref="E1" start="0" length="0">
      <dxf>
        <numFmt numFmtId="13" formatCode="0%"/>
      </dxf>
    </rfmt>
    <rfmt sheetId="6" sqref="F1" start="0" length="0">
      <dxf>
        <numFmt numFmtId="167" formatCode="#,##0.0"/>
      </dxf>
    </rfmt>
    <rfmt sheetId="6" s="1" sqref="H1" start="0" length="0">
      <dxf>
        <numFmt numFmtId="13" formatCode="0%"/>
      </dxf>
    </rfmt>
  </rrc>
  <rrc rId="36004" sId="6" ref="A1:XFD1" action="deleteRow">
    <undo index="2" exp="area" ref3D="1" dr="$A$2:$XFD$16" dn="Z_78CA186D_B240_44D5_8A24_D241DE0B0FD9_.wvu.Rows" sId="6"/>
    <undo index="2" exp="area" ref3D="1" dr="$A$2:$XFD$16" dn="Z_F784130D_F647_4ABA_8943_C79CA5B0FDC4_.wvu.Rows" sId="6"/>
    <undo index="2" exp="area" ref3D="1" dr="$A$2:$XFD$16" dn="Z_E44F5FE1_54FC_4AB3_84F9_7D65ACF2DDE7_.wvu.Rows" sId="6"/>
    <undo index="2" exp="area" ref3D="1" dr="$A$2:$XFD$16" dn="Z_AEFEB150_9213_45F5_A178_7AC71E46DB11_.wvu.Rows" sId="6"/>
    <undo index="2" exp="area" ref3D="1" dr="$A$2:$XFD$16" dn="Z_9D4F0482_B164_4671_805A_E0D2D4DD4720_.wvu.Rows" sId="6"/>
    <undo index="2" exp="area" ref3D="1" dr="$A$2:$XFD$16" dn="Z_94DA13B6_7351_40F3_8CF7_A4211EC439DA_.wvu.Rows" sId="6"/>
    <undo index="2" exp="area" ref3D="1" dr="$A$2:$XFD$16" dn="Z_8F508F4D_4777_42BE_9707_8CB9355F7BDB_.wvu.Rows" sId="6"/>
    <undo index="2" exp="area" ref3D="1" dr="$A$2:$XFD$16" dn="Z_567C3053_2D8E_4705_8DC7_18896C5303CA_.wvu.Rows" sId="6"/>
    <undo index="2" exp="area" ref3D="1" dr="$A$2:$XFD$16" dn="Z_455630F5_40FC_47DB_8AD4_712C20B8FB91_.wvu.Rows" sId="6"/>
    <undo index="2" exp="area" ref3D="1" dr="$A$2:$XFD$16" dn="Z_1E5198E1_BA46_4CE0_8628_4F695B0D7A3B_.wvu.Rows" sId="6"/>
    <rfmt sheetId="6" xfDxf="1" sqref="A1:XFD1" start="0" length="0">
      <dxf>
        <font/>
        <border outline="0">
          <bottom style="medium">
            <color indexed="64"/>
          </bottom>
        </border>
      </dxf>
    </rfmt>
    <rfmt sheetId="6" sqref="A1" start="0" length="0">
      <dxf>
        <font>
          <b/>
        </font>
      </dxf>
    </rfmt>
    <rfmt sheetId="6" sqref="B1" start="0" length="0">
      <dxf>
        <numFmt numFmtId="167" formatCode="#,##0.0"/>
      </dxf>
    </rfmt>
    <rfmt sheetId="6" sqref="C1" start="0" length="0">
      <dxf>
        <numFmt numFmtId="167" formatCode="#,##0.0"/>
      </dxf>
    </rfmt>
    <rfmt sheetId="6" sqref="D1" start="0" length="0">
      <dxf>
        <numFmt numFmtId="167" formatCode="#,##0.0"/>
      </dxf>
    </rfmt>
    <rfmt sheetId="6" s="1" sqref="E1" start="0" length="0">
      <dxf>
        <numFmt numFmtId="13" formatCode="0%"/>
      </dxf>
    </rfmt>
    <rfmt sheetId="6" sqref="F1" start="0" length="0">
      <dxf>
        <numFmt numFmtId="167" formatCode="#,##0.0"/>
      </dxf>
    </rfmt>
    <rfmt sheetId="6" s="1" sqref="H1" start="0" length="0">
      <dxf>
        <numFmt numFmtId="13" formatCode="0%"/>
      </dxf>
    </rfmt>
  </rrc>
  <rrc rId="36005" sId="6" ref="A1:XFD1" action="deleteRow">
    <undo index="2" exp="area" ref3D="1" dr="$A$1:$XFD$15" dn="Z_78CA186D_B240_44D5_8A24_D241DE0B0FD9_.wvu.Rows" sId="6"/>
    <undo index="2" exp="area" ref3D="1" dr="$A$1:$XFD$15" dn="Z_F784130D_F647_4ABA_8943_C79CA5B0FDC4_.wvu.Rows" sId="6"/>
    <undo index="2" exp="area" ref3D="1" dr="$A$1:$XFD$15" dn="Z_E44F5FE1_54FC_4AB3_84F9_7D65ACF2DDE7_.wvu.Rows" sId="6"/>
    <undo index="2" exp="area" ref3D="1" dr="$A$1:$XFD$15" dn="Z_AEFEB150_9213_45F5_A178_7AC71E46DB11_.wvu.Rows" sId="6"/>
    <undo index="2" exp="area" ref3D="1" dr="$A$1:$XFD$15" dn="Z_9D4F0482_B164_4671_805A_E0D2D4DD4720_.wvu.Rows" sId="6"/>
    <undo index="2" exp="area" ref3D="1" dr="$A$1:$XFD$15" dn="Z_94DA13B6_7351_40F3_8CF7_A4211EC439DA_.wvu.Rows" sId="6"/>
    <undo index="2" exp="area" ref3D="1" dr="$A$1:$XFD$15" dn="Z_8F508F4D_4777_42BE_9707_8CB9355F7BDB_.wvu.Rows" sId="6"/>
    <undo index="2" exp="area" ref3D="1" dr="$A$1:$XFD$15" dn="Z_567C3053_2D8E_4705_8DC7_18896C5303CA_.wvu.Rows" sId="6"/>
    <undo index="2" exp="area" ref3D="1" dr="$A$1:$XFD$15" dn="Z_455630F5_40FC_47DB_8AD4_712C20B8FB91_.wvu.Rows" sId="6"/>
    <undo index="2" exp="area" ref3D="1" dr="$A$1:$XFD$15" dn="Z_1E5198E1_BA46_4CE0_8628_4F695B0D7A3B_.wvu.Rows" sId="6"/>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1" sqref="E1" start="0" length="0">
      <dxf>
        <numFmt numFmtId="13" formatCode="0%"/>
      </dxf>
    </rfmt>
    <rfmt sheetId="6" sqref="F1" start="0" length="0">
      <dxf>
        <numFmt numFmtId="167" formatCode="#,##0.0"/>
      </dxf>
    </rfmt>
    <rfmt sheetId="6" s="1" sqref="H1" start="0" length="0">
      <dxf>
        <numFmt numFmtId="13" formatCode="0%"/>
      </dxf>
    </rfmt>
  </rrc>
  <rrc rId="36006" sId="6" ref="A1:XFD1" action="deleteRow">
    <undo index="2" exp="area" ref3D="1" dr="$A$1:$XFD$14" dn="Z_78CA186D_B240_44D5_8A24_D241DE0B0FD9_.wvu.Rows" sId="6"/>
    <undo index="2" exp="area" ref3D="1" dr="$A$1:$XFD$14" dn="Z_F784130D_F647_4ABA_8943_C79CA5B0FDC4_.wvu.Rows" sId="6"/>
    <undo index="2" exp="area" ref3D="1" dr="$A$1:$XFD$14" dn="Z_E44F5FE1_54FC_4AB3_84F9_7D65ACF2DDE7_.wvu.Rows" sId="6"/>
    <undo index="2" exp="area" ref3D="1" dr="$A$1:$XFD$14" dn="Z_AEFEB150_9213_45F5_A178_7AC71E46DB11_.wvu.Rows" sId="6"/>
    <undo index="2" exp="area" ref3D="1" dr="$A$1:$XFD$14" dn="Z_9D4F0482_B164_4671_805A_E0D2D4DD4720_.wvu.Rows" sId="6"/>
    <undo index="2" exp="area" ref3D="1" dr="$A$1:$XFD$14" dn="Z_94DA13B6_7351_40F3_8CF7_A4211EC439DA_.wvu.Rows" sId="6"/>
    <undo index="2" exp="area" ref3D="1" dr="$A$1:$XFD$14" dn="Z_8F508F4D_4777_42BE_9707_8CB9355F7BDB_.wvu.Rows" sId="6"/>
    <undo index="2" exp="area" ref3D="1" dr="$A$1:$XFD$14" dn="Z_567C3053_2D8E_4705_8DC7_18896C5303CA_.wvu.Rows" sId="6"/>
    <undo index="2" exp="area" ref3D="1" dr="$A$1:$XFD$14" dn="Z_455630F5_40FC_47DB_8AD4_712C20B8FB91_.wvu.Rows" sId="6"/>
    <undo index="2" exp="area" ref3D="1" dr="$A$1:$XFD$14" dn="Z_1E5198E1_BA46_4CE0_8628_4F695B0D7A3B_.wvu.Rows" sId="6"/>
    <rfmt sheetId="6" xfDxf="1" sqref="A1:XFD1" start="0" length="0">
      <dxf>
        <font/>
      </dxf>
    </rfmt>
    <rfmt sheetId="6" sqref="A1" start="0" length="0">
      <dxf/>
    </rfmt>
    <rfmt sheetId="6" sqref="B1" start="0" length="0">
      <dxf>
        <numFmt numFmtId="167" formatCode="#,##0.0"/>
      </dxf>
    </rfmt>
    <rfmt sheetId="6" sqref="C1" start="0" length="0">
      <dxf>
        <numFmt numFmtId="167" formatCode="#,##0.0"/>
      </dxf>
    </rfmt>
    <rfmt sheetId="6" sqref="D1" start="0" length="0">
      <dxf>
        <numFmt numFmtId="167" formatCode="#,##0.0"/>
      </dxf>
    </rfmt>
    <rfmt sheetId="6" s="1" sqref="E1" start="0" length="0">
      <dxf>
        <numFmt numFmtId="13" formatCode="0%"/>
      </dxf>
    </rfmt>
    <rfmt sheetId="6" sqref="F1" start="0" length="0">
      <dxf>
        <numFmt numFmtId="167" formatCode="#,##0.0"/>
      </dxf>
    </rfmt>
    <rfmt sheetId="6" s="1" sqref="H1" start="0" length="0">
      <dxf>
        <numFmt numFmtId="13" formatCode="0%"/>
      </dxf>
    </rfmt>
  </rrc>
  <rrc rId="36007" sId="6" ref="A1:XFD1" action="deleteRow">
    <undo index="2" exp="area" ref3D="1" dr="$A$1:$XFD$13" dn="Z_78CA186D_B240_44D5_8A24_D241DE0B0FD9_.wvu.Rows" sId="6"/>
    <undo index="2" exp="area" ref3D="1" dr="$A$1:$XFD$13" dn="Z_F784130D_F647_4ABA_8943_C79CA5B0FDC4_.wvu.Rows" sId="6"/>
    <undo index="2" exp="area" ref3D="1" dr="$A$1:$XFD$13" dn="Z_E44F5FE1_54FC_4AB3_84F9_7D65ACF2DDE7_.wvu.Rows" sId="6"/>
    <undo index="2" exp="area" ref3D="1" dr="$A$1:$XFD$13" dn="Z_AEFEB150_9213_45F5_A178_7AC71E46DB11_.wvu.Rows" sId="6"/>
    <undo index="2" exp="area" ref3D="1" dr="$A$1:$XFD$13" dn="Z_9D4F0482_B164_4671_805A_E0D2D4DD4720_.wvu.Rows" sId="6"/>
    <undo index="2" exp="area" ref3D="1" dr="$A$1:$XFD$13" dn="Z_94DA13B6_7351_40F3_8CF7_A4211EC439DA_.wvu.Rows" sId="6"/>
    <undo index="2" exp="area" ref3D="1" dr="$A$1:$XFD$13" dn="Z_8F508F4D_4777_42BE_9707_8CB9355F7BDB_.wvu.Rows" sId="6"/>
    <undo index="2" exp="area" ref3D="1" dr="$A$1:$XFD$13" dn="Z_567C3053_2D8E_4705_8DC7_18896C5303CA_.wvu.Rows" sId="6"/>
    <undo index="2" exp="area" ref3D="1" dr="$A$1:$XFD$13" dn="Z_455630F5_40FC_47DB_8AD4_712C20B8FB91_.wvu.Rows" sId="6"/>
    <undo index="2" exp="area" ref3D="1" dr="$A$1:$XFD$13" dn="Z_1E5198E1_BA46_4CE0_8628_4F695B0D7A3B_.wvu.Rows" sId="6"/>
    <rfmt sheetId="6" xfDxf="1" sqref="A1:XFD1" start="0" length="0">
      <dxf>
        <font/>
      </dxf>
    </rfmt>
    <rfmt sheetId="6" sqref="A1" start="0" length="0">
      <dxf/>
    </rfmt>
    <rfmt sheetId="6" sqref="B1" start="0" length="0">
      <dxf>
        <numFmt numFmtId="167" formatCode="#,##0.0"/>
      </dxf>
    </rfmt>
    <rfmt sheetId="6" sqref="C1" start="0" length="0">
      <dxf>
        <numFmt numFmtId="167" formatCode="#,##0.0"/>
      </dxf>
    </rfmt>
    <rfmt sheetId="6" sqref="D1" start="0" length="0">
      <dxf>
        <numFmt numFmtId="167" formatCode="#,##0.0"/>
      </dxf>
    </rfmt>
    <rfmt sheetId="6" s="1" sqref="E1" start="0" length="0">
      <dxf>
        <numFmt numFmtId="13" formatCode="0%"/>
      </dxf>
    </rfmt>
    <rfmt sheetId="6" sqref="F1" start="0" length="0">
      <dxf>
        <numFmt numFmtId="167" formatCode="#,##0.0"/>
      </dxf>
    </rfmt>
    <rfmt sheetId="6" s="1" sqref="H1" start="0" length="0">
      <dxf>
        <numFmt numFmtId="13" formatCode="0%"/>
      </dxf>
    </rfmt>
  </rrc>
  <rrc rId="36008" sId="6" ref="A1:XFD1" action="deleteRow">
    <undo index="2" exp="area" ref3D="1" dr="$A$1:$XFD$12" dn="Z_78CA186D_B240_44D5_8A24_D241DE0B0FD9_.wvu.Rows" sId="6"/>
    <undo index="2" exp="area" ref3D="1" dr="$A$1:$XFD$12" dn="Z_F784130D_F647_4ABA_8943_C79CA5B0FDC4_.wvu.Rows" sId="6"/>
    <undo index="2" exp="area" ref3D="1" dr="$A$1:$XFD$12" dn="Z_E44F5FE1_54FC_4AB3_84F9_7D65ACF2DDE7_.wvu.Rows" sId="6"/>
    <undo index="2" exp="area" ref3D="1" dr="$A$1:$XFD$12" dn="Z_AEFEB150_9213_45F5_A178_7AC71E46DB11_.wvu.Rows" sId="6"/>
    <undo index="2" exp="area" ref3D="1" dr="$A$1:$XFD$12" dn="Z_9D4F0482_B164_4671_805A_E0D2D4DD4720_.wvu.Rows" sId="6"/>
    <undo index="2" exp="area" ref3D="1" dr="$A$1:$XFD$12" dn="Z_94DA13B6_7351_40F3_8CF7_A4211EC439DA_.wvu.Rows" sId="6"/>
    <undo index="2" exp="area" ref3D="1" dr="$A$1:$XFD$12" dn="Z_8F508F4D_4777_42BE_9707_8CB9355F7BDB_.wvu.Rows" sId="6"/>
    <undo index="2" exp="area" ref3D="1" dr="$A$1:$XFD$12" dn="Z_567C3053_2D8E_4705_8DC7_18896C5303CA_.wvu.Rows" sId="6"/>
    <undo index="2" exp="area" ref3D="1" dr="$A$1:$XFD$12" dn="Z_455630F5_40FC_47DB_8AD4_712C20B8FB91_.wvu.Rows" sId="6"/>
    <undo index="2" exp="area" ref3D="1" dr="$A$1:$XFD$12" dn="Z_1E5198E1_BA46_4CE0_8628_4F695B0D7A3B_.wvu.Rows" sId="6"/>
    <rfmt sheetId="6" xfDxf="1" sqref="A1:XFD1" start="0" length="0">
      <dxf>
        <font/>
      </dxf>
    </rfmt>
    <rfmt sheetId="6" sqref="A1" start="0" length="0">
      <dxf/>
    </rfmt>
    <rfmt sheetId="6" sqref="B1" start="0" length="0">
      <dxf>
        <numFmt numFmtId="167" formatCode="#,##0.0"/>
      </dxf>
    </rfmt>
    <rfmt sheetId="6" sqref="C1" start="0" length="0">
      <dxf>
        <numFmt numFmtId="167" formatCode="#,##0.0"/>
      </dxf>
    </rfmt>
    <rfmt sheetId="6" sqref="D1" start="0" length="0">
      <dxf>
        <numFmt numFmtId="167" formatCode="#,##0.0"/>
      </dxf>
    </rfmt>
    <rfmt sheetId="6" s="1" sqref="E1" start="0" length="0">
      <dxf>
        <numFmt numFmtId="13" formatCode="0%"/>
      </dxf>
    </rfmt>
    <rfmt sheetId="6" sqref="F1" start="0" length="0">
      <dxf>
        <numFmt numFmtId="167" formatCode="#,##0.0"/>
      </dxf>
    </rfmt>
    <rfmt sheetId="6" s="1" sqref="H1" start="0" length="0">
      <dxf>
        <numFmt numFmtId="13" formatCode="0%"/>
      </dxf>
    </rfmt>
  </rrc>
  <rrc rId="36009" sId="6" ref="A1:XFD1" action="deleteRow">
    <undo index="2" exp="area" ref3D="1" dr="$A$1:$XFD$11" dn="Z_78CA186D_B240_44D5_8A24_D241DE0B0FD9_.wvu.Rows" sId="6"/>
    <undo index="2" exp="area" ref3D="1" dr="$A$1:$XFD$11" dn="Z_F784130D_F647_4ABA_8943_C79CA5B0FDC4_.wvu.Rows" sId="6"/>
    <undo index="2" exp="area" ref3D="1" dr="$A$1:$XFD$11" dn="Z_E44F5FE1_54FC_4AB3_84F9_7D65ACF2DDE7_.wvu.Rows" sId="6"/>
    <undo index="2" exp="area" ref3D="1" dr="$A$1:$XFD$11" dn="Z_AEFEB150_9213_45F5_A178_7AC71E46DB11_.wvu.Rows" sId="6"/>
    <undo index="2" exp="area" ref3D="1" dr="$A$1:$XFD$11" dn="Z_9D4F0482_B164_4671_805A_E0D2D4DD4720_.wvu.Rows" sId="6"/>
    <undo index="2" exp="area" ref3D="1" dr="$A$1:$XFD$11" dn="Z_94DA13B6_7351_40F3_8CF7_A4211EC439DA_.wvu.Rows" sId="6"/>
    <undo index="2" exp="area" ref3D="1" dr="$A$1:$XFD$11" dn="Z_8F508F4D_4777_42BE_9707_8CB9355F7BDB_.wvu.Rows" sId="6"/>
    <undo index="2" exp="area" ref3D="1" dr="$A$1:$XFD$11" dn="Z_567C3053_2D8E_4705_8DC7_18896C5303CA_.wvu.Rows" sId="6"/>
    <undo index="2" exp="area" ref3D="1" dr="$A$1:$XFD$11" dn="Z_455630F5_40FC_47DB_8AD4_712C20B8FB91_.wvu.Rows" sId="6"/>
    <undo index="2" exp="area" ref3D="1" dr="$A$1:$XFD$11" dn="Z_1E5198E1_BA46_4CE0_8628_4F695B0D7A3B_.wvu.Rows" sId="6"/>
    <rfmt sheetId="6" xfDxf="1" sqref="A1:XFD1" start="0" length="0">
      <dxf>
        <font/>
      </dxf>
    </rfmt>
    <rfmt sheetId="6" sqref="A1" start="0" length="0">
      <dxf/>
    </rfmt>
    <rfmt sheetId="6" sqref="B1" start="0" length="0">
      <dxf>
        <numFmt numFmtId="167" formatCode="#,##0.0"/>
      </dxf>
    </rfmt>
    <rfmt sheetId="6" sqref="C1" start="0" length="0">
      <dxf>
        <numFmt numFmtId="167" formatCode="#,##0.0"/>
      </dxf>
    </rfmt>
    <rfmt sheetId="6" sqref="D1" start="0" length="0">
      <dxf>
        <numFmt numFmtId="167" formatCode="#,##0.0"/>
      </dxf>
    </rfmt>
    <rfmt sheetId="6" s="1" sqref="E1" start="0" length="0">
      <dxf>
        <numFmt numFmtId="13" formatCode="0%"/>
      </dxf>
    </rfmt>
    <rfmt sheetId="6" sqref="F1" start="0" length="0">
      <dxf>
        <numFmt numFmtId="167" formatCode="#,##0.0"/>
      </dxf>
    </rfmt>
    <rfmt sheetId="6" s="1" sqref="H1" start="0" length="0">
      <dxf>
        <numFmt numFmtId="13" formatCode="0%"/>
      </dxf>
    </rfmt>
  </rrc>
  <rrc rId="36010" sId="6" ref="A1:XFD1" action="deleteRow">
    <undo index="2" exp="area" ref3D="1" dr="$A$1:$XFD$10" dn="Z_78CA186D_B240_44D5_8A24_D241DE0B0FD9_.wvu.Rows" sId="6"/>
    <undo index="2" exp="area" ref3D="1" dr="$A$1:$XFD$10" dn="Z_F784130D_F647_4ABA_8943_C79CA5B0FDC4_.wvu.Rows" sId="6"/>
    <undo index="2" exp="area" ref3D="1" dr="$A$1:$XFD$10" dn="Z_E44F5FE1_54FC_4AB3_84F9_7D65ACF2DDE7_.wvu.Rows" sId="6"/>
    <undo index="2" exp="area" ref3D="1" dr="$A$1:$XFD$10" dn="Z_AEFEB150_9213_45F5_A178_7AC71E46DB11_.wvu.Rows" sId="6"/>
    <undo index="2" exp="area" ref3D="1" dr="$A$1:$XFD$10" dn="Z_9D4F0482_B164_4671_805A_E0D2D4DD4720_.wvu.Rows" sId="6"/>
    <undo index="2" exp="area" ref3D="1" dr="$A$1:$XFD$10" dn="Z_94DA13B6_7351_40F3_8CF7_A4211EC439DA_.wvu.Rows" sId="6"/>
    <undo index="2" exp="area" ref3D="1" dr="$A$1:$XFD$10" dn="Z_8F508F4D_4777_42BE_9707_8CB9355F7BDB_.wvu.Rows" sId="6"/>
    <undo index="2" exp="area" ref3D="1" dr="$A$1:$XFD$10" dn="Z_567C3053_2D8E_4705_8DC7_18896C5303CA_.wvu.Rows" sId="6"/>
    <undo index="2" exp="area" ref3D="1" dr="$A$1:$XFD$10" dn="Z_455630F5_40FC_47DB_8AD4_712C20B8FB91_.wvu.Rows" sId="6"/>
    <undo index="2" exp="area" ref3D="1" dr="$A$1:$XFD$10" dn="Z_1E5198E1_BA46_4CE0_8628_4F695B0D7A3B_.wvu.Rows" sId="6"/>
    <rfmt sheetId="6" xfDxf="1" sqref="A1:XFD1" start="0" length="0">
      <dxf>
        <font/>
      </dxf>
    </rfmt>
    <rfmt sheetId="6" sqref="A1" start="0" length="0">
      <dxf/>
    </rfmt>
    <rfmt sheetId="6" sqref="B1" start="0" length="0">
      <dxf>
        <numFmt numFmtId="167" formatCode="#,##0.0"/>
      </dxf>
    </rfmt>
    <rfmt sheetId="6" sqref="C1" start="0" length="0">
      <dxf>
        <numFmt numFmtId="167" formatCode="#,##0.0"/>
      </dxf>
    </rfmt>
    <rfmt sheetId="6" sqref="D1" start="0" length="0">
      <dxf>
        <numFmt numFmtId="167" formatCode="#,##0.0"/>
      </dxf>
    </rfmt>
    <rfmt sheetId="6" s="1" sqref="E1" start="0" length="0">
      <dxf>
        <numFmt numFmtId="13" formatCode="0%"/>
      </dxf>
    </rfmt>
    <rfmt sheetId="6" sqref="F1" start="0" length="0">
      <dxf>
        <numFmt numFmtId="167" formatCode="#,##0.0"/>
      </dxf>
    </rfmt>
    <rfmt sheetId="6" s="1" sqref="H1" start="0" length="0">
      <dxf>
        <numFmt numFmtId="13" formatCode="0%"/>
      </dxf>
    </rfmt>
  </rrc>
  <rrc rId="36011" sId="6" ref="A1:XFD1" action="deleteRow">
    <undo index="2" exp="area" ref3D="1" dr="$A$1:$XFD$9" dn="Z_78CA186D_B240_44D5_8A24_D241DE0B0FD9_.wvu.Rows" sId="6"/>
    <undo index="2" exp="area" ref3D="1" dr="$A$1:$XFD$9" dn="Z_F784130D_F647_4ABA_8943_C79CA5B0FDC4_.wvu.Rows" sId="6"/>
    <undo index="2" exp="area" ref3D="1" dr="$A$1:$XFD$9" dn="Z_E44F5FE1_54FC_4AB3_84F9_7D65ACF2DDE7_.wvu.Rows" sId="6"/>
    <undo index="2" exp="area" ref3D="1" dr="$A$1:$XFD$9" dn="Z_AEFEB150_9213_45F5_A178_7AC71E46DB11_.wvu.Rows" sId="6"/>
    <undo index="2" exp="area" ref3D="1" dr="$A$1:$XFD$9" dn="Z_9D4F0482_B164_4671_805A_E0D2D4DD4720_.wvu.Rows" sId="6"/>
    <undo index="2" exp="area" ref3D="1" dr="$A$1:$XFD$9" dn="Z_94DA13B6_7351_40F3_8CF7_A4211EC439DA_.wvu.Rows" sId="6"/>
    <undo index="2" exp="area" ref3D="1" dr="$A$1:$XFD$9" dn="Z_8F508F4D_4777_42BE_9707_8CB9355F7BDB_.wvu.Rows" sId="6"/>
    <undo index="2" exp="area" ref3D="1" dr="$A$1:$XFD$9" dn="Z_567C3053_2D8E_4705_8DC7_18896C5303CA_.wvu.Rows" sId="6"/>
    <undo index="2" exp="area" ref3D="1" dr="$A$1:$XFD$9" dn="Z_455630F5_40FC_47DB_8AD4_712C20B8FB91_.wvu.Rows" sId="6"/>
    <undo index="2" exp="area" ref3D="1" dr="$A$1:$XFD$9" dn="Z_1E5198E1_BA46_4CE0_8628_4F695B0D7A3B_.wvu.Rows" sId="6"/>
    <rfmt sheetId="6" xfDxf="1" sqref="A1:XFD1" start="0" length="0">
      <dxf>
        <font/>
      </dxf>
    </rfmt>
    <rfmt sheetId="6" sqref="A1" start="0" length="0">
      <dxf/>
    </rfmt>
    <rfmt sheetId="6" sqref="B1" start="0" length="0">
      <dxf>
        <numFmt numFmtId="167" formatCode="#,##0.0"/>
      </dxf>
    </rfmt>
    <rfmt sheetId="6" sqref="C1" start="0" length="0">
      <dxf>
        <numFmt numFmtId="167" formatCode="#,##0.0"/>
      </dxf>
    </rfmt>
    <rfmt sheetId="6" sqref="D1" start="0" length="0">
      <dxf>
        <numFmt numFmtId="167" formatCode="#,##0.0"/>
      </dxf>
    </rfmt>
    <rfmt sheetId="6" s="1" sqref="E1" start="0" length="0">
      <dxf>
        <numFmt numFmtId="13" formatCode="0%"/>
      </dxf>
    </rfmt>
    <rfmt sheetId="6" sqref="F1" start="0" length="0">
      <dxf>
        <numFmt numFmtId="167" formatCode="#,##0.0"/>
      </dxf>
    </rfmt>
    <rfmt sheetId="6" s="1" sqref="H1" start="0" length="0">
      <dxf>
        <numFmt numFmtId="13" formatCode="0%"/>
      </dxf>
    </rfmt>
  </rrc>
  <rrc rId="36012" sId="6" ref="A1:XFD1" action="deleteRow">
    <undo index="2" exp="area" ref3D="1" dr="$A$1:$XFD$8" dn="Z_78CA186D_B240_44D5_8A24_D241DE0B0FD9_.wvu.Rows" sId="6"/>
    <undo index="2" exp="area" ref3D="1" dr="$A$1:$XFD$8" dn="Z_F784130D_F647_4ABA_8943_C79CA5B0FDC4_.wvu.Rows" sId="6"/>
    <undo index="2" exp="area" ref3D="1" dr="$A$1:$XFD$8" dn="Z_E44F5FE1_54FC_4AB3_84F9_7D65ACF2DDE7_.wvu.Rows" sId="6"/>
    <undo index="2" exp="area" ref3D="1" dr="$A$1:$XFD$8" dn="Z_AEFEB150_9213_45F5_A178_7AC71E46DB11_.wvu.Rows" sId="6"/>
    <undo index="2" exp="area" ref3D="1" dr="$A$1:$XFD$8" dn="Z_9D4F0482_B164_4671_805A_E0D2D4DD4720_.wvu.Rows" sId="6"/>
    <undo index="2" exp="area" ref3D="1" dr="$A$1:$XFD$8" dn="Z_94DA13B6_7351_40F3_8CF7_A4211EC439DA_.wvu.Rows" sId="6"/>
    <undo index="2" exp="area" ref3D="1" dr="$A$1:$XFD$8" dn="Z_8F508F4D_4777_42BE_9707_8CB9355F7BDB_.wvu.Rows" sId="6"/>
    <undo index="2" exp="area" ref3D="1" dr="$A$1:$XFD$8" dn="Z_567C3053_2D8E_4705_8DC7_18896C5303CA_.wvu.Rows" sId="6"/>
    <undo index="2" exp="area" ref3D="1" dr="$A$1:$XFD$8" dn="Z_455630F5_40FC_47DB_8AD4_712C20B8FB91_.wvu.Rows" sId="6"/>
    <undo index="2" exp="area" ref3D="1" dr="$A$1:$XFD$8" dn="Z_1E5198E1_BA46_4CE0_8628_4F695B0D7A3B_.wvu.Rows" sId="6"/>
    <rfmt sheetId="6" xfDxf="1" sqref="A1:XFD1" start="0" length="0">
      <dxf>
        <font/>
      </dxf>
    </rfmt>
    <rfmt sheetId="6" sqref="A1" start="0" length="0">
      <dxf/>
    </rfmt>
    <rfmt sheetId="6" sqref="B1" start="0" length="0">
      <dxf>
        <numFmt numFmtId="167" formatCode="#,##0.0"/>
      </dxf>
    </rfmt>
    <rfmt sheetId="6" sqref="C1" start="0" length="0">
      <dxf>
        <numFmt numFmtId="167" formatCode="#,##0.0"/>
      </dxf>
    </rfmt>
    <rfmt sheetId="6" sqref="D1" start="0" length="0">
      <dxf>
        <numFmt numFmtId="167" formatCode="#,##0.0"/>
      </dxf>
    </rfmt>
    <rfmt sheetId="6" s="1" sqref="E1" start="0" length="0">
      <dxf>
        <numFmt numFmtId="13" formatCode="0%"/>
      </dxf>
    </rfmt>
    <rfmt sheetId="6" sqref="F1" start="0" length="0">
      <dxf>
        <numFmt numFmtId="167" formatCode="#,##0.0"/>
      </dxf>
    </rfmt>
    <rfmt sheetId="6" s="1" sqref="H1" start="0" length="0">
      <dxf>
        <numFmt numFmtId="13" formatCode="0%"/>
      </dxf>
    </rfmt>
  </rrc>
  <rrc rId="36013" sId="6" ref="A1:XFD1" action="deleteRow">
    <undo index="2" exp="area" ref3D="1" dr="$A$1:$XFD$7" dn="Z_78CA186D_B240_44D5_8A24_D241DE0B0FD9_.wvu.Rows" sId="6"/>
    <undo index="2" exp="area" ref3D="1" dr="$A$1:$XFD$7" dn="Z_F784130D_F647_4ABA_8943_C79CA5B0FDC4_.wvu.Rows" sId="6"/>
    <undo index="2" exp="area" ref3D="1" dr="$A$1:$XFD$7" dn="Z_E44F5FE1_54FC_4AB3_84F9_7D65ACF2DDE7_.wvu.Rows" sId="6"/>
    <undo index="2" exp="area" ref3D="1" dr="$A$1:$XFD$7" dn="Z_AEFEB150_9213_45F5_A178_7AC71E46DB11_.wvu.Rows" sId="6"/>
    <undo index="2" exp="area" ref3D="1" dr="$A$1:$XFD$7" dn="Z_9D4F0482_B164_4671_805A_E0D2D4DD4720_.wvu.Rows" sId="6"/>
    <undo index="2" exp="area" ref3D="1" dr="$A$1:$XFD$7" dn="Z_94DA13B6_7351_40F3_8CF7_A4211EC439DA_.wvu.Rows" sId="6"/>
    <undo index="2" exp="area" ref3D="1" dr="$A$1:$XFD$7" dn="Z_8F508F4D_4777_42BE_9707_8CB9355F7BDB_.wvu.Rows" sId="6"/>
    <undo index="2" exp="area" ref3D="1" dr="$A$1:$XFD$7" dn="Z_567C3053_2D8E_4705_8DC7_18896C5303CA_.wvu.Rows" sId="6"/>
    <undo index="2" exp="area" ref3D="1" dr="$A$1:$XFD$7" dn="Z_455630F5_40FC_47DB_8AD4_712C20B8FB91_.wvu.Rows" sId="6"/>
    <undo index="2" exp="area" ref3D="1" dr="$A$1:$XFD$7" dn="Z_1E5198E1_BA46_4CE0_8628_4F695B0D7A3B_.wvu.Rows" sId="6"/>
    <rfmt sheetId="6" xfDxf="1" sqref="A1:XFD1" start="0" length="0">
      <dxf>
        <font/>
      </dxf>
    </rfmt>
    <rfmt sheetId="6" sqref="A1" start="0" length="0">
      <dxf/>
    </rfmt>
    <rfmt sheetId="6" sqref="B1" start="0" length="0">
      <dxf>
        <numFmt numFmtId="167" formatCode="#,##0.0"/>
      </dxf>
    </rfmt>
    <rfmt sheetId="6" sqref="C1" start="0" length="0">
      <dxf>
        <numFmt numFmtId="167" formatCode="#,##0.0"/>
      </dxf>
    </rfmt>
    <rfmt sheetId="6" sqref="D1" start="0" length="0">
      <dxf>
        <numFmt numFmtId="167" formatCode="#,##0.0"/>
      </dxf>
    </rfmt>
    <rfmt sheetId="6" s="1" sqref="E1" start="0" length="0">
      <dxf>
        <numFmt numFmtId="13" formatCode="0%"/>
      </dxf>
    </rfmt>
    <rfmt sheetId="6" sqref="F1" start="0" length="0">
      <dxf>
        <numFmt numFmtId="167" formatCode="#,##0.0"/>
      </dxf>
    </rfmt>
    <rfmt sheetId="6" s="1" sqref="H1" start="0" length="0">
      <dxf>
        <numFmt numFmtId="13" formatCode="0%"/>
      </dxf>
    </rfmt>
  </rrc>
  <rrc rId="36014" sId="6" ref="A1:XFD1" action="deleteRow">
    <undo index="2" exp="area" ref3D="1" dr="$A$1:$XFD$6" dn="Z_78CA186D_B240_44D5_8A24_D241DE0B0FD9_.wvu.Rows" sId="6"/>
    <undo index="2" exp="area" ref3D="1" dr="$A$1:$XFD$6" dn="Z_F784130D_F647_4ABA_8943_C79CA5B0FDC4_.wvu.Rows" sId="6"/>
    <undo index="2" exp="area" ref3D="1" dr="$A$1:$XFD$6" dn="Z_E44F5FE1_54FC_4AB3_84F9_7D65ACF2DDE7_.wvu.Rows" sId="6"/>
    <undo index="2" exp="area" ref3D="1" dr="$A$1:$XFD$6" dn="Z_AEFEB150_9213_45F5_A178_7AC71E46DB11_.wvu.Rows" sId="6"/>
    <undo index="2" exp="area" ref3D="1" dr="$A$1:$XFD$6" dn="Z_9D4F0482_B164_4671_805A_E0D2D4DD4720_.wvu.Rows" sId="6"/>
    <undo index="2" exp="area" ref3D="1" dr="$A$1:$XFD$6" dn="Z_94DA13B6_7351_40F3_8CF7_A4211EC439DA_.wvu.Rows" sId="6"/>
    <undo index="2" exp="area" ref3D="1" dr="$A$1:$XFD$6" dn="Z_8F508F4D_4777_42BE_9707_8CB9355F7BDB_.wvu.Rows" sId="6"/>
    <undo index="2" exp="area" ref3D="1" dr="$A$1:$XFD$6" dn="Z_567C3053_2D8E_4705_8DC7_18896C5303CA_.wvu.Rows" sId="6"/>
    <undo index="2" exp="area" ref3D="1" dr="$A$1:$XFD$6" dn="Z_455630F5_40FC_47DB_8AD4_712C20B8FB91_.wvu.Rows" sId="6"/>
    <undo index="2" exp="area" ref3D="1" dr="$A$1:$XFD$6" dn="Z_1E5198E1_BA46_4CE0_8628_4F695B0D7A3B_.wvu.Rows" sId="6"/>
    <rfmt sheetId="6" xfDxf="1" sqref="A1:XFD1" start="0" length="0">
      <dxf>
        <font/>
      </dxf>
    </rfmt>
    <rfmt sheetId="6" sqref="A1" start="0" length="0">
      <dxf/>
    </rfmt>
    <rfmt sheetId="6" sqref="B1" start="0" length="0">
      <dxf>
        <numFmt numFmtId="167" formatCode="#,##0.0"/>
      </dxf>
    </rfmt>
    <rfmt sheetId="6" sqref="C1" start="0" length="0">
      <dxf>
        <numFmt numFmtId="167" formatCode="#,##0.0"/>
      </dxf>
    </rfmt>
    <rfmt sheetId="6" sqref="D1" start="0" length="0">
      <dxf>
        <numFmt numFmtId="167" formatCode="#,##0.0"/>
      </dxf>
    </rfmt>
    <rfmt sheetId="6" s="1" sqref="E1" start="0" length="0">
      <dxf>
        <numFmt numFmtId="13" formatCode="0%"/>
      </dxf>
    </rfmt>
    <rfmt sheetId="6" sqref="F1" start="0" length="0">
      <dxf>
        <numFmt numFmtId="167" formatCode="#,##0.0"/>
      </dxf>
    </rfmt>
    <rfmt sheetId="6" s="1" sqref="H1" start="0" length="0">
      <dxf>
        <numFmt numFmtId="13" formatCode="0%"/>
      </dxf>
    </rfmt>
  </rrc>
  <rrc rId="36015" sId="6" ref="A1:XFD1" action="deleteRow">
    <undo index="2" exp="area" ref3D="1" dr="$A$1:$XFD$5" dn="Z_78CA186D_B240_44D5_8A24_D241DE0B0FD9_.wvu.Rows" sId="6"/>
    <undo index="2" exp="area" ref3D="1" dr="$A$1:$XFD$5" dn="Z_F784130D_F647_4ABA_8943_C79CA5B0FDC4_.wvu.Rows" sId="6"/>
    <undo index="2" exp="area" ref3D="1" dr="$A$1:$XFD$5" dn="Z_E44F5FE1_54FC_4AB3_84F9_7D65ACF2DDE7_.wvu.Rows" sId="6"/>
    <undo index="2" exp="area" ref3D="1" dr="$A$1:$XFD$5" dn="Z_AEFEB150_9213_45F5_A178_7AC71E46DB11_.wvu.Rows" sId="6"/>
    <undo index="2" exp="area" ref3D="1" dr="$A$1:$XFD$5" dn="Z_9D4F0482_B164_4671_805A_E0D2D4DD4720_.wvu.Rows" sId="6"/>
    <undo index="2" exp="area" ref3D="1" dr="$A$1:$XFD$5" dn="Z_94DA13B6_7351_40F3_8CF7_A4211EC439DA_.wvu.Rows" sId="6"/>
    <undo index="2" exp="area" ref3D="1" dr="$A$1:$XFD$5" dn="Z_8F508F4D_4777_42BE_9707_8CB9355F7BDB_.wvu.Rows" sId="6"/>
    <undo index="2" exp="area" ref3D="1" dr="$A$1:$XFD$5" dn="Z_567C3053_2D8E_4705_8DC7_18896C5303CA_.wvu.Rows" sId="6"/>
    <undo index="2" exp="area" ref3D="1" dr="$A$1:$XFD$5" dn="Z_455630F5_40FC_47DB_8AD4_712C20B8FB91_.wvu.Rows" sId="6"/>
    <undo index="2" exp="area" ref3D="1" dr="$A$1:$XFD$5" dn="Z_1E5198E1_BA46_4CE0_8628_4F695B0D7A3B_.wvu.Rows" sId="6"/>
    <rfmt sheetId="6" xfDxf="1" sqref="A1:XFD1" start="0" length="0">
      <dxf>
        <font/>
      </dxf>
    </rfmt>
    <rfmt sheetId="6" sqref="A1" start="0" length="0">
      <dxf/>
    </rfmt>
    <rfmt sheetId="6" sqref="B1" start="0" length="0">
      <dxf>
        <numFmt numFmtId="167" formatCode="#,##0.0"/>
      </dxf>
    </rfmt>
    <rfmt sheetId="6" sqref="C1" start="0" length="0">
      <dxf>
        <numFmt numFmtId="167" formatCode="#,##0.0"/>
      </dxf>
    </rfmt>
    <rfmt sheetId="6" sqref="D1" start="0" length="0">
      <dxf>
        <numFmt numFmtId="167" formatCode="#,##0.0"/>
      </dxf>
    </rfmt>
    <rfmt sheetId="6" s="1" sqref="E1" start="0" length="0">
      <dxf>
        <numFmt numFmtId="13" formatCode="0%"/>
      </dxf>
    </rfmt>
    <rfmt sheetId="6" sqref="F1" start="0" length="0">
      <dxf>
        <numFmt numFmtId="167" formatCode="#,##0.0"/>
      </dxf>
    </rfmt>
    <rfmt sheetId="6" s="1" sqref="H1" start="0" length="0">
      <dxf>
        <numFmt numFmtId="13" formatCode="0%"/>
      </dxf>
    </rfmt>
  </rrc>
  <rrc rId="36016" sId="6" ref="A1:XFD1" action="deleteRow">
    <undo index="2" exp="area" ref3D="1" dr="$A$1:$XFD$4" dn="Z_78CA186D_B240_44D5_8A24_D241DE0B0FD9_.wvu.Rows" sId="6"/>
    <undo index="2" exp="area" ref3D="1" dr="$A$1:$XFD$4" dn="Z_F784130D_F647_4ABA_8943_C79CA5B0FDC4_.wvu.Rows" sId="6"/>
    <undo index="2" exp="area" ref3D="1" dr="$A$1:$XFD$4" dn="Z_E44F5FE1_54FC_4AB3_84F9_7D65ACF2DDE7_.wvu.Rows" sId="6"/>
    <undo index="2" exp="area" ref3D="1" dr="$A$1:$XFD$4" dn="Z_AEFEB150_9213_45F5_A178_7AC71E46DB11_.wvu.Rows" sId="6"/>
    <undo index="2" exp="area" ref3D="1" dr="$A$1:$XFD$4" dn="Z_9D4F0482_B164_4671_805A_E0D2D4DD4720_.wvu.Rows" sId="6"/>
    <undo index="2" exp="area" ref3D="1" dr="$A$1:$XFD$4" dn="Z_94DA13B6_7351_40F3_8CF7_A4211EC439DA_.wvu.Rows" sId="6"/>
    <undo index="2" exp="area" ref3D="1" dr="$A$1:$XFD$4" dn="Z_8F508F4D_4777_42BE_9707_8CB9355F7BDB_.wvu.Rows" sId="6"/>
    <undo index="2" exp="area" ref3D="1" dr="$A$1:$XFD$4" dn="Z_567C3053_2D8E_4705_8DC7_18896C5303CA_.wvu.Rows" sId="6"/>
    <undo index="2" exp="area" ref3D="1" dr="$A$1:$XFD$4" dn="Z_455630F5_40FC_47DB_8AD4_712C20B8FB91_.wvu.Rows" sId="6"/>
    <undo index="2" exp="area" ref3D="1" dr="$A$1:$XFD$4" dn="Z_1E5198E1_BA46_4CE0_8628_4F695B0D7A3B_.wvu.Rows" sId="6"/>
    <rfmt sheetId="6" xfDxf="1" sqref="A1:XFD1" start="0" length="0">
      <dxf>
        <font/>
      </dxf>
    </rfmt>
    <rfmt sheetId="6" sqref="A1" start="0" length="0">
      <dxf/>
    </rfmt>
    <rfmt sheetId="6" sqref="B1" start="0" length="0">
      <dxf>
        <numFmt numFmtId="167" formatCode="#,##0.0"/>
      </dxf>
    </rfmt>
    <rfmt sheetId="6" sqref="C1" start="0" length="0">
      <dxf>
        <numFmt numFmtId="167" formatCode="#,##0.0"/>
      </dxf>
    </rfmt>
    <rfmt sheetId="6" sqref="D1" start="0" length="0">
      <dxf>
        <numFmt numFmtId="167" formatCode="#,##0.0"/>
      </dxf>
    </rfmt>
    <rfmt sheetId="6" s="1" sqref="E1" start="0" length="0">
      <dxf>
        <numFmt numFmtId="13" formatCode="0%"/>
      </dxf>
    </rfmt>
    <rfmt sheetId="6" sqref="F1" start="0" length="0">
      <dxf>
        <numFmt numFmtId="167" formatCode="#,##0.0"/>
      </dxf>
    </rfmt>
    <rfmt sheetId="6" s="1" sqref="H1" start="0" length="0">
      <dxf>
        <numFmt numFmtId="13" formatCode="0%"/>
      </dxf>
    </rfmt>
  </rrc>
  <rrc rId="36017" sId="6" ref="A1:XFD1" action="deleteRow">
    <undo index="2" exp="area" ref3D="1" dr="$A$1:$XFD$3" dn="Z_78CA186D_B240_44D5_8A24_D241DE0B0FD9_.wvu.Rows" sId="6"/>
    <undo index="2" exp="area" ref3D="1" dr="$A$1:$XFD$3" dn="Z_F784130D_F647_4ABA_8943_C79CA5B0FDC4_.wvu.Rows" sId="6"/>
    <undo index="2" exp="area" ref3D="1" dr="$A$1:$XFD$3" dn="Z_E44F5FE1_54FC_4AB3_84F9_7D65ACF2DDE7_.wvu.Rows" sId="6"/>
    <undo index="2" exp="area" ref3D="1" dr="$A$1:$XFD$3" dn="Z_AEFEB150_9213_45F5_A178_7AC71E46DB11_.wvu.Rows" sId="6"/>
    <undo index="2" exp="area" ref3D="1" dr="$A$1:$XFD$3" dn="Z_9D4F0482_B164_4671_805A_E0D2D4DD4720_.wvu.Rows" sId="6"/>
    <undo index="2" exp="area" ref3D="1" dr="$A$1:$XFD$3" dn="Z_94DA13B6_7351_40F3_8CF7_A4211EC439DA_.wvu.Rows" sId="6"/>
    <undo index="2" exp="area" ref3D="1" dr="$A$1:$XFD$3" dn="Z_8F508F4D_4777_42BE_9707_8CB9355F7BDB_.wvu.Rows" sId="6"/>
    <undo index="2" exp="area" ref3D="1" dr="$A$1:$XFD$3" dn="Z_567C3053_2D8E_4705_8DC7_18896C5303CA_.wvu.Rows" sId="6"/>
    <undo index="2" exp="area" ref3D="1" dr="$A$1:$XFD$3" dn="Z_455630F5_40FC_47DB_8AD4_712C20B8FB91_.wvu.Rows" sId="6"/>
    <undo index="2" exp="area" ref3D="1" dr="$A$1:$XFD$3" dn="Z_1E5198E1_BA46_4CE0_8628_4F695B0D7A3B_.wvu.Rows" sId="6"/>
    <rfmt sheetId="6" xfDxf="1" sqref="A1:XFD1" start="0" length="0">
      <dxf>
        <font/>
      </dxf>
    </rfmt>
    <rfmt sheetId="6" sqref="A1" start="0" length="0">
      <dxf/>
    </rfmt>
    <rfmt sheetId="6" sqref="B1" start="0" length="0">
      <dxf>
        <numFmt numFmtId="167" formatCode="#,##0.0"/>
      </dxf>
    </rfmt>
    <rfmt sheetId="6" sqref="C1" start="0" length="0">
      <dxf>
        <numFmt numFmtId="167" formatCode="#,##0.0"/>
      </dxf>
    </rfmt>
    <rfmt sheetId="6" sqref="D1" start="0" length="0">
      <dxf>
        <numFmt numFmtId="167" formatCode="#,##0.0"/>
      </dxf>
    </rfmt>
    <rfmt sheetId="6" s="1" sqref="E1" start="0" length="0">
      <dxf>
        <numFmt numFmtId="13" formatCode="0%"/>
      </dxf>
    </rfmt>
    <rfmt sheetId="6" sqref="F1" start="0" length="0">
      <dxf>
        <numFmt numFmtId="167" formatCode="#,##0.0"/>
      </dxf>
    </rfmt>
    <rfmt sheetId="6" s="1" sqref="H1" start="0" length="0">
      <dxf>
        <numFmt numFmtId="13" formatCode="0%"/>
      </dxf>
    </rfmt>
  </rrc>
  <rrc rId="36018" sId="6" ref="A1:XFD1" action="deleteRow">
    <undo index="2" exp="area" ref3D="1" dr="$A$1:$XFD$2" dn="Z_78CA186D_B240_44D5_8A24_D241DE0B0FD9_.wvu.Rows" sId="6"/>
    <undo index="2" exp="area" ref3D="1" dr="$A$1:$XFD$2" dn="Z_F784130D_F647_4ABA_8943_C79CA5B0FDC4_.wvu.Rows" sId="6"/>
    <undo index="2" exp="area" ref3D="1" dr="$A$1:$XFD$2" dn="Z_E44F5FE1_54FC_4AB3_84F9_7D65ACF2DDE7_.wvu.Rows" sId="6"/>
    <undo index="2" exp="area" ref3D="1" dr="$A$1:$XFD$2" dn="Z_AEFEB150_9213_45F5_A178_7AC71E46DB11_.wvu.Rows" sId="6"/>
    <undo index="2" exp="area" ref3D="1" dr="$A$1:$XFD$2" dn="Z_9D4F0482_B164_4671_805A_E0D2D4DD4720_.wvu.Rows" sId="6"/>
    <undo index="2" exp="area" ref3D="1" dr="$A$1:$XFD$2" dn="Z_94DA13B6_7351_40F3_8CF7_A4211EC439DA_.wvu.Rows" sId="6"/>
    <undo index="2" exp="area" ref3D="1" dr="$A$1:$XFD$2" dn="Z_8F508F4D_4777_42BE_9707_8CB9355F7BDB_.wvu.Rows" sId="6"/>
    <undo index="2" exp="area" ref3D="1" dr="$A$1:$XFD$2" dn="Z_567C3053_2D8E_4705_8DC7_18896C5303CA_.wvu.Rows" sId="6"/>
    <undo index="2" exp="area" ref3D="1" dr="$A$1:$XFD$2" dn="Z_455630F5_40FC_47DB_8AD4_712C20B8FB91_.wvu.Rows" sId="6"/>
    <undo index="2" exp="area" ref3D="1" dr="$A$1:$XFD$2" dn="Z_1E5198E1_BA46_4CE0_8628_4F695B0D7A3B_.wvu.Rows" sId="6"/>
    <rfmt sheetId="6" xfDxf="1" sqref="A1:XFD1" start="0" length="0">
      <dxf>
        <font/>
      </dxf>
    </rfmt>
    <rfmt sheetId="6" sqref="A1" start="0" length="0">
      <dxf/>
    </rfmt>
    <rfmt sheetId="6" sqref="B1" start="0" length="0">
      <dxf>
        <numFmt numFmtId="167" formatCode="#,##0.0"/>
      </dxf>
    </rfmt>
    <rfmt sheetId="6" sqref="C1" start="0" length="0">
      <dxf>
        <numFmt numFmtId="167" formatCode="#,##0.0"/>
      </dxf>
    </rfmt>
    <rfmt sheetId="6" sqref="D1" start="0" length="0">
      <dxf>
        <numFmt numFmtId="167" formatCode="#,##0.0"/>
      </dxf>
    </rfmt>
    <rfmt sheetId="6" s="1" sqref="E1" start="0" length="0">
      <dxf>
        <numFmt numFmtId="13" formatCode="0%"/>
      </dxf>
    </rfmt>
    <rfmt sheetId="6" sqref="F1" start="0" length="0">
      <dxf>
        <numFmt numFmtId="167" formatCode="#,##0.0"/>
      </dxf>
    </rfmt>
    <rfmt sheetId="6" s="1" sqref="H1" start="0" length="0">
      <dxf>
        <numFmt numFmtId="13" formatCode="0%"/>
      </dxf>
    </rfmt>
  </rrc>
  <rrc rId="36019" sId="6" ref="A1:XFD1" action="deleteRow">
    <undo index="2" exp="area" ref3D="1" dr="$A$1:$XFD$1" dn="Z_78CA186D_B240_44D5_8A24_D241DE0B0FD9_.wvu.Rows" sId="6"/>
    <undo index="2" exp="area" ref3D="1" dr="$A$1:$XFD$1" dn="Z_F784130D_F647_4ABA_8943_C79CA5B0FDC4_.wvu.Rows" sId="6"/>
    <undo index="2" exp="area" ref3D="1" dr="$A$1:$XFD$1" dn="Z_E44F5FE1_54FC_4AB3_84F9_7D65ACF2DDE7_.wvu.Rows" sId="6"/>
    <undo index="2" exp="area" ref3D="1" dr="$A$1:$XFD$1" dn="Z_AEFEB150_9213_45F5_A178_7AC71E46DB11_.wvu.Rows" sId="6"/>
    <undo index="2" exp="area" ref3D="1" dr="$A$1:$XFD$1" dn="Z_9D4F0482_B164_4671_805A_E0D2D4DD4720_.wvu.Rows" sId="6"/>
    <undo index="2" exp="area" ref3D="1" dr="$A$1:$XFD$1" dn="Z_94DA13B6_7351_40F3_8CF7_A4211EC439DA_.wvu.Rows" sId="6"/>
    <undo index="2" exp="area" ref3D="1" dr="$A$1:$XFD$1" dn="Z_8F508F4D_4777_42BE_9707_8CB9355F7BDB_.wvu.Rows" sId="6"/>
    <undo index="2" exp="area" ref3D="1" dr="$A$1:$XFD$1" dn="Z_567C3053_2D8E_4705_8DC7_18896C5303CA_.wvu.Rows" sId="6"/>
    <undo index="2" exp="area" ref3D="1" dr="$A$1:$XFD$1" dn="Z_455630F5_40FC_47DB_8AD4_712C20B8FB91_.wvu.Rows" sId="6"/>
    <undo index="2" exp="area" ref3D="1" dr="$A$1:$XFD$1" dn="Z_1E5198E1_BA46_4CE0_8628_4F695B0D7A3B_.wvu.Rows" sId="6"/>
    <rfmt sheetId="6" xfDxf="1" sqref="A1:XFD1" start="0" length="0">
      <dxf>
        <font/>
      </dxf>
    </rfmt>
    <rfmt sheetId="6" sqref="B1" start="0" length="0">
      <dxf>
        <font>
          <b/>
        </font>
        <numFmt numFmtId="167" formatCode="#,##0.0"/>
      </dxf>
    </rfmt>
    <rfmt sheetId="6" sqref="C1" start="0" length="0">
      <dxf>
        <font>
          <b/>
        </font>
        <numFmt numFmtId="167" formatCode="#,##0.0"/>
      </dxf>
    </rfmt>
    <rfmt sheetId="6" sqref="D1" start="0" length="0">
      <dxf>
        <font>
          <b/>
        </font>
        <numFmt numFmtId="167" formatCode="#,##0.0"/>
      </dxf>
    </rfmt>
    <rfmt sheetId="6" s="1" sqref="E1" start="0" length="0">
      <dxf>
        <numFmt numFmtId="13" formatCode="0%"/>
      </dxf>
    </rfmt>
    <rfmt sheetId="6" sqref="F1" start="0" length="0">
      <dxf>
        <font>
          <b/>
        </font>
        <numFmt numFmtId="167" formatCode="#,##0.0"/>
      </dxf>
    </rfmt>
    <rfmt sheetId="6" s="1" sqref="H1" start="0" length="0">
      <dxf>
        <numFmt numFmtId="13" formatCode="0%"/>
      </dxf>
    </rfmt>
  </rrc>
  <rrc rId="36020" sId="6" ref="A1:XFD1" action="deleteRow">
    <rfmt sheetId="6" xfDxf="1" sqref="A1:XFD1" start="0" length="0">
      <dxf>
        <font>
          <b/>
        </font>
        <fill>
          <patternFill patternType="solid">
            <bgColor theme="0" tint="-0.249977111117893"/>
          </patternFill>
        </fill>
      </dxf>
    </rfmt>
    <rfmt sheetId="6" sqref="B1" start="0" length="0">
      <dxf>
        <numFmt numFmtId="3" formatCode="#,##0"/>
      </dxf>
    </rfmt>
    <rfmt sheetId="6" sqref="C1" start="0" length="0">
      <dxf>
        <numFmt numFmtId="3" formatCode="#,##0"/>
      </dxf>
    </rfmt>
    <rfmt sheetId="6" sqref="D1" start="0" length="0">
      <dxf>
        <numFmt numFmtId="3" formatCode="#,##0"/>
      </dxf>
    </rfmt>
    <rfmt sheetId="6" s="1" sqref="E1" start="0" length="0">
      <dxf>
        <numFmt numFmtId="13" formatCode="0%"/>
      </dxf>
    </rfmt>
    <rfmt sheetId="6" sqref="F1" start="0" length="0">
      <dxf>
        <numFmt numFmtId="3" formatCode="#,##0"/>
      </dxf>
    </rfmt>
    <rfmt sheetId="6" sqref="G1" start="0" length="0">
      <dxf>
        <numFmt numFmtId="3" formatCode="#,##0"/>
      </dxf>
    </rfmt>
    <rfmt sheetId="6" s="1" sqref="H1" start="0" length="0">
      <dxf>
        <numFmt numFmtId="13" formatCode="0%"/>
      </dxf>
    </rfmt>
    <rfmt sheetId="6" sqref="I1" start="0" length="0">
      <dxf>
        <numFmt numFmtId="3" formatCode="#,##0"/>
      </dxf>
    </rfmt>
    <rfmt sheetId="6" sqref="J1" start="0" length="0">
      <dxf>
        <numFmt numFmtId="3" formatCode="#,##0"/>
      </dxf>
    </rfmt>
  </rrc>
  <rrc rId="36021"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1" sqref="E1" start="0" length="0">
      <dxf>
        <numFmt numFmtId="13" formatCode="0%"/>
      </dxf>
    </rfmt>
    <rfmt sheetId="6" sqref="F1" start="0" length="0">
      <dxf>
        <numFmt numFmtId="167" formatCode="#,##0.0"/>
      </dxf>
    </rfmt>
    <rfmt sheetId="6" s="1" sqref="H1" start="0" length="0">
      <dxf>
        <numFmt numFmtId="13" formatCode="0%"/>
      </dxf>
    </rfmt>
  </rrc>
  <rrc rId="36022"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1" sqref="E1" start="0" length="0">
      <dxf>
        <numFmt numFmtId="13" formatCode="0%"/>
      </dxf>
    </rfmt>
    <rfmt sheetId="6" sqref="F1" start="0" length="0">
      <dxf>
        <numFmt numFmtId="167" formatCode="#,##0.0"/>
      </dxf>
    </rfmt>
    <rfmt sheetId="6" s="1" sqref="H1" start="0" length="0">
      <dxf>
        <numFmt numFmtId="13" formatCode="0%"/>
      </dxf>
    </rfmt>
  </rrc>
  <rrc rId="36023"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1" sqref="E1" start="0" length="0">
      <dxf>
        <numFmt numFmtId="13" formatCode="0%"/>
      </dxf>
    </rfmt>
    <rfmt sheetId="6" sqref="F1" start="0" length="0">
      <dxf>
        <numFmt numFmtId="167" formatCode="#,##0.0"/>
      </dxf>
    </rfmt>
    <rfmt sheetId="6" s="1" sqref="H1" start="0" length="0">
      <dxf>
        <numFmt numFmtId="13" formatCode="0%"/>
      </dxf>
    </rfmt>
  </rrc>
  <rrc rId="36024"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1" sqref="E1" start="0" length="0">
      <dxf>
        <numFmt numFmtId="13" formatCode="0%"/>
      </dxf>
    </rfmt>
    <rfmt sheetId="6" sqref="F1" start="0" length="0">
      <dxf>
        <numFmt numFmtId="167" formatCode="#,##0.0"/>
      </dxf>
    </rfmt>
    <rfmt sheetId="6" s="1" sqref="H1" start="0" length="0">
      <dxf>
        <numFmt numFmtId="13" formatCode="0%"/>
      </dxf>
    </rfmt>
  </rrc>
  <rrc rId="36025"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1" sqref="E1" start="0" length="0">
      <dxf>
        <numFmt numFmtId="13" formatCode="0%"/>
      </dxf>
    </rfmt>
    <rfmt sheetId="6" sqref="F1" start="0" length="0">
      <dxf>
        <numFmt numFmtId="167" formatCode="#,##0.0"/>
      </dxf>
    </rfmt>
    <rfmt sheetId="6" s="1" sqref="H1" start="0" length="0">
      <dxf>
        <numFmt numFmtId="13" formatCode="0%"/>
      </dxf>
    </rfmt>
  </rrc>
  <rrc rId="36026"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1" sqref="E1" start="0" length="0">
      <dxf>
        <numFmt numFmtId="13" formatCode="0%"/>
      </dxf>
    </rfmt>
    <rfmt sheetId="6" sqref="F1" start="0" length="0">
      <dxf>
        <numFmt numFmtId="167" formatCode="#,##0.0"/>
      </dxf>
    </rfmt>
    <rfmt sheetId="6" s="1" sqref="H1" start="0" length="0">
      <dxf>
        <numFmt numFmtId="13" formatCode="0%"/>
      </dxf>
    </rfmt>
  </rrc>
  <rrc rId="36027"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1" sqref="E1" start="0" length="0">
      <dxf>
        <numFmt numFmtId="13" formatCode="0%"/>
      </dxf>
    </rfmt>
    <rfmt sheetId="6" sqref="F1" start="0" length="0">
      <dxf>
        <numFmt numFmtId="167" formatCode="#,##0.0"/>
      </dxf>
    </rfmt>
    <rfmt sheetId="6" s="1" sqref="H1" start="0" length="0">
      <dxf>
        <numFmt numFmtId="13" formatCode="0%"/>
      </dxf>
    </rfmt>
  </rrc>
  <rrc rId="36028"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1" sqref="E1" start="0" length="0">
      <dxf>
        <numFmt numFmtId="13" formatCode="0%"/>
      </dxf>
    </rfmt>
    <rfmt sheetId="6" sqref="F1" start="0" length="0">
      <dxf>
        <numFmt numFmtId="167" formatCode="#,##0.0"/>
      </dxf>
    </rfmt>
    <rfmt sheetId="6" s="1" sqref="H1" start="0" length="0">
      <dxf>
        <numFmt numFmtId="13" formatCode="0%"/>
      </dxf>
    </rfmt>
  </rrc>
  <rrc rId="36029"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1" sqref="E1" start="0" length="0">
      <dxf>
        <numFmt numFmtId="13" formatCode="0%"/>
      </dxf>
    </rfmt>
    <rfmt sheetId="6" sqref="F1" start="0" length="0">
      <dxf>
        <numFmt numFmtId="167" formatCode="#,##0.0"/>
      </dxf>
    </rfmt>
    <rfmt sheetId="6" s="1" sqref="H1" start="0" length="0">
      <dxf>
        <numFmt numFmtId="13" formatCode="0%"/>
      </dxf>
    </rfmt>
  </rrc>
  <rrc rId="36030"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1" sqref="E1" start="0" length="0">
      <dxf>
        <numFmt numFmtId="13" formatCode="0%"/>
      </dxf>
    </rfmt>
    <rfmt sheetId="6" sqref="F1" start="0" length="0">
      <dxf>
        <numFmt numFmtId="167" formatCode="#,##0.0"/>
      </dxf>
    </rfmt>
    <rfmt sheetId="6" s="1" sqref="H1" start="0" length="0">
      <dxf>
        <numFmt numFmtId="13" formatCode="0%"/>
      </dxf>
    </rfmt>
  </rrc>
  <rrc rId="36031"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1" sqref="E1" start="0" length="0">
      <dxf>
        <numFmt numFmtId="13" formatCode="0%"/>
      </dxf>
    </rfmt>
    <rfmt sheetId="6" sqref="F1" start="0" length="0">
      <dxf>
        <numFmt numFmtId="167" formatCode="#,##0.0"/>
      </dxf>
    </rfmt>
    <rfmt sheetId="6" s="1" sqref="H1" start="0" length="0">
      <dxf>
        <numFmt numFmtId="13" formatCode="0%"/>
      </dxf>
    </rfmt>
  </rrc>
  <rrc rId="36032"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1" sqref="E1" start="0" length="0">
      <dxf>
        <numFmt numFmtId="13" formatCode="0%"/>
      </dxf>
    </rfmt>
    <rfmt sheetId="6" sqref="F1" start="0" length="0">
      <dxf>
        <numFmt numFmtId="167" formatCode="#,##0.0"/>
      </dxf>
    </rfmt>
    <rfmt sheetId="6" s="1" sqref="H1" start="0" length="0">
      <dxf>
        <numFmt numFmtId="13" formatCode="0%"/>
      </dxf>
    </rfmt>
  </rrc>
  <rrc rId="36033"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1" sqref="E1" start="0" length="0">
      <dxf>
        <numFmt numFmtId="13" formatCode="0%"/>
      </dxf>
    </rfmt>
    <rfmt sheetId="6" sqref="F1" start="0" length="0">
      <dxf>
        <numFmt numFmtId="167" formatCode="#,##0.0"/>
      </dxf>
    </rfmt>
    <rfmt sheetId="6" s="1" sqref="H1" start="0" length="0">
      <dxf>
        <numFmt numFmtId="13" formatCode="0%"/>
      </dxf>
    </rfmt>
  </rrc>
  <rrc rId="36034"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1" sqref="E1" start="0" length="0">
      <dxf>
        <numFmt numFmtId="13" formatCode="0%"/>
      </dxf>
    </rfmt>
    <rfmt sheetId="6" sqref="F1" start="0" length="0">
      <dxf>
        <numFmt numFmtId="167" formatCode="#,##0.0"/>
      </dxf>
    </rfmt>
    <rfmt sheetId="6" s="1" sqref="H1" start="0" length="0">
      <dxf>
        <numFmt numFmtId="13" formatCode="0%"/>
      </dxf>
    </rfmt>
  </rrc>
  <rrc rId="36035"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1" sqref="E1" start="0" length="0">
      <dxf>
        <numFmt numFmtId="13" formatCode="0%"/>
      </dxf>
    </rfmt>
    <rfmt sheetId="6" sqref="F1" start="0" length="0">
      <dxf>
        <numFmt numFmtId="167" formatCode="#,##0.0"/>
      </dxf>
    </rfmt>
    <rfmt sheetId="6" s="1" sqref="H1" start="0" length="0">
      <dxf>
        <numFmt numFmtId="13" formatCode="0%"/>
      </dxf>
    </rfmt>
  </rrc>
  <rrc rId="36036"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1" sqref="E1" start="0" length="0">
      <dxf>
        <numFmt numFmtId="13" formatCode="0%"/>
      </dxf>
    </rfmt>
    <rfmt sheetId="6" sqref="F1" start="0" length="0">
      <dxf>
        <numFmt numFmtId="167" formatCode="#,##0.0"/>
      </dxf>
    </rfmt>
    <rfmt sheetId="6" s="1" sqref="H1" start="0" length="0">
      <dxf>
        <numFmt numFmtId="13" formatCode="0%"/>
      </dxf>
    </rfmt>
  </rrc>
  <rrc rId="36037"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1" sqref="E1" start="0" length="0">
      <dxf>
        <numFmt numFmtId="13" formatCode="0%"/>
      </dxf>
    </rfmt>
    <rfmt sheetId="6" sqref="F1" start="0" length="0">
      <dxf>
        <numFmt numFmtId="167" formatCode="#,##0.0"/>
      </dxf>
    </rfmt>
    <rfmt sheetId="6" s="1" sqref="H1" start="0" length="0">
      <dxf>
        <numFmt numFmtId="13" formatCode="0%"/>
      </dxf>
    </rfmt>
  </rrc>
  <rrc rId="36038"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1" sqref="E1" start="0" length="0">
      <dxf>
        <numFmt numFmtId="13" formatCode="0%"/>
      </dxf>
    </rfmt>
    <rfmt sheetId="6" sqref="F1" start="0" length="0">
      <dxf>
        <numFmt numFmtId="167" formatCode="#,##0.0"/>
      </dxf>
    </rfmt>
    <rfmt sheetId="6" s="1" sqref="H1" start="0" length="0">
      <dxf>
        <numFmt numFmtId="13" formatCode="0%"/>
      </dxf>
    </rfmt>
  </rrc>
  <rrc rId="36039"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1" sqref="E1" start="0" length="0">
      <dxf>
        <numFmt numFmtId="13" formatCode="0%"/>
      </dxf>
    </rfmt>
    <rfmt sheetId="6" sqref="F1" start="0" length="0">
      <dxf>
        <numFmt numFmtId="167" formatCode="#,##0.0"/>
      </dxf>
    </rfmt>
    <rfmt sheetId="6" s="1" sqref="H1" start="0" length="0">
      <dxf>
        <numFmt numFmtId="13" formatCode="0%"/>
      </dxf>
    </rfmt>
  </rrc>
  <rrc rId="36040"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1" sqref="E1" start="0" length="0">
      <dxf>
        <numFmt numFmtId="13" formatCode="0%"/>
      </dxf>
    </rfmt>
    <rfmt sheetId="6" sqref="F1" start="0" length="0">
      <dxf>
        <numFmt numFmtId="167" formatCode="#,##0.0"/>
      </dxf>
    </rfmt>
    <rfmt sheetId="6" s="1" sqref="H1" start="0" length="0">
      <dxf>
        <numFmt numFmtId="13" formatCode="0%"/>
      </dxf>
    </rfmt>
  </rrc>
  <rrc rId="36041"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1" sqref="E1" start="0" length="0">
      <dxf>
        <numFmt numFmtId="13" formatCode="0%"/>
      </dxf>
    </rfmt>
    <rfmt sheetId="6" sqref="F1" start="0" length="0">
      <dxf>
        <numFmt numFmtId="167" formatCode="#,##0.0"/>
      </dxf>
    </rfmt>
    <rfmt sheetId="6" s="1" sqref="H1" start="0" length="0">
      <dxf>
        <numFmt numFmtId="13" formatCode="0%"/>
      </dxf>
    </rfmt>
  </rrc>
  <rrc rId="36042"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1" sqref="E1" start="0" length="0">
      <dxf>
        <numFmt numFmtId="13" formatCode="0%"/>
      </dxf>
    </rfmt>
    <rfmt sheetId="6" sqref="F1" start="0" length="0">
      <dxf>
        <numFmt numFmtId="167" formatCode="#,##0.0"/>
      </dxf>
    </rfmt>
    <rfmt sheetId="6" s="1" sqref="H1" start="0" length="0">
      <dxf>
        <numFmt numFmtId="13" formatCode="0%"/>
      </dxf>
    </rfmt>
  </rrc>
  <rrc rId="36043"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1" sqref="E1" start="0" length="0">
      <dxf>
        <numFmt numFmtId="13" formatCode="0%"/>
      </dxf>
    </rfmt>
    <rfmt sheetId="6" sqref="F1" start="0" length="0">
      <dxf>
        <numFmt numFmtId="167" formatCode="#,##0.0"/>
      </dxf>
    </rfmt>
    <rfmt sheetId="6" s="1" sqref="H1" start="0" length="0">
      <dxf>
        <numFmt numFmtId="13" formatCode="0%"/>
      </dxf>
    </rfmt>
  </rrc>
  <rrc rId="36044"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1" sqref="E1" start="0" length="0">
      <dxf>
        <numFmt numFmtId="13" formatCode="0%"/>
      </dxf>
    </rfmt>
    <rfmt sheetId="6" sqref="F1" start="0" length="0">
      <dxf>
        <numFmt numFmtId="167" formatCode="#,##0.0"/>
      </dxf>
    </rfmt>
    <rfmt sheetId="6" s="1" sqref="H1" start="0" length="0">
      <dxf>
        <numFmt numFmtId="13" formatCode="0%"/>
      </dxf>
    </rfmt>
  </rrc>
  <rrc rId="36045"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1" sqref="E1" start="0" length="0">
      <dxf>
        <numFmt numFmtId="13" formatCode="0%"/>
      </dxf>
    </rfmt>
    <rfmt sheetId="6" sqref="F1" start="0" length="0">
      <dxf>
        <numFmt numFmtId="167" formatCode="#,##0.0"/>
      </dxf>
    </rfmt>
    <rfmt sheetId="6" s="1" sqref="H1" start="0" length="0">
      <dxf>
        <numFmt numFmtId="13" formatCode="0%"/>
      </dxf>
    </rfmt>
  </rrc>
  <rrc rId="36046"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1" sqref="E1" start="0" length="0">
      <dxf>
        <numFmt numFmtId="13" formatCode="0%"/>
      </dxf>
    </rfmt>
    <rfmt sheetId="6" sqref="F1" start="0" length="0">
      <dxf>
        <numFmt numFmtId="167" formatCode="#,##0.0"/>
      </dxf>
    </rfmt>
    <rfmt sheetId="6" s="1" sqref="H1" start="0" length="0">
      <dxf>
        <numFmt numFmtId="13" formatCode="0%"/>
      </dxf>
    </rfmt>
  </rrc>
  <rrc rId="36047"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1" sqref="E1" start="0" length="0">
      <dxf>
        <numFmt numFmtId="13" formatCode="0%"/>
      </dxf>
    </rfmt>
    <rfmt sheetId="6" sqref="F1" start="0" length="0">
      <dxf>
        <numFmt numFmtId="167" formatCode="#,##0.0"/>
      </dxf>
    </rfmt>
    <rfmt sheetId="6" s="1" sqref="H1" start="0" length="0">
      <dxf>
        <numFmt numFmtId="13" formatCode="0%"/>
      </dxf>
    </rfmt>
  </rrc>
  <rrc rId="36048"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1" sqref="E1" start="0" length="0">
      <dxf>
        <numFmt numFmtId="13" formatCode="0%"/>
      </dxf>
    </rfmt>
    <rfmt sheetId="6" sqref="F1" start="0" length="0">
      <dxf>
        <numFmt numFmtId="167" formatCode="#,##0.0"/>
      </dxf>
    </rfmt>
    <rfmt sheetId="6" s="1" sqref="H1" start="0" length="0">
      <dxf>
        <numFmt numFmtId="13" formatCode="0%"/>
      </dxf>
    </rfmt>
  </rrc>
  <rrc rId="36049"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1" sqref="E1" start="0" length="0">
      <dxf>
        <numFmt numFmtId="13" formatCode="0%"/>
      </dxf>
    </rfmt>
    <rfmt sheetId="6" sqref="F1" start="0" length="0">
      <dxf>
        <numFmt numFmtId="167" formatCode="#,##0.0"/>
      </dxf>
    </rfmt>
    <rfmt sheetId="6" s="1" sqref="H1" start="0" length="0">
      <dxf>
        <numFmt numFmtId="13" formatCode="0%"/>
      </dxf>
    </rfmt>
  </rrc>
  <rrc rId="36050"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1" sqref="E1" start="0" length="0">
      <dxf>
        <numFmt numFmtId="13" formatCode="0%"/>
      </dxf>
    </rfmt>
    <rfmt sheetId="6" sqref="F1" start="0" length="0">
      <dxf>
        <numFmt numFmtId="167" formatCode="#,##0.0"/>
      </dxf>
    </rfmt>
    <rfmt sheetId="6" s="1" sqref="H1" start="0" length="0">
      <dxf>
        <numFmt numFmtId="13" formatCode="0%"/>
      </dxf>
    </rfmt>
  </rrc>
  <rrc rId="36051"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1" sqref="E1" start="0" length="0">
      <dxf>
        <numFmt numFmtId="13" formatCode="0%"/>
      </dxf>
    </rfmt>
    <rfmt sheetId="6" sqref="F1" start="0" length="0">
      <dxf>
        <numFmt numFmtId="167" formatCode="#,##0.0"/>
      </dxf>
    </rfmt>
    <rfmt sheetId="6" s="1" sqref="H1" start="0" length="0">
      <dxf>
        <numFmt numFmtId="13" formatCode="0%"/>
      </dxf>
    </rfmt>
  </rrc>
  <rrc rId="36052"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1" sqref="E1" start="0" length="0">
      <dxf>
        <numFmt numFmtId="13" formatCode="0%"/>
      </dxf>
    </rfmt>
    <rfmt sheetId="6" sqref="F1" start="0" length="0">
      <dxf>
        <numFmt numFmtId="167" formatCode="#,##0.0"/>
      </dxf>
    </rfmt>
    <rfmt sheetId="6" s="1" sqref="H1" start="0" length="0">
      <dxf>
        <numFmt numFmtId="13" formatCode="0%"/>
      </dxf>
    </rfmt>
  </rrc>
  <rrc rId="36053"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1" sqref="E1" start="0" length="0">
      <dxf>
        <numFmt numFmtId="13" formatCode="0%"/>
      </dxf>
    </rfmt>
    <rfmt sheetId="6" sqref="F1" start="0" length="0">
      <dxf>
        <numFmt numFmtId="167" formatCode="#,##0.0"/>
      </dxf>
    </rfmt>
    <rfmt sheetId="6" s="1" sqref="H1" start="0" length="0">
      <dxf>
        <numFmt numFmtId="13" formatCode="0%"/>
      </dxf>
    </rfmt>
  </rrc>
  <rrc rId="36054"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1" sqref="E1" start="0" length="0">
      <dxf>
        <numFmt numFmtId="13" formatCode="0%"/>
      </dxf>
    </rfmt>
    <rfmt sheetId="6" sqref="F1" start="0" length="0">
      <dxf>
        <numFmt numFmtId="167" formatCode="#,##0.0"/>
      </dxf>
    </rfmt>
    <rfmt sheetId="6" s="1" sqref="H1" start="0" length="0">
      <dxf>
        <numFmt numFmtId="13" formatCode="0%"/>
      </dxf>
    </rfmt>
  </rrc>
  <rrc rId="36055"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1" sqref="E1" start="0" length="0">
      <dxf>
        <numFmt numFmtId="13" formatCode="0%"/>
      </dxf>
    </rfmt>
    <rfmt sheetId="6" sqref="F1" start="0" length="0">
      <dxf>
        <numFmt numFmtId="167" formatCode="#,##0.0"/>
      </dxf>
    </rfmt>
    <rfmt sheetId="6" s="1" sqref="H1" start="0" length="0">
      <dxf>
        <numFmt numFmtId="13" formatCode="0%"/>
      </dxf>
    </rfmt>
  </rrc>
  <rrc rId="36056"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1" sqref="E1" start="0" length="0">
      <dxf>
        <numFmt numFmtId="13" formatCode="0%"/>
      </dxf>
    </rfmt>
    <rfmt sheetId="6" sqref="F1" start="0" length="0">
      <dxf>
        <numFmt numFmtId="167" formatCode="#,##0.0"/>
      </dxf>
    </rfmt>
    <rfmt sheetId="6" s="1" sqref="H1" start="0" length="0">
      <dxf>
        <numFmt numFmtId="13" formatCode="0%"/>
      </dxf>
    </rfmt>
  </rrc>
  <rrc rId="36057"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1" sqref="E1" start="0" length="0">
      <dxf>
        <numFmt numFmtId="13" formatCode="0%"/>
      </dxf>
    </rfmt>
    <rfmt sheetId="6" sqref="F1" start="0" length="0">
      <dxf>
        <numFmt numFmtId="167" formatCode="#,##0.0"/>
      </dxf>
    </rfmt>
    <rfmt sheetId="6" s="1" sqref="H1" start="0" length="0">
      <dxf>
        <numFmt numFmtId="13" formatCode="0%"/>
      </dxf>
    </rfmt>
  </rrc>
  <rrc rId="36058"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1" sqref="E1" start="0" length="0">
      <dxf>
        <numFmt numFmtId="13" formatCode="0%"/>
      </dxf>
    </rfmt>
    <rfmt sheetId="6" sqref="F1" start="0" length="0">
      <dxf>
        <numFmt numFmtId="167" formatCode="#,##0.0"/>
      </dxf>
    </rfmt>
    <rfmt sheetId="6" s="1" sqref="H1" start="0" length="0">
      <dxf>
        <numFmt numFmtId="13" formatCode="0%"/>
      </dxf>
    </rfmt>
  </rrc>
  <rrc rId="36059"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1" sqref="E1" start="0" length="0">
      <dxf>
        <numFmt numFmtId="13" formatCode="0%"/>
      </dxf>
    </rfmt>
    <rfmt sheetId="6" sqref="F1" start="0" length="0">
      <dxf>
        <numFmt numFmtId="167" formatCode="#,##0.0"/>
      </dxf>
    </rfmt>
    <rfmt sheetId="6" s="1" sqref="H1" start="0" length="0">
      <dxf>
        <numFmt numFmtId="13" formatCode="0%"/>
      </dxf>
    </rfmt>
  </rrc>
  <rrc rId="36060"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1" sqref="E1" start="0" length="0">
      <dxf>
        <numFmt numFmtId="13" formatCode="0%"/>
      </dxf>
    </rfmt>
    <rfmt sheetId="6" sqref="F1" start="0" length="0">
      <dxf>
        <numFmt numFmtId="167" formatCode="#,##0.0"/>
      </dxf>
    </rfmt>
    <rfmt sheetId="6" s="1" sqref="H1" start="0" length="0">
      <dxf>
        <numFmt numFmtId="13" formatCode="0%"/>
      </dxf>
    </rfmt>
  </rrc>
  <rrc rId="36061"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1" sqref="E1" start="0" length="0">
      <dxf>
        <numFmt numFmtId="13" formatCode="0%"/>
      </dxf>
    </rfmt>
    <rfmt sheetId="6" sqref="F1" start="0" length="0">
      <dxf>
        <numFmt numFmtId="167" formatCode="#,##0.0"/>
      </dxf>
    </rfmt>
    <rfmt sheetId="6" s="1" sqref="H1" start="0" length="0">
      <dxf>
        <numFmt numFmtId="13" formatCode="0%"/>
      </dxf>
    </rfmt>
  </rrc>
  <rrc rId="36062"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1" sqref="E1" start="0" length="0">
      <dxf>
        <numFmt numFmtId="13" formatCode="0%"/>
      </dxf>
    </rfmt>
    <rfmt sheetId="6" sqref="F1" start="0" length="0">
      <dxf>
        <numFmt numFmtId="167" formatCode="#,##0.0"/>
      </dxf>
    </rfmt>
    <rfmt sheetId="6" s="1" sqref="H1" start="0" length="0">
      <dxf>
        <numFmt numFmtId="13" formatCode="0%"/>
      </dxf>
    </rfmt>
  </rrc>
  <rrc rId="36063"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1" sqref="E1" start="0" length="0">
      <dxf>
        <numFmt numFmtId="13" formatCode="0%"/>
      </dxf>
    </rfmt>
    <rfmt sheetId="6" sqref="F1" start="0" length="0">
      <dxf>
        <numFmt numFmtId="167" formatCode="#,##0.0"/>
      </dxf>
    </rfmt>
    <rfmt sheetId="6" s="1" sqref="H1" start="0" length="0">
      <dxf>
        <numFmt numFmtId="13" formatCode="0%"/>
      </dxf>
    </rfmt>
  </rrc>
  <rrc rId="36064"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1" sqref="E1" start="0" length="0">
      <dxf>
        <numFmt numFmtId="13" formatCode="0%"/>
      </dxf>
    </rfmt>
    <rfmt sheetId="6" sqref="F1" start="0" length="0">
      <dxf>
        <numFmt numFmtId="167" formatCode="#,##0.0"/>
      </dxf>
    </rfmt>
    <rfmt sheetId="6" s="1" sqref="H1" start="0" length="0">
      <dxf>
        <numFmt numFmtId="13" formatCode="0%"/>
      </dxf>
    </rfmt>
  </rrc>
  <rrc rId="36065"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1" sqref="E1" start="0" length="0">
      <dxf>
        <numFmt numFmtId="13" formatCode="0%"/>
      </dxf>
    </rfmt>
    <rfmt sheetId="6" sqref="F1" start="0" length="0">
      <dxf>
        <numFmt numFmtId="167" formatCode="#,##0.0"/>
      </dxf>
    </rfmt>
    <rfmt sheetId="6" s="1" sqref="H1" start="0" length="0">
      <dxf>
        <numFmt numFmtId="13" formatCode="0%"/>
      </dxf>
    </rfmt>
  </rrc>
  <rrc rId="36066"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1" sqref="E1" start="0" length="0">
      <dxf>
        <numFmt numFmtId="13" formatCode="0%"/>
      </dxf>
    </rfmt>
    <rfmt sheetId="6" sqref="F1" start="0" length="0">
      <dxf>
        <numFmt numFmtId="167" formatCode="#,##0.0"/>
      </dxf>
    </rfmt>
    <rfmt sheetId="6" s="1" sqref="H1" start="0" length="0">
      <dxf>
        <numFmt numFmtId="13" formatCode="0%"/>
      </dxf>
    </rfmt>
  </rrc>
  <rrc rId="36067"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1" sqref="E1" start="0" length="0">
      <dxf>
        <numFmt numFmtId="13" formatCode="0%"/>
      </dxf>
    </rfmt>
    <rfmt sheetId="6" sqref="F1" start="0" length="0">
      <dxf>
        <numFmt numFmtId="167" formatCode="#,##0.0"/>
      </dxf>
    </rfmt>
    <rfmt sheetId="6" s="1" sqref="H1" start="0" length="0">
      <dxf>
        <numFmt numFmtId="13" formatCode="0%"/>
      </dxf>
    </rfmt>
  </rrc>
  <rrc rId="36068"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1" sqref="E1" start="0" length="0">
      <dxf>
        <numFmt numFmtId="13" formatCode="0%"/>
      </dxf>
    </rfmt>
    <rfmt sheetId="6" sqref="F1" start="0" length="0">
      <dxf>
        <numFmt numFmtId="167" formatCode="#,##0.0"/>
      </dxf>
    </rfmt>
    <rfmt sheetId="6" s="1" sqref="H1" start="0" length="0">
      <dxf>
        <numFmt numFmtId="13" formatCode="0%"/>
      </dxf>
    </rfmt>
  </rrc>
  <rrc rId="36069"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1" sqref="E1" start="0" length="0">
      <dxf>
        <numFmt numFmtId="13" formatCode="0%"/>
      </dxf>
    </rfmt>
    <rfmt sheetId="6" sqref="F1" start="0" length="0">
      <dxf>
        <numFmt numFmtId="167" formatCode="#,##0.0"/>
      </dxf>
    </rfmt>
    <rfmt sheetId="6" s="1" sqref="H1" start="0" length="0">
      <dxf>
        <numFmt numFmtId="13" formatCode="0%"/>
      </dxf>
    </rfmt>
  </rrc>
  <rrc rId="36070"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1" sqref="E1" start="0" length="0">
      <dxf>
        <numFmt numFmtId="13" formatCode="0%"/>
      </dxf>
    </rfmt>
    <rfmt sheetId="6" sqref="F1" start="0" length="0">
      <dxf>
        <numFmt numFmtId="167" formatCode="#,##0.0"/>
      </dxf>
    </rfmt>
    <rfmt sheetId="6" s="1" sqref="H1" start="0" length="0">
      <dxf>
        <numFmt numFmtId="13" formatCode="0%"/>
      </dxf>
    </rfmt>
  </rrc>
  <rrc rId="36071"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1" sqref="E1" start="0" length="0">
      <dxf>
        <numFmt numFmtId="13" formatCode="0%"/>
      </dxf>
    </rfmt>
    <rfmt sheetId="6" sqref="F1" start="0" length="0">
      <dxf>
        <numFmt numFmtId="167" formatCode="#,##0.0"/>
      </dxf>
    </rfmt>
    <rfmt sheetId="6" s="1" sqref="H1" start="0" length="0">
      <dxf>
        <numFmt numFmtId="13" formatCode="0%"/>
      </dxf>
    </rfmt>
  </rrc>
  <rrc rId="36072"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1" sqref="E1" start="0" length="0">
      <dxf>
        <numFmt numFmtId="13" formatCode="0%"/>
      </dxf>
    </rfmt>
    <rfmt sheetId="6" sqref="F1" start="0" length="0">
      <dxf>
        <numFmt numFmtId="167" formatCode="#,##0.0"/>
      </dxf>
    </rfmt>
    <rfmt sheetId="6" s="1" sqref="H1" start="0" length="0">
      <dxf>
        <numFmt numFmtId="13" formatCode="0%"/>
      </dxf>
    </rfmt>
  </rrc>
  <rrc rId="36073"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1" sqref="E1" start="0" length="0">
      <dxf>
        <numFmt numFmtId="13" formatCode="0%"/>
      </dxf>
    </rfmt>
    <rfmt sheetId="6" sqref="F1" start="0" length="0">
      <dxf>
        <numFmt numFmtId="167" formatCode="#,##0.0"/>
      </dxf>
    </rfmt>
    <rfmt sheetId="6" s="1" sqref="H1" start="0" length="0">
      <dxf>
        <numFmt numFmtId="13" formatCode="0%"/>
      </dxf>
    </rfmt>
  </rrc>
  <rrc rId="36074"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1" sqref="E1" start="0" length="0">
      <dxf>
        <numFmt numFmtId="13" formatCode="0%"/>
      </dxf>
    </rfmt>
    <rfmt sheetId="6" sqref="F1" start="0" length="0">
      <dxf>
        <numFmt numFmtId="167" formatCode="#,##0.0"/>
      </dxf>
    </rfmt>
    <rfmt sheetId="6" s="1" sqref="H1" start="0" length="0">
      <dxf>
        <numFmt numFmtId="13" formatCode="0%"/>
      </dxf>
    </rfmt>
  </rrc>
  <rrc rId="36075"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1" sqref="E1" start="0" length="0">
      <dxf>
        <numFmt numFmtId="13" formatCode="0%"/>
      </dxf>
    </rfmt>
    <rfmt sheetId="6" sqref="F1" start="0" length="0">
      <dxf>
        <numFmt numFmtId="167" formatCode="#,##0.0"/>
      </dxf>
    </rfmt>
    <rfmt sheetId="6" s="1" sqref="H1" start="0" length="0">
      <dxf>
        <numFmt numFmtId="13" formatCode="0%"/>
      </dxf>
    </rfmt>
  </rrc>
  <rrc rId="36076"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1" sqref="E1" start="0" length="0">
      <dxf>
        <numFmt numFmtId="13" formatCode="0%"/>
      </dxf>
    </rfmt>
    <rfmt sheetId="6" sqref="F1" start="0" length="0">
      <dxf>
        <numFmt numFmtId="167" formatCode="#,##0.0"/>
      </dxf>
    </rfmt>
    <rfmt sheetId="6" s="1" sqref="H1" start="0" length="0">
      <dxf>
        <numFmt numFmtId="13" formatCode="0%"/>
      </dxf>
    </rfmt>
  </rrc>
  <rrc rId="36077"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1" sqref="E1" start="0" length="0">
      <dxf>
        <numFmt numFmtId="13" formatCode="0%"/>
      </dxf>
    </rfmt>
    <rfmt sheetId="6" sqref="F1" start="0" length="0">
      <dxf>
        <numFmt numFmtId="167" formatCode="#,##0.0"/>
      </dxf>
    </rfmt>
    <rfmt sheetId="6" s="1" sqref="H1" start="0" length="0">
      <dxf>
        <numFmt numFmtId="13" formatCode="0%"/>
      </dxf>
    </rfmt>
  </rrc>
  <rrc rId="36078"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1" sqref="E1" start="0" length="0">
      <dxf>
        <numFmt numFmtId="13" formatCode="0%"/>
      </dxf>
    </rfmt>
    <rfmt sheetId="6" sqref="F1" start="0" length="0">
      <dxf>
        <numFmt numFmtId="167" formatCode="#,##0.0"/>
      </dxf>
    </rfmt>
    <rfmt sheetId="6" s="1" sqref="H1" start="0" length="0">
      <dxf>
        <numFmt numFmtId="13" formatCode="0%"/>
      </dxf>
    </rfmt>
  </rrc>
  <rrc rId="36079"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1" sqref="E1" start="0" length="0">
      <dxf>
        <numFmt numFmtId="13" formatCode="0%"/>
      </dxf>
    </rfmt>
    <rfmt sheetId="6" sqref="F1" start="0" length="0">
      <dxf>
        <numFmt numFmtId="167" formatCode="#,##0.0"/>
      </dxf>
    </rfmt>
    <rfmt sheetId="6" s="1" sqref="H1" start="0" length="0">
      <dxf>
        <numFmt numFmtId="13" formatCode="0%"/>
      </dxf>
    </rfmt>
  </rrc>
  <rrc rId="36080"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1" sqref="E1" start="0" length="0">
      <dxf>
        <numFmt numFmtId="13" formatCode="0%"/>
      </dxf>
    </rfmt>
    <rfmt sheetId="6" sqref="F1" start="0" length="0">
      <dxf>
        <numFmt numFmtId="167" formatCode="#,##0.0"/>
      </dxf>
    </rfmt>
    <rfmt sheetId="6" s="1" sqref="H1" start="0" length="0">
      <dxf>
        <numFmt numFmtId="13" formatCode="0%"/>
      </dxf>
    </rfmt>
  </rrc>
  <rrc rId="36081"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1" sqref="E1" start="0" length="0">
      <dxf>
        <numFmt numFmtId="13" formatCode="0%"/>
      </dxf>
    </rfmt>
    <rfmt sheetId="6" sqref="F1" start="0" length="0">
      <dxf>
        <numFmt numFmtId="167" formatCode="#,##0.0"/>
      </dxf>
    </rfmt>
    <rfmt sheetId="6" s="1" sqref="H1" start="0" length="0">
      <dxf>
        <numFmt numFmtId="13" formatCode="0%"/>
      </dxf>
    </rfmt>
  </rrc>
  <rrc rId="36082"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1" sqref="E1" start="0" length="0">
      <dxf>
        <numFmt numFmtId="13" formatCode="0%"/>
      </dxf>
    </rfmt>
    <rfmt sheetId="6" sqref="F1" start="0" length="0">
      <dxf>
        <numFmt numFmtId="167" formatCode="#,##0.0"/>
      </dxf>
    </rfmt>
    <rfmt sheetId="6" s="1" sqref="H1" start="0" length="0">
      <dxf>
        <numFmt numFmtId="13" formatCode="0%"/>
      </dxf>
    </rfmt>
  </rrc>
  <rrc rId="36083"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1" sqref="E1" start="0" length="0">
      <dxf>
        <numFmt numFmtId="13" formatCode="0%"/>
      </dxf>
    </rfmt>
    <rfmt sheetId="6" sqref="F1" start="0" length="0">
      <dxf>
        <numFmt numFmtId="167" formatCode="#,##0.0"/>
      </dxf>
    </rfmt>
    <rfmt sheetId="6" s="1" sqref="H1" start="0" length="0">
      <dxf>
        <numFmt numFmtId="13" formatCode="0%"/>
      </dxf>
    </rfmt>
  </rrc>
  <rrc rId="36084"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1" sqref="E1" start="0" length="0">
      <dxf>
        <numFmt numFmtId="13" formatCode="0%"/>
      </dxf>
    </rfmt>
    <rfmt sheetId="6" sqref="F1" start="0" length="0">
      <dxf>
        <numFmt numFmtId="167" formatCode="#,##0.0"/>
      </dxf>
    </rfmt>
    <rfmt sheetId="6" s="1" sqref="H1" start="0" length="0">
      <dxf>
        <numFmt numFmtId="13" formatCode="0%"/>
      </dxf>
    </rfmt>
  </rrc>
  <rrc rId="36085"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1" sqref="E1" start="0" length="0">
      <dxf>
        <numFmt numFmtId="13" formatCode="0%"/>
      </dxf>
    </rfmt>
    <rfmt sheetId="6" sqref="F1" start="0" length="0">
      <dxf>
        <numFmt numFmtId="167" formatCode="#,##0.0"/>
      </dxf>
    </rfmt>
    <rfmt sheetId="6" s="1" sqref="H1" start="0" length="0">
      <dxf>
        <numFmt numFmtId="13" formatCode="0%"/>
      </dxf>
    </rfmt>
  </rrc>
  <rrc rId="36086"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1" sqref="E1" start="0" length="0">
      <dxf>
        <numFmt numFmtId="13" formatCode="0%"/>
      </dxf>
    </rfmt>
    <rfmt sheetId="6" sqref="F1" start="0" length="0">
      <dxf>
        <numFmt numFmtId="167" formatCode="#,##0.0"/>
      </dxf>
    </rfmt>
    <rfmt sheetId="6" s="1" sqref="H1" start="0" length="0">
      <dxf>
        <numFmt numFmtId="13" formatCode="0%"/>
      </dxf>
    </rfmt>
  </rrc>
  <rrc rId="36087"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1" sqref="E1" start="0" length="0">
      <dxf>
        <numFmt numFmtId="13" formatCode="0%"/>
      </dxf>
    </rfmt>
    <rfmt sheetId="6" sqref="F1" start="0" length="0">
      <dxf>
        <numFmt numFmtId="167" formatCode="#,##0.0"/>
      </dxf>
    </rfmt>
    <rfmt sheetId="6" s="1" sqref="H1" start="0" length="0">
      <dxf>
        <numFmt numFmtId="13" formatCode="0%"/>
      </dxf>
    </rfmt>
  </rrc>
  <rrc rId="36088"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1" sqref="E1" start="0" length="0">
      <dxf>
        <numFmt numFmtId="13" formatCode="0%"/>
      </dxf>
    </rfmt>
    <rfmt sheetId="6" sqref="F1" start="0" length="0">
      <dxf>
        <numFmt numFmtId="167" formatCode="#,##0.0"/>
      </dxf>
    </rfmt>
    <rfmt sheetId="6" s="1" sqref="H1" start="0" length="0">
      <dxf>
        <numFmt numFmtId="13" formatCode="0%"/>
      </dxf>
    </rfmt>
  </rrc>
  <rrc rId="36089"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1" sqref="E1" start="0" length="0">
      <dxf>
        <numFmt numFmtId="13" formatCode="0%"/>
      </dxf>
    </rfmt>
    <rfmt sheetId="6" sqref="F1" start="0" length="0">
      <dxf>
        <numFmt numFmtId="167" formatCode="#,##0.0"/>
      </dxf>
    </rfmt>
    <rfmt sheetId="6" s="1" sqref="H1" start="0" length="0">
      <dxf>
        <numFmt numFmtId="13" formatCode="0%"/>
      </dxf>
    </rfmt>
  </rrc>
  <rrc rId="36090"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1" sqref="E1" start="0" length="0">
      <dxf>
        <numFmt numFmtId="13" formatCode="0%"/>
      </dxf>
    </rfmt>
    <rfmt sheetId="6" sqref="F1" start="0" length="0">
      <dxf>
        <numFmt numFmtId="167" formatCode="#,##0.0"/>
      </dxf>
    </rfmt>
    <rfmt sheetId="6" s="1" sqref="H1" start="0" length="0">
      <dxf>
        <numFmt numFmtId="13" formatCode="0%"/>
      </dxf>
    </rfmt>
  </rrc>
  <rrc rId="36091"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1" sqref="E1" start="0" length="0">
      <dxf>
        <numFmt numFmtId="13" formatCode="0%"/>
      </dxf>
    </rfmt>
    <rfmt sheetId="6" sqref="F1" start="0" length="0">
      <dxf>
        <numFmt numFmtId="167" formatCode="#,##0.0"/>
      </dxf>
    </rfmt>
    <rfmt sheetId="6" s="1" sqref="H1" start="0" length="0">
      <dxf>
        <numFmt numFmtId="13" formatCode="0%"/>
      </dxf>
    </rfmt>
  </rrc>
  <rrc rId="36092"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1" sqref="E1" start="0" length="0">
      <dxf>
        <numFmt numFmtId="13" formatCode="0%"/>
      </dxf>
    </rfmt>
    <rfmt sheetId="6" sqref="F1" start="0" length="0">
      <dxf>
        <numFmt numFmtId="167" formatCode="#,##0.0"/>
      </dxf>
    </rfmt>
    <rfmt sheetId="6" s="1" sqref="H1" start="0" length="0">
      <dxf>
        <numFmt numFmtId="13" formatCode="0%"/>
      </dxf>
    </rfmt>
  </rrc>
  <rrc rId="36093"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1" sqref="E1" start="0" length="0">
      <dxf>
        <numFmt numFmtId="13" formatCode="0%"/>
      </dxf>
    </rfmt>
    <rfmt sheetId="6" sqref="F1" start="0" length="0">
      <dxf>
        <numFmt numFmtId="167" formatCode="#,##0.0"/>
      </dxf>
    </rfmt>
    <rfmt sheetId="6" s="1" sqref="H1" start="0" length="0">
      <dxf>
        <numFmt numFmtId="13" formatCode="0%"/>
      </dxf>
    </rfmt>
  </rrc>
  <rrc rId="36094"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1" sqref="E1" start="0" length="0">
      <dxf>
        <numFmt numFmtId="13" formatCode="0%"/>
      </dxf>
    </rfmt>
    <rfmt sheetId="6" sqref="F1" start="0" length="0">
      <dxf>
        <numFmt numFmtId="167" formatCode="#,##0.0"/>
      </dxf>
    </rfmt>
    <rfmt sheetId="6" s="1" sqref="H1" start="0" length="0">
      <dxf>
        <numFmt numFmtId="13" formatCode="0%"/>
      </dxf>
    </rfmt>
  </rrc>
  <rrc rId="36095"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1" sqref="E1" start="0" length="0">
      <dxf>
        <numFmt numFmtId="13" formatCode="0%"/>
      </dxf>
    </rfmt>
    <rfmt sheetId="6" sqref="F1" start="0" length="0">
      <dxf>
        <numFmt numFmtId="167" formatCode="#,##0.0"/>
      </dxf>
    </rfmt>
    <rfmt sheetId="6" s="1" sqref="H1" start="0" length="0">
      <dxf>
        <numFmt numFmtId="13" formatCode="0%"/>
      </dxf>
    </rfmt>
  </rrc>
  <rrc rId="36096"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1" sqref="E1" start="0" length="0">
      <dxf>
        <numFmt numFmtId="13" formatCode="0%"/>
      </dxf>
    </rfmt>
    <rfmt sheetId="6" sqref="F1" start="0" length="0">
      <dxf>
        <numFmt numFmtId="167" formatCode="#,##0.0"/>
      </dxf>
    </rfmt>
    <rfmt sheetId="6" s="1" sqref="H1" start="0" length="0">
      <dxf>
        <numFmt numFmtId="13" formatCode="0%"/>
      </dxf>
    </rfmt>
  </rrc>
  <rrc rId="36097"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1" sqref="E1" start="0" length="0">
      <dxf>
        <numFmt numFmtId="13" formatCode="0%"/>
      </dxf>
    </rfmt>
    <rfmt sheetId="6" sqref="F1" start="0" length="0">
      <dxf>
        <numFmt numFmtId="167" formatCode="#,##0.0"/>
      </dxf>
    </rfmt>
    <rfmt sheetId="6" s="1" sqref="H1" start="0" length="0">
      <dxf>
        <numFmt numFmtId="13" formatCode="0%"/>
      </dxf>
    </rfmt>
  </rrc>
  <rrc rId="36098"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1" sqref="E1" start="0" length="0">
      <dxf>
        <numFmt numFmtId="13" formatCode="0%"/>
      </dxf>
    </rfmt>
    <rfmt sheetId="6" sqref="F1" start="0" length="0">
      <dxf>
        <numFmt numFmtId="167" formatCode="#,##0.0"/>
      </dxf>
    </rfmt>
    <rfmt sheetId="6" s="1" sqref="H1" start="0" length="0">
      <dxf>
        <numFmt numFmtId="13" formatCode="0%"/>
      </dxf>
    </rfmt>
  </rrc>
  <rrc rId="36099"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1" sqref="E1" start="0" length="0">
      <dxf>
        <numFmt numFmtId="13" formatCode="0%"/>
      </dxf>
    </rfmt>
    <rfmt sheetId="6" sqref="F1" start="0" length="0">
      <dxf>
        <numFmt numFmtId="167" formatCode="#,##0.0"/>
      </dxf>
    </rfmt>
    <rfmt sheetId="6" s="1" sqref="H1" start="0" length="0">
      <dxf>
        <numFmt numFmtId="13" formatCode="0%"/>
      </dxf>
    </rfmt>
  </rrc>
  <rrc rId="36100"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1" sqref="E1" start="0" length="0">
      <dxf>
        <numFmt numFmtId="13" formatCode="0%"/>
      </dxf>
    </rfmt>
    <rfmt sheetId="6" sqref="F1" start="0" length="0">
      <dxf>
        <numFmt numFmtId="167" formatCode="#,##0.0"/>
      </dxf>
    </rfmt>
    <rfmt sheetId="6" s="1" sqref="H1" start="0" length="0">
      <dxf>
        <numFmt numFmtId="13" formatCode="0%"/>
      </dxf>
    </rfmt>
  </rrc>
  <rrc rId="36101"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1" sqref="E1" start="0" length="0">
      <dxf>
        <numFmt numFmtId="13" formatCode="0%"/>
      </dxf>
    </rfmt>
    <rfmt sheetId="6" sqref="F1" start="0" length="0">
      <dxf>
        <numFmt numFmtId="167" formatCode="#,##0.0"/>
      </dxf>
    </rfmt>
    <rfmt sheetId="6" s="1" sqref="H1" start="0" length="0">
      <dxf>
        <numFmt numFmtId="13" formatCode="0%"/>
      </dxf>
    </rfmt>
  </rrc>
  <rrc rId="36102"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1" sqref="E1" start="0" length="0">
      <dxf>
        <numFmt numFmtId="13" formatCode="0%"/>
      </dxf>
    </rfmt>
    <rfmt sheetId="6" sqref="F1" start="0" length="0">
      <dxf>
        <numFmt numFmtId="167" formatCode="#,##0.0"/>
      </dxf>
    </rfmt>
    <rfmt sheetId="6" s="1" sqref="H1" start="0" length="0">
      <dxf>
        <numFmt numFmtId="13" formatCode="0%"/>
      </dxf>
    </rfmt>
  </rrc>
  <rrc rId="36103"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1" sqref="E1" start="0" length="0">
      <dxf>
        <numFmt numFmtId="13" formatCode="0%"/>
      </dxf>
    </rfmt>
    <rfmt sheetId="6" sqref="F1" start="0" length="0">
      <dxf>
        <numFmt numFmtId="167" formatCode="#,##0.0"/>
      </dxf>
    </rfmt>
    <rfmt sheetId="6" s="1" sqref="H1" start="0" length="0">
      <dxf>
        <numFmt numFmtId="13" formatCode="0%"/>
      </dxf>
    </rfmt>
  </rrc>
  <rrc rId="36104"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1" sqref="E1" start="0" length="0">
      <dxf>
        <numFmt numFmtId="13" formatCode="0%"/>
      </dxf>
    </rfmt>
    <rfmt sheetId="6" sqref="F1" start="0" length="0">
      <dxf>
        <numFmt numFmtId="167" formatCode="#,##0.0"/>
      </dxf>
    </rfmt>
    <rfmt sheetId="6" s="1" sqref="H1" start="0" length="0">
      <dxf>
        <numFmt numFmtId="13" formatCode="0%"/>
      </dxf>
    </rfmt>
  </rrc>
  <rrc rId="36105"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1" sqref="E1" start="0" length="0">
      <dxf>
        <numFmt numFmtId="13" formatCode="0%"/>
      </dxf>
    </rfmt>
    <rfmt sheetId="6" sqref="F1" start="0" length="0">
      <dxf>
        <numFmt numFmtId="167" formatCode="#,##0.0"/>
      </dxf>
    </rfmt>
    <rfmt sheetId="6" s="1" sqref="H1" start="0" length="0">
      <dxf>
        <numFmt numFmtId="13" formatCode="0%"/>
      </dxf>
    </rfmt>
  </rrc>
  <rrc rId="36106"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1" sqref="E1" start="0" length="0">
      <dxf>
        <numFmt numFmtId="13" formatCode="0%"/>
      </dxf>
    </rfmt>
    <rfmt sheetId="6" sqref="F1" start="0" length="0">
      <dxf>
        <numFmt numFmtId="167" formatCode="#,##0.0"/>
      </dxf>
    </rfmt>
    <rfmt sheetId="6" s="1" sqref="H1" start="0" length="0">
      <dxf>
        <numFmt numFmtId="13" formatCode="0%"/>
      </dxf>
    </rfmt>
  </rrc>
  <rrc rId="36107"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1" sqref="E1" start="0" length="0">
      <dxf>
        <numFmt numFmtId="13" formatCode="0%"/>
      </dxf>
    </rfmt>
    <rfmt sheetId="6" sqref="F1" start="0" length="0">
      <dxf>
        <numFmt numFmtId="167" formatCode="#,##0.0"/>
      </dxf>
    </rfmt>
    <rfmt sheetId="6" s="1" sqref="H1" start="0" length="0">
      <dxf>
        <numFmt numFmtId="13" formatCode="0%"/>
      </dxf>
    </rfmt>
  </rrc>
  <rrc rId="36108"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1" sqref="E1" start="0" length="0">
      <dxf>
        <numFmt numFmtId="13" formatCode="0%"/>
      </dxf>
    </rfmt>
    <rfmt sheetId="6" sqref="F1" start="0" length="0">
      <dxf>
        <numFmt numFmtId="167" formatCode="#,##0.0"/>
      </dxf>
    </rfmt>
    <rfmt sheetId="6" s="1" sqref="H1" start="0" length="0">
      <dxf>
        <numFmt numFmtId="13" formatCode="0%"/>
      </dxf>
    </rfmt>
  </rrc>
  <rrc rId="36109"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1" sqref="E1" start="0" length="0">
      <dxf>
        <numFmt numFmtId="13" formatCode="0%"/>
      </dxf>
    </rfmt>
    <rfmt sheetId="6" sqref="F1" start="0" length="0">
      <dxf>
        <numFmt numFmtId="167" formatCode="#,##0.0"/>
      </dxf>
    </rfmt>
    <rfmt sheetId="6" s="1" sqref="H1" start="0" length="0">
      <dxf>
        <numFmt numFmtId="13" formatCode="0%"/>
      </dxf>
    </rfmt>
  </rrc>
  <rrc rId="36110"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1" sqref="E1" start="0" length="0">
      <dxf>
        <numFmt numFmtId="13" formatCode="0%"/>
      </dxf>
    </rfmt>
    <rfmt sheetId="6" sqref="F1" start="0" length="0">
      <dxf>
        <numFmt numFmtId="167" formatCode="#,##0.0"/>
      </dxf>
    </rfmt>
    <rfmt sheetId="6" s="1" sqref="H1" start="0" length="0">
      <dxf>
        <numFmt numFmtId="13" formatCode="0%"/>
      </dxf>
    </rfmt>
  </rrc>
  <rrc rId="36111"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1" sqref="E1" start="0" length="0">
      <dxf>
        <numFmt numFmtId="13" formatCode="0%"/>
      </dxf>
    </rfmt>
    <rfmt sheetId="6" sqref="F1" start="0" length="0">
      <dxf>
        <numFmt numFmtId="167" formatCode="#,##0.0"/>
      </dxf>
    </rfmt>
    <rfmt sheetId="6" s="1" sqref="H1" start="0" length="0">
      <dxf>
        <numFmt numFmtId="13" formatCode="0%"/>
      </dxf>
    </rfmt>
  </rrc>
  <rrc rId="36112"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1" sqref="E1" start="0" length="0">
      <dxf>
        <numFmt numFmtId="13" formatCode="0%"/>
      </dxf>
    </rfmt>
    <rfmt sheetId="6" sqref="F1" start="0" length="0">
      <dxf>
        <numFmt numFmtId="167" formatCode="#,##0.0"/>
      </dxf>
    </rfmt>
    <rfmt sheetId="6" s="1" sqref="H1" start="0" length="0">
      <dxf>
        <numFmt numFmtId="13" formatCode="0%"/>
      </dxf>
    </rfmt>
  </rrc>
  <rrc rId="36113"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1" sqref="E1" start="0" length="0">
      <dxf>
        <numFmt numFmtId="13" formatCode="0%"/>
      </dxf>
    </rfmt>
    <rfmt sheetId="6" sqref="F1" start="0" length="0">
      <dxf>
        <numFmt numFmtId="167" formatCode="#,##0.0"/>
      </dxf>
    </rfmt>
    <rfmt sheetId="6" s="1" sqref="H1" start="0" length="0">
      <dxf>
        <numFmt numFmtId="13" formatCode="0%"/>
      </dxf>
    </rfmt>
  </rrc>
  <rrc rId="36114"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1" sqref="E1" start="0" length="0">
      <dxf>
        <numFmt numFmtId="13" formatCode="0%"/>
      </dxf>
    </rfmt>
    <rfmt sheetId="6" sqref="F1" start="0" length="0">
      <dxf>
        <numFmt numFmtId="167" formatCode="#,##0.0"/>
      </dxf>
    </rfmt>
    <rfmt sheetId="6" s="1" sqref="H1" start="0" length="0">
      <dxf>
        <numFmt numFmtId="13" formatCode="0%"/>
      </dxf>
    </rfmt>
  </rrc>
  <rrc rId="36115"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1" sqref="E1" start="0" length="0">
      <dxf>
        <numFmt numFmtId="13" formatCode="0%"/>
      </dxf>
    </rfmt>
    <rfmt sheetId="6" sqref="F1" start="0" length="0">
      <dxf>
        <numFmt numFmtId="167" formatCode="#,##0.0"/>
      </dxf>
    </rfmt>
    <rfmt sheetId="6" s="1" sqref="H1" start="0" length="0">
      <dxf>
        <numFmt numFmtId="13" formatCode="0%"/>
      </dxf>
    </rfmt>
  </rrc>
  <rrc rId="36116"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1" sqref="E1" start="0" length="0">
      <dxf>
        <numFmt numFmtId="13" formatCode="0%"/>
      </dxf>
    </rfmt>
    <rfmt sheetId="6" sqref="F1" start="0" length="0">
      <dxf>
        <numFmt numFmtId="167" formatCode="#,##0.0"/>
      </dxf>
    </rfmt>
    <rfmt sheetId="6" s="1" sqref="H1" start="0" length="0">
      <dxf>
        <numFmt numFmtId="13" formatCode="0%"/>
      </dxf>
    </rfmt>
  </rrc>
  <rrc rId="36117"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1" sqref="E1" start="0" length="0">
      <dxf>
        <numFmt numFmtId="13" formatCode="0%"/>
      </dxf>
    </rfmt>
    <rfmt sheetId="6" sqref="F1" start="0" length="0">
      <dxf>
        <numFmt numFmtId="167" formatCode="#,##0.0"/>
      </dxf>
    </rfmt>
    <rfmt sheetId="6" s="1" sqref="H1" start="0" length="0">
      <dxf>
        <numFmt numFmtId="13" formatCode="0%"/>
      </dxf>
    </rfmt>
  </rrc>
  <rrc rId="36118"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1" sqref="E1" start="0" length="0">
      <dxf>
        <numFmt numFmtId="13" formatCode="0%"/>
      </dxf>
    </rfmt>
    <rfmt sheetId="6" sqref="F1" start="0" length="0">
      <dxf>
        <numFmt numFmtId="167" formatCode="#,##0.0"/>
      </dxf>
    </rfmt>
    <rfmt sheetId="6" s="1" sqref="H1" start="0" length="0">
      <dxf>
        <numFmt numFmtId="13" formatCode="0%"/>
      </dxf>
    </rfmt>
  </rrc>
  <rrc rId="36119"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1" sqref="E1" start="0" length="0">
      <dxf>
        <numFmt numFmtId="13" formatCode="0%"/>
      </dxf>
    </rfmt>
    <rfmt sheetId="6" sqref="F1" start="0" length="0">
      <dxf>
        <numFmt numFmtId="167" formatCode="#,##0.0"/>
      </dxf>
    </rfmt>
    <rfmt sheetId="6" s="1" sqref="H1" start="0" length="0">
      <dxf>
        <numFmt numFmtId="13" formatCode="0%"/>
      </dxf>
    </rfmt>
  </rrc>
  <rrc rId="36120"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1" sqref="E1" start="0" length="0">
      <dxf>
        <numFmt numFmtId="13" formatCode="0%"/>
      </dxf>
    </rfmt>
    <rfmt sheetId="6" sqref="F1" start="0" length="0">
      <dxf>
        <numFmt numFmtId="167" formatCode="#,##0.0"/>
      </dxf>
    </rfmt>
    <rfmt sheetId="6" s="1" sqref="H1" start="0" length="0">
      <dxf>
        <numFmt numFmtId="13" formatCode="0%"/>
      </dxf>
    </rfmt>
  </rrc>
  <rrc rId="36121"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1" sqref="E1" start="0" length="0">
      <dxf>
        <numFmt numFmtId="13" formatCode="0%"/>
      </dxf>
    </rfmt>
    <rfmt sheetId="6" sqref="F1" start="0" length="0">
      <dxf>
        <numFmt numFmtId="167" formatCode="#,##0.0"/>
      </dxf>
    </rfmt>
    <rfmt sheetId="6" s="1" sqref="H1" start="0" length="0">
      <dxf>
        <numFmt numFmtId="13" formatCode="0%"/>
      </dxf>
    </rfmt>
  </rrc>
  <rrc rId="36122"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1" sqref="E1" start="0" length="0">
      <dxf>
        <numFmt numFmtId="13" formatCode="0%"/>
      </dxf>
    </rfmt>
    <rfmt sheetId="6" sqref="F1" start="0" length="0">
      <dxf>
        <numFmt numFmtId="167" formatCode="#,##0.0"/>
      </dxf>
    </rfmt>
    <rfmt sheetId="6" s="1" sqref="H1" start="0" length="0">
      <dxf>
        <numFmt numFmtId="13" formatCode="0%"/>
      </dxf>
    </rfmt>
  </rrc>
  <rrc rId="36123"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F1" start="0" length="0">
      <dxf>
        <numFmt numFmtId="167" formatCode="#,##0.0"/>
      </dxf>
    </rfmt>
    <rfmt sheetId="6" s="1" sqref="H1" start="0" length="0">
      <dxf>
        <numFmt numFmtId="13" formatCode="0%"/>
      </dxf>
    </rfmt>
  </rrc>
  <rrc rId="36124"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F1" start="0" length="0">
      <dxf>
        <numFmt numFmtId="167" formatCode="#,##0.0"/>
      </dxf>
    </rfmt>
    <rfmt sheetId="6" s="1" sqref="H1" start="0" length="0">
      <dxf>
        <numFmt numFmtId="13" formatCode="0%"/>
      </dxf>
    </rfmt>
  </rrc>
  <rrc rId="36125"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F1" start="0" length="0">
      <dxf>
        <numFmt numFmtId="167" formatCode="#,##0.0"/>
      </dxf>
    </rfmt>
    <rfmt sheetId="6" s="1" sqref="H1" start="0" length="0">
      <dxf>
        <numFmt numFmtId="13" formatCode="0%"/>
      </dxf>
    </rfmt>
  </rrc>
  <rrc rId="36126"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F1" start="0" length="0">
      <dxf>
        <numFmt numFmtId="167" formatCode="#,##0.0"/>
      </dxf>
    </rfmt>
    <rfmt sheetId="6" s="1" sqref="H1" start="0" length="0">
      <dxf>
        <numFmt numFmtId="13" formatCode="0%"/>
      </dxf>
    </rfmt>
  </rrc>
  <rrc rId="36127"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F1" start="0" length="0">
      <dxf>
        <numFmt numFmtId="167" formatCode="#,##0.0"/>
      </dxf>
    </rfmt>
    <rfmt sheetId="6" s="1" sqref="H1" start="0" length="0">
      <dxf>
        <numFmt numFmtId="13" formatCode="0%"/>
      </dxf>
    </rfmt>
  </rrc>
  <rrc rId="36128"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F1" start="0" length="0">
      <dxf>
        <numFmt numFmtId="167" formatCode="#,##0.0"/>
      </dxf>
    </rfmt>
    <rfmt sheetId="6" s="1" sqref="H1" start="0" length="0">
      <dxf>
        <numFmt numFmtId="13" formatCode="0%"/>
      </dxf>
    </rfmt>
  </rrc>
  <rrc rId="36129"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F1" start="0" length="0">
      <dxf>
        <numFmt numFmtId="167" formatCode="#,##0.0"/>
      </dxf>
    </rfmt>
    <rfmt sheetId="6" s="1" sqref="H1" start="0" length="0">
      <dxf>
        <numFmt numFmtId="13" formatCode="0%"/>
      </dxf>
    </rfmt>
  </rrc>
  <rrc rId="36130"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F1" start="0" length="0">
      <dxf>
        <numFmt numFmtId="167" formatCode="#,##0.0"/>
      </dxf>
    </rfmt>
    <rfmt sheetId="6" s="1" sqref="H1" start="0" length="0">
      <dxf>
        <numFmt numFmtId="13" formatCode="0%"/>
      </dxf>
    </rfmt>
  </rrc>
  <rrc rId="36131"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F1" start="0" length="0">
      <dxf>
        <numFmt numFmtId="167" formatCode="#,##0.0"/>
      </dxf>
    </rfmt>
    <rfmt sheetId="6" s="1" sqref="H1" start="0" length="0">
      <dxf>
        <numFmt numFmtId="13" formatCode="0%"/>
      </dxf>
    </rfmt>
  </rrc>
  <rrc rId="36132"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F1" start="0" length="0">
      <dxf>
        <numFmt numFmtId="167" formatCode="#,##0.0"/>
      </dxf>
    </rfmt>
    <rfmt sheetId="6" s="1" sqref="H1" start="0" length="0">
      <dxf>
        <numFmt numFmtId="13" formatCode="0%"/>
      </dxf>
    </rfmt>
  </rrc>
  <rrc rId="36133"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F1" start="0" length="0">
      <dxf>
        <numFmt numFmtId="167" formatCode="#,##0.0"/>
      </dxf>
    </rfmt>
    <rfmt sheetId="6" s="1" sqref="H1" start="0" length="0">
      <dxf>
        <numFmt numFmtId="13" formatCode="0%"/>
      </dxf>
    </rfmt>
  </rrc>
  <rrc rId="36134"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F1" start="0" length="0">
      <dxf>
        <numFmt numFmtId="167" formatCode="#,##0.0"/>
      </dxf>
    </rfmt>
    <rfmt sheetId="6" s="1" sqref="H1" start="0" length="0">
      <dxf>
        <numFmt numFmtId="13" formatCode="0%"/>
      </dxf>
    </rfmt>
  </rrc>
  <rrc rId="36135"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F1" start="0" length="0">
      <dxf>
        <numFmt numFmtId="167" formatCode="#,##0.0"/>
      </dxf>
    </rfmt>
    <rfmt sheetId="6" s="1" sqref="H1" start="0" length="0">
      <dxf>
        <numFmt numFmtId="13" formatCode="0%"/>
      </dxf>
    </rfmt>
  </rrc>
  <rrc rId="36136"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F1" start="0" length="0">
      <dxf>
        <numFmt numFmtId="167" formatCode="#,##0.0"/>
      </dxf>
    </rfmt>
    <rfmt sheetId="6" s="1" sqref="H1" start="0" length="0">
      <dxf>
        <numFmt numFmtId="13" formatCode="0%"/>
      </dxf>
    </rfmt>
  </rrc>
  <rrc rId="36137"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F1" start="0" length="0">
      <dxf>
        <numFmt numFmtId="167" formatCode="#,##0.0"/>
      </dxf>
    </rfmt>
    <rfmt sheetId="6" s="1" sqref="H1" start="0" length="0">
      <dxf>
        <numFmt numFmtId="13" formatCode="0%"/>
      </dxf>
    </rfmt>
  </rrc>
  <rrc rId="36138"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F1" start="0" length="0">
      <dxf>
        <numFmt numFmtId="167" formatCode="#,##0.0"/>
      </dxf>
    </rfmt>
    <rfmt sheetId="6" s="1" sqref="H1" start="0" length="0">
      <dxf>
        <numFmt numFmtId="13" formatCode="0%"/>
      </dxf>
    </rfmt>
  </rrc>
  <rrc rId="36139"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F1" start="0" length="0">
      <dxf>
        <numFmt numFmtId="167" formatCode="#,##0.0"/>
      </dxf>
    </rfmt>
    <rfmt sheetId="6" s="1" sqref="H1" start="0" length="0">
      <dxf>
        <numFmt numFmtId="13" formatCode="0%"/>
      </dxf>
    </rfmt>
  </rrc>
  <rrc rId="36140"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F1" start="0" length="0">
      <dxf>
        <numFmt numFmtId="167" formatCode="#,##0.0"/>
      </dxf>
    </rfmt>
    <rfmt sheetId="6" s="1" sqref="H1" start="0" length="0">
      <dxf>
        <numFmt numFmtId="13" formatCode="0%"/>
      </dxf>
    </rfmt>
  </rrc>
  <rrc rId="36141"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F1" start="0" length="0">
      <dxf>
        <numFmt numFmtId="167" formatCode="#,##0.0"/>
      </dxf>
    </rfmt>
    <rfmt sheetId="6" s="1" sqref="H1" start="0" length="0">
      <dxf>
        <numFmt numFmtId="13" formatCode="0%"/>
      </dxf>
    </rfmt>
  </rrc>
  <rrc rId="36142"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F1" start="0" length="0">
      <dxf>
        <numFmt numFmtId="167" formatCode="#,##0.0"/>
      </dxf>
    </rfmt>
    <rfmt sheetId="6" s="1" sqref="H1" start="0" length="0">
      <dxf>
        <numFmt numFmtId="13" formatCode="0%"/>
      </dxf>
    </rfmt>
  </rrc>
  <rrc rId="36143"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F1" start="0" length="0">
      <dxf>
        <numFmt numFmtId="167" formatCode="#,##0.0"/>
      </dxf>
    </rfmt>
    <rfmt sheetId="6" s="1" sqref="H1" start="0" length="0">
      <dxf>
        <numFmt numFmtId="13" formatCode="0%"/>
      </dxf>
    </rfmt>
  </rrc>
  <rrc rId="36144"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F1" start="0" length="0">
      <dxf>
        <numFmt numFmtId="167" formatCode="#,##0.0"/>
      </dxf>
    </rfmt>
    <rfmt sheetId="6" s="1" sqref="H1" start="0" length="0">
      <dxf>
        <numFmt numFmtId="13" formatCode="0%"/>
      </dxf>
    </rfmt>
  </rrc>
  <rrc rId="36145"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F1" start="0" length="0">
      <dxf>
        <numFmt numFmtId="167" formatCode="#,##0.0"/>
      </dxf>
    </rfmt>
    <rfmt sheetId="6" s="1" sqref="H1" start="0" length="0">
      <dxf>
        <numFmt numFmtId="13" formatCode="0%"/>
      </dxf>
    </rfmt>
  </rrc>
  <rrc rId="36146"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F1" start="0" length="0">
      <dxf>
        <numFmt numFmtId="167" formatCode="#,##0.0"/>
      </dxf>
    </rfmt>
    <rfmt sheetId="6" s="1" sqref="H1" start="0" length="0">
      <dxf>
        <numFmt numFmtId="13" formatCode="0%"/>
      </dxf>
    </rfmt>
  </rrc>
  <rrc rId="36147"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F1" start="0" length="0">
      <dxf>
        <numFmt numFmtId="167" formatCode="#,##0.0"/>
      </dxf>
    </rfmt>
    <rfmt sheetId="6" s="1" sqref="H1" start="0" length="0">
      <dxf>
        <numFmt numFmtId="13" formatCode="0%"/>
      </dxf>
    </rfmt>
  </rrc>
  <rrc rId="36148"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F1" start="0" length="0">
      <dxf>
        <numFmt numFmtId="167" formatCode="#,##0.0"/>
      </dxf>
    </rfmt>
    <rfmt sheetId="6" s="1" sqref="H1" start="0" length="0">
      <dxf>
        <numFmt numFmtId="13" formatCode="0%"/>
      </dxf>
    </rfmt>
  </rrc>
  <rrc rId="36149"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F1" start="0" length="0">
      <dxf>
        <numFmt numFmtId="167" formatCode="#,##0.0"/>
      </dxf>
    </rfmt>
    <rfmt sheetId="6" s="1" sqref="H1" start="0" length="0">
      <dxf>
        <numFmt numFmtId="13" formatCode="0%"/>
      </dxf>
    </rfmt>
  </rrc>
  <rrc rId="36150"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F1" start="0" length="0">
      <dxf>
        <numFmt numFmtId="167" formatCode="#,##0.0"/>
      </dxf>
    </rfmt>
    <rfmt sheetId="6" s="1" sqref="H1" start="0" length="0">
      <dxf>
        <numFmt numFmtId="13" formatCode="0%"/>
      </dxf>
    </rfmt>
  </rrc>
  <rrc rId="36151"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F1" start="0" length="0">
      <dxf>
        <numFmt numFmtId="167" formatCode="#,##0.0"/>
      </dxf>
    </rfmt>
    <rfmt sheetId="6" s="1" sqref="H1" start="0" length="0">
      <dxf>
        <numFmt numFmtId="13" formatCode="0%"/>
      </dxf>
    </rfmt>
  </rrc>
  <rrc rId="36152"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F1" start="0" length="0">
      <dxf>
        <numFmt numFmtId="167" formatCode="#,##0.0"/>
      </dxf>
    </rfmt>
    <rfmt sheetId="6" s="1" sqref="H1" start="0" length="0">
      <dxf>
        <numFmt numFmtId="13" formatCode="0%"/>
      </dxf>
    </rfmt>
  </rrc>
  <rrc rId="36153"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F1" start="0" length="0">
      <dxf>
        <numFmt numFmtId="167" formatCode="#,##0.0"/>
      </dxf>
    </rfmt>
    <rfmt sheetId="6" s="1" sqref="H1" start="0" length="0">
      <dxf>
        <numFmt numFmtId="13" formatCode="0%"/>
      </dxf>
    </rfmt>
  </rrc>
  <rrc rId="36154"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F1" start="0" length="0">
      <dxf>
        <numFmt numFmtId="167" formatCode="#,##0.0"/>
      </dxf>
    </rfmt>
    <rfmt sheetId="6" s="1" sqref="H1" start="0" length="0">
      <dxf>
        <numFmt numFmtId="13" formatCode="0%"/>
      </dxf>
    </rfmt>
  </rrc>
  <rrc rId="36155"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F1" start="0" length="0">
      <dxf>
        <numFmt numFmtId="167" formatCode="#,##0.0"/>
      </dxf>
    </rfmt>
    <rfmt sheetId="6" s="1" sqref="H1" start="0" length="0">
      <dxf>
        <numFmt numFmtId="13" formatCode="0%"/>
      </dxf>
    </rfmt>
  </rrc>
  <rrc rId="36156"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F1" start="0" length="0">
      <dxf>
        <numFmt numFmtId="167" formatCode="#,##0.0"/>
      </dxf>
    </rfmt>
    <rfmt sheetId="6" s="1" sqref="H1" start="0" length="0">
      <dxf>
        <numFmt numFmtId="13" formatCode="0%"/>
      </dxf>
    </rfmt>
  </rrc>
  <rrc rId="36157"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F1" start="0" length="0">
      <dxf>
        <numFmt numFmtId="167" formatCode="#,##0.0"/>
      </dxf>
    </rfmt>
    <rfmt sheetId="6" s="1" sqref="H1" start="0" length="0">
      <dxf>
        <numFmt numFmtId="13" formatCode="0%"/>
      </dxf>
    </rfmt>
  </rrc>
  <rrc rId="36158"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F1" start="0" length="0">
      <dxf>
        <numFmt numFmtId="167" formatCode="#,##0.0"/>
      </dxf>
    </rfmt>
    <rfmt sheetId="6" s="1" sqref="H1" start="0" length="0">
      <dxf>
        <numFmt numFmtId="13" formatCode="0%"/>
      </dxf>
    </rfmt>
  </rrc>
  <rrc rId="36159"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F1" start="0" length="0">
      <dxf>
        <numFmt numFmtId="167" formatCode="#,##0.0"/>
      </dxf>
    </rfmt>
    <rfmt sheetId="6" s="1" sqref="H1" start="0" length="0">
      <dxf>
        <numFmt numFmtId="13" formatCode="0%"/>
      </dxf>
    </rfmt>
  </rrc>
  <rrc rId="36160"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F1" start="0" length="0">
      <dxf>
        <numFmt numFmtId="167" formatCode="#,##0.0"/>
      </dxf>
    </rfmt>
    <rfmt sheetId="6" s="1" sqref="H1" start="0" length="0">
      <dxf>
        <numFmt numFmtId="13" formatCode="0%"/>
      </dxf>
    </rfmt>
  </rrc>
  <rrc rId="36161"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F1" start="0" length="0">
      <dxf>
        <numFmt numFmtId="167" formatCode="#,##0.0"/>
      </dxf>
    </rfmt>
    <rfmt sheetId="6" s="1" sqref="H1" start="0" length="0">
      <dxf>
        <numFmt numFmtId="13" formatCode="0%"/>
      </dxf>
    </rfmt>
  </rrc>
  <rrc rId="36162"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F1" start="0" length="0">
      <dxf>
        <numFmt numFmtId="167" formatCode="#,##0.0"/>
      </dxf>
    </rfmt>
    <rfmt sheetId="6" s="1" sqref="H1" start="0" length="0">
      <dxf>
        <numFmt numFmtId="13" formatCode="0%"/>
      </dxf>
    </rfmt>
  </rrc>
  <rrc rId="36163"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F1" start="0" length="0">
      <dxf>
        <numFmt numFmtId="167" formatCode="#,##0.0"/>
      </dxf>
    </rfmt>
    <rfmt sheetId="6" s="1" sqref="H1" start="0" length="0">
      <dxf>
        <numFmt numFmtId="13" formatCode="0%"/>
      </dxf>
    </rfmt>
  </rrc>
  <rrc rId="36164"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F1" start="0" length="0">
      <dxf>
        <numFmt numFmtId="167" formatCode="#,##0.0"/>
      </dxf>
    </rfmt>
    <rfmt sheetId="6" s="1" sqref="H1" start="0" length="0">
      <dxf>
        <numFmt numFmtId="13" formatCode="0%"/>
      </dxf>
    </rfmt>
  </rrc>
  <rrc rId="36165"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F1" start="0" length="0">
      <dxf>
        <numFmt numFmtId="167" formatCode="#,##0.0"/>
      </dxf>
    </rfmt>
    <rfmt sheetId="6" s="1" sqref="H1" start="0" length="0">
      <dxf>
        <numFmt numFmtId="13" formatCode="0%"/>
      </dxf>
    </rfmt>
  </rrc>
  <rrc rId="36166"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F1" start="0" length="0">
      <dxf>
        <numFmt numFmtId="167" formatCode="#,##0.0"/>
      </dxf>
    </rfmt>
    <rfmt sheetId="6" s="1" sqref="H1" start="0" length="0">
      <dxf>
        <numFmt numFmtId="13" formatCode="0%"/>
      </dxf>
    </rfmt>
  </rrc>
  <rrc rId="36167"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F1" start="0" length="0">
      <dxf>
        <numFmt numFmtId="167" formatCode="#,##0.0"/>
      </dxf>
    </rfmt>
    <rfmt sheetId="6" s="1" sqref="H1" start="0" length="0">
      <dxf>
        <numFmt numFmtId="13" formatCode="0%"/>
      </dxf>
    </rfmt>
  </rrc>
  <rrc rId="36168"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F1" start="0" length="0">
      <dxf>
        <numFmt numFmtId="167" formatCode="#,##0.0"/>
      </dxf>
    </rfmt>
    <rfmt sheetId="6" s="1" sqref="H1" start="0" length="0">
      <dxf>
        <numFmt numFmtId="13" formatCode="0%"/>
      </dxf>
    </rfmt>
  </rrc>
  <rrc rId="36169"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F1" start="0" length="0">
      <dxf>
        <numFmt numFmtId="167" formatCode="#,##0.0"/>
      </dxf>
    </rfmt>
    <rfmt sheetId="6" s="1" sqref="H1" start="0" length="0">
      <dxf>
        <numFmt numFmtId="13" formatCode="0%"/>
      </dxf>
    </rfmt>
  </rrc>
  <rrc rId="36170"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F1" start="0" length="0">
      <dxf>
        <numFmt numFmtId="167" formatCode="#,##0.0"/>
      </dxf>
    </rfmt>
    <rfmt sheetId="6" s="1" sqref="H1" start="0" length="0">
      <dxf>
        <numFmt numFmtId="13" formatCode="0%"/>
      </dxf>
    </rfmt>
  </rrc>
  <rrc rId="36171"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F1" start="0" length="0">
      <dxf>
        <numFmt numFmtId="167" formatCode="#,##0.0"/>
      </dxf>
    </rfmt>
    <rfmt sheetId="6" s="1" sqref="H1" start="0" length="0">
      <dxf>
        <numFmt numFmtId="13" formatCode="0%"/>
      </dxf>
    </rfmt>
  </rrc>
  <rrc rId="36172"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F1" start="0" length="0">
      <dxf>
        <numFmt numFmtId="167" formatCode="#,##0.0"/>
      </dxf>
    </rfmt>
    <rfmt sheetId="6" s="1" sqref="H1" start="0" length="0">
      <dxf>
        <numFmt numFmtId="13" formatCode="0%"/>
      </dxf>
    </rfmt>
  </rrc>
  <rrc rId="36173"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F1" start="0" length="0">
      <dxf>
        <numFmt numFmtId="167" formatCode="#,##0.0"/>
      </dxf>
    </rfmt>
    <rfmt sheetId="6" s="1" sqref="H1" start="0" length="0">
      <dxf>
        <numFmt numFmtId="13" formatCode="0%"/>
      </dxf>
    </rfmt>
  </rrc>
  <rrc rId="36174"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F1" start="0" length="0">
      <dxf>
        <numFmt numFmtId="167" formatCode="#,##0.0"/>
      </dxf>
    </rfmt>
    <rfmt sheetId="6" s="1" sqref="H1" start="0" length="0">
      <dxf>
        <numFmt numFmtId="13" formatCode="0%"/>
      </dxf>
    </rfmt>
  </rrc>
  <rrc rId="36175"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F1" start="0" length="0">
      <dxf>
        <numFmt numFmtId="167" formatCode="#,##0.0"/>
      </dxf>
    </rfmt>
    <rfmt sheetId="6" s="1" sqref="H1" start="0" length="0">
      <dxf>
        <numFmt numFmtId="13" formatCode="0%"/>
      </dxf>
    </rfmt>
  </rrc>
  <rrc rId="36176"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F1" start="0" length="0">
      <dxf>
        <numFmt numFmtId="167" formatCode="#,##0.0"/>
      </dxf>
    </rfmt>
    <rfmt sheetId="6" s="1" sqref="H1" start="0" length="0">
      <dxf>
        <numFmt numFmtId="13" formatCode="0%"/>
      </dxf>
    </rfmt>
  </rrc>
  <rrc rId="36177"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F1" start="0" length="0">
      <dxf>
        <numFmt numFmtId="167" formatCode="#,##0.0"/>
      </dxf>
    </rfmt>
    <rfmt sheetId="6" s="1" sqref="H1" start="0" length="0">
      <dxf>
        <numFmt numFmtId="13" formatCode="0%"/>
      </dxf>
    </rfmt>
  </rrc>
  <rrc rId="36178"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F1" start="0" length="0">
      <dxf>
        <numFmt numFmtId="167" formatCode="#,##0.0"/>
      </dxf>
    </rfmt>
    <rfmt sheetId="6" s="1" sqref="H1" start="0" length="0">
      <dxf>
        <numFmt numFmtId="13" formatCode="0%"/>
      </dxf>
    </rfmt>
  </rrc>
  <rrc rId="36179"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F1" start="0" length="0">
      <dxf>
        <numFmt numFmtId="167" formatCode="#,##0.0"/>
      </dxf>
    </rfmt>
    <rfmt sheetId="6" s="1" sqref="H1" start="0" length="0">
      <dxf>
        <numFmt numFmtId="13" formatCode="0%"/>
      </dxf>
    </rfmt>
  </rrc>
  <rrc rId="36180"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F1" start="0" length="0">
      <dxf>
        <numFmt numFmtId="167" formatCode="#,##0.0"/>
      </dxf>
    </rfmt>
    <rfmt sheetId="6" s="1" sqref="H1" start="0" length="0">
      <dxf>
        <numFmt numFmtId="13" formatCode="0%"/>
      </dxf>
    </rfmt>
  </rrc>
  <rrc rId="36181"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F1" start="0" length="0">
      <dxf>
        <numFmt numFmtId="167" formatCode="#,##0.0"/>
      </dxf>
    </rfmt>
    <rfmt sheetId="6" s="1" sqref="H1" start="0" length="0">
      <dxf>
        <numFmt numFmtId="13" formatCode="0%"/>
      </dxf>
    </rfmt>
  </rrc>
  <rrc rId="36182"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F1" start="0" length="0">
      <dxf>
        <numFmt numFmtId="167" formatCode="#,##0.0"/>
      </dxf>
    </rfmt>
    <rfmt sheetId="6" s="1" sqref="H1" start="0" length="0">
      <dxf>
        <numFmt numFmtId="13" formatCode="0%"/>
      </dxf>
    </rfmt>
  </rrc>
  <rrc rId="36183"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F1" start="0" length="0">
      <dxf>
        <numFmt numFmtId="167" formatCode="#,##0.0"/>
      </dxf>
    </rfmt>
    <rfmt sheetId="6" s="1" sqref="H1" start="0" length="0">
      <dxf>
        <numFmt numFmtId="13" formatCode="0%"/>
      </dxf>
    </rfmt>
  </rrc>
  <rrc rId="36184"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F1" start="0" length="0">
      <dxf>
        <numFmt numFmtId="167" formatCode="#,##0.0"/>
      </dxf>
    </rfmt>
    <rfmt sheetId="6" s="1" sqref="H1" start="0" length="0">
      <dxf>
        <numFmt numFmtId="13" formatCode="0%"/>
      </dxf>
    </rfmt>
  </rrc>
  <rrc rId="36185"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F1" start="0" length="0">
      <dxf>
        <numFmt numFmtId="167" formatCode="#,##0.0"/>
      </dxf>
    </rfmt>
    <rfmt sheetId="6" s="1" sqref="H1" start="0" length="0">
      <dxf>
        <numFmt numFmtId="13" formatCode="0%"/>
      </dxf>
    </rfmt>
  </rrc>
  <rrc rId="36186"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F1" start="0" length="0">
      <dxf>
        <numFmt numFmtId="167" formatCode="#,##0.0"/>
      </dxf>
    </rfmt>
    <rfmt sheetId="6" s="1" sqref="H1" start="0" length="0">
      <dxf>
        <numFmt numFmtId="13" formatCode="0%"/>
      </dxf>
    </rfmt>
  </rrc>
  <rrc rId="36187"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F1" start="0" length="0">
      <dxf>
        <numFmt numFmtId="167" formatCode="#,##0.0"/>
      </dxf>
    </rfmt>
    <rfmt sheetId="6" s="1" sqref="H1" start="0" length="0">
      <dxf>
        <numFmt numFmtId="13" formatCode="0%"/>
      </dxf>
    </rfmt>
  </rrc>
  <rrc rId="36188"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F1" start="0" length="0">
      <dxf>
        <numFmt numFmtId="167" formatCode="#,##0.0"/>
      </dxf>
    </rfmt>
    <rfmt sheetId="6" s="1" sqref="H1" start="0" length="0">
      <dxf>
        <numFmt numFmtId="13" formatCode="0%"/>
      </dxf>
    </rfmt>
  </rrc>
  <rrc rId="36189"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F1" start="0" length="0">
      <dxf>
        <numFmt numFmtId="167" formatCode="#,##0.0"/>
      </dxf>
    </rfmt>
    <rfmt sheetId="6" s="1" sqref="H1" start="0" length="0">
      <dxf>
        <numFmt numFmtId="13" formatCode="0%"/>
      </dxf>
    </rfmt>
  </rrc>
  <rrc rId="36190"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F1" start="0" length="0">
      <dxf>
        <numFmt numFmtId="167" formatCode="#,##0.0"/>
      </dxf>
    </rfmt>
    <rfmt sheetId="6" s="1" sqref="H1" start="0" length="0">
      <dxf>
        <numFmt numFmtId="13" formatCode="0%"/>
      </dxf>
    </rfmt>
  </rrc>
  <rrc rId="36191"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F1" start="0" length="0">
      <dxf>
        <numFmt numFmtId="167" formatCode="#,##0.0"/>
      </dxf>
    </rfmt>
    <rfmt sheetId="6" s="1" sqref="H1" start="0" length="0">
      <dxf>
        <numFmt numFmtId="13" formatCode="0%"/>
      </dxf>
    </rfmt>
  </rrc>
  <rrc rId="36192"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F1" start="0" length="0">
      <dxf>
        <numFmt numFmtId="167" formatCode="#,##0.0"/>
      </dxf>
    </rfmt>
    <rfmt sheetId="6" s="1" sqref="H1" start="0" length="0">
      <dxf>
        <numFmt numFmtId="13" formatCode="0%"/>
      </dxf>
    </rfmt>
  </rrc>
  <rrc rId="36193"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F1" start="0" length="0">
      <dxf>
        <numFmt numFmtId="167" formatCode="#,##0.0"/>
      </dxf>
    </rfmt>
    <rfmt sheetId="6" s="1" sqref="H1" start="0" length="0">
      <dxf>
        <numFmt numFmtId="13" formatCode="0%"/>
      </dxf>
    </rfmt>
  </rrc>
  <rrc rId="36194"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F1" start="0" length="0">
      <dxf>
        <numFmt numFmtId="167" formatCode="#,##0.0"/>
      </dxf>
    </rfmt>
    <rfmt sheetId="6" s="1" sqref="H1" start="0" length="0">
      <dxf>
        <numFmt numFmtId="13" formatCode="0%"/>
      </dxf>
    </rfmt>
  </rrc>
  <rrc rId="36195"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F1" start="0" length="0">
      <dxf>
        <numFmt numFmtId="167" formatCode="#,##0.0"/>
      </dxf>
    </rfmt>
    <rfmt sheetId="6" s="1" sqref="H1" start="0" length="0">
      <dxf>
        <numFmt numFmtId="13" formatCode="0%"/>
      </dxf>
    </rfmt>
  </rrc>
  <rrc rId="36196"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F1" start="0" length="0">
      <dxf>
        <numFmt numFmtId="167" formatCode="#,##0.0"/>
      </dxf>
    </rfmt>
    <rfmt sheetId="6" s="1" sqref="H1" start="0" length="0">
      <dxf>
        <numFmt numFmtId="13" formatCode="0%"/>
      </dxf>
    </rfmt>
  </rrc>
  <rrc rId="36197"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F1" start="0" length="0">
      <dxf>
        <numFmt numFmtId="167" formatCode="#,##0.0"/>
      </dxf>
    </rfmt>
    <rfmt sheetId="6" s="1" sqref="H1" start="0" length="0">
      <dxf>
        <numFmt numFmtId="13" formatCode="0%"/>
      </dxf>
    </rfmt>
  </rrc>
  <rrc rId="36198"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199"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200"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201"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202"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203"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204"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205"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206"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207"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208"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209"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210"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211"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212"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213"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214"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215"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216"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217"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218"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219"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220"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221"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222"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223"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224"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225"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226"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227"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228"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229"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230"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231"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232"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233"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234"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235"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236"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237"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238"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239"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240"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241"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242"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243"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244"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245"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246"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247"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248"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249"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250"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251"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252"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253"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254"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255"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256"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257"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258"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259"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260"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261"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262"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263"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264"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265"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266"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267"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268"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269"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270"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271"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272"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273"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274"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275"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276"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277"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278"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279"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280"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281"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282"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283"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284"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285"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286"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287"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288"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289"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290"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291"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292"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293"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294"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295"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296"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297"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298"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299"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300"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301"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302"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303"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304"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305"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306"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307"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308"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309"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310"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311"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312"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313"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314"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315"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316"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317"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318"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319"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320"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321"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322"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323"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324"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325"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326"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327"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328"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329"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330"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331"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332"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333"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334"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335"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336"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337"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338"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339"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340"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341"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342"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343"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344"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345"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346"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347"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348"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349"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350"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351"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352"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353"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354"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355"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356"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357"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358"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359"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360"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361"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362"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363"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364"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365"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366"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367"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368"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369"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370"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371"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372"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373"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374"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375"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376"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377"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378"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379"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380"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381"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382"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383"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384"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385"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386"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387"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388"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389"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390"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391"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392"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393"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394"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395"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396"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397"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398"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399"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400"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401"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402"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403"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404"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405"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406"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407"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408"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409"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410"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411"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412"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413"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414"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415"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416"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417"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418"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419"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420"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421"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422"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423"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424"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425"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426"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427"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428"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429"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430"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431"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432"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433"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434"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435"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436"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437"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438"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439"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440"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441"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442"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443"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444"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445"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446"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447"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448"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449"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450"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451"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452"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453"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454"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455"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456"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457"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458"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459"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460"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461"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462"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463"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464"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465"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466"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467"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468"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469"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470"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471"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472"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473"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474"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475"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476"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477"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478"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479"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480"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481"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482"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483"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484"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485"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486"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487"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488"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489"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490"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491"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492"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493"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494"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495"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496"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497"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498"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499"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500"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501"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502"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503"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504"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505"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506"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507"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508"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509"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510"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511"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512"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513"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514"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515"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516"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517"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518"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519"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520"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521"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522"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523"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524"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525"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526"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527"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528"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529"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530"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531"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532"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533"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534"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535"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536"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537"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538"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539"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540"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541"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542"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543"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544"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545"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546"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547"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548"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549"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550"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551"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552"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553"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554"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555"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556"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557"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558"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559"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560"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561"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562"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563"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564"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565"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566"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567"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568"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569"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570"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571"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572"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573"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574"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575"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576"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577"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578"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579"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580"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581"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582"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583"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584"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585"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586"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587"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588"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589"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590"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591"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592"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593"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594"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595"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596"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597"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598"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599"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600"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601"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602"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603"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604"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605"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606"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607"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608"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609"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610"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611"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612"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613"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614"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615"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616"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617"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618"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619"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620"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621"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622"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623"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624"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625"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626"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627"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628"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629"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630"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631"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632"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633"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634"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635"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636"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637"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638"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639"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640"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641"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642"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643"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644"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645"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646"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647"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648"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649"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650"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651"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652"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653"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654"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655"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656"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657"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658"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659"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660"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661"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662"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663"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664"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665"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666"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667"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668"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669"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670"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671"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672"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673"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674"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675"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676"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677"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678"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679"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680"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681"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682"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683"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684"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685"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686"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687"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688"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689"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690"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691"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692"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693"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694"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695"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696"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697"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698"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699"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700"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701"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702"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703"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704"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705"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706"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707"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708"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709"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710"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711"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712"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713"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714"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715"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716"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717"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718"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719"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720"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721"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722"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723"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724"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725"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726"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727"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728"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729"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730"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731"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732"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733"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734"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735"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736"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737"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738"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739"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740"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741"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742"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743"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744"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745"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746"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747"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748"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749"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750"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751"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752"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753"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754"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755"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756"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757"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758"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759"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760"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761"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762"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763"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764"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765"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766"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767"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768"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769"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770"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771"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772"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773"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774"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775"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776"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777"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778"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779"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780"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781"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782"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783"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784"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785"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786"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787"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788"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789"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790"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791"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792"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793"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794"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795"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796"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797"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798"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799"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800"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801"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802"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803"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804"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805"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806"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807"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808"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809"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810"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811"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812"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813"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814"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815"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816"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817"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818"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819"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820"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821"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822"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823"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824"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825"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826"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827"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828"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829"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830"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831"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832"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833"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834"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835"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836"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837"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838"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839"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840"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841"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842"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843"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844"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845"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846"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847"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848"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849"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850"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851"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852"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853"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854"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855"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856"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857"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858"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859"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860"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861"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862"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863"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864"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865"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866"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867"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868"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869"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870"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871"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872"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873"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874"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875"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876"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877"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878"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879"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880"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881"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882"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883"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884"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885"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886"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887"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888"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889"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890"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891"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892"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893"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894"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895"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896"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897"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898"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899"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900"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901"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902"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903"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904"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905"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906"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907"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908"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909"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910"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911"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912"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913"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914"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915"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916"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917"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918"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919"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920"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921"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922"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923"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924"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925"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926"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927"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928"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929"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930"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931"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932"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933"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934"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935"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936"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937"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938"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939"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940"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941"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942"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943"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944"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945"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946"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947"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948"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949"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950"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951"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952"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953"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954"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955"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956"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957"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958"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959"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960"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961"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962"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963"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964"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965"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966"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967"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968"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969"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970"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971"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972"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973"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974"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975"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976"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977"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978"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979"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980"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981"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982"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983"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984"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985"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986"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987"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988"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989"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990"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991"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992"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993"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994"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995"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996"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997"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998"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6999"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7000"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7001"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7002"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7003"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7004"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7005"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7006"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7007"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7008"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7009"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7010"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7011"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7012"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7013"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7014"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7015"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7016"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7017"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7018"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7019"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7020"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7021"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7022"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7023"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7024"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7025"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7026"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7027"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7028"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7029"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7030"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7031"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7032"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7033"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7034"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7035"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7036"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7037"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7038"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7039"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7040"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7041"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7042"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7043"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7044"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7045"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7046"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7047"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7048"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7049"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7050"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7051"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7052"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7053"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7054"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7055"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7056"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7057"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7058"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7059"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7060"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7061"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7062"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7063"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7064"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7065"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7066"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7067"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7068"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7069"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7070"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7071"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7072"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7073"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7074"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7075"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7076"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7077"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7078"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7079"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7080"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7081"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7082"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7083"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7084"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7085"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7086"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7087"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7088"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7089"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7090"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7091"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7092"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7093"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7094"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7095"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7096"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7097"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7098"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7099"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7100"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7101"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7102"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7103"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7104"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7105"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7106"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7107"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7108"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7109"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7110"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7111"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7112"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7113"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7114"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7115"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7116"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7117"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7118"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7119"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7120"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7121"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7122"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7123"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7124"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7125"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7126"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7127"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7128"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7129"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7130"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7131"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7132"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7133"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7134"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7135"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7136"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7137"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7138"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7139"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7140"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7141"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7142"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7143"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7144"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7145"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7146"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7147"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7148"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7149"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7150"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7151"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7152"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7153"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7154"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7155"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7156"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7157"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7158"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7159"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7160"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7161"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7162"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7163"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7164"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7165"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7166"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7167"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7168"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7169"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7170"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7171"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7172"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7173"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7174"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7175"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7176"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7177"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7178"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7179"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7180"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7181"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7182"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7183"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7184"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7185"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7186"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7187"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7188"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7189"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7190"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7191"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7192"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7193"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7194"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7195"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7196"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7197"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7198"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7199"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7200"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7201"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7202"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7203"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7204"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7205"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7206"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7207"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7208"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7209"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7210"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7211"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7212"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7213"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7214"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7215"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7216"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7217"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7218"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7219"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7220"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7221"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7222"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7223"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7224"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7225"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7226"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7227"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7228"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7229"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7230"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7231"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7232"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7233"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7234"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7235"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7236"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7237"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7238"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7239"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7240"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7241"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7242"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7243"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7244"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7245"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7246"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7247"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7248"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7249"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7250"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7251"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7252"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7253"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7254"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7255"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7256"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7257"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7258"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7259"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7260"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7261"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7262" sId="6" ref="A1:XFD1" action="deleteRow">
    <rfmt sheetId="6" xfDxf="1" sqref="A1:XFD1" start="0" length="0">
      <dxf>
        <font/>
      </dxf>
    </rfmt>
    <rfmt sheetId="6" sqref="B1" start="0" length="0">
      <dxf>
        <numFmt numFmtId="167" formatCode="#,##0.0"/>
      </dxf>
    </rfmt>
    <rfmt sheetId="6" sqref="C1" start="0" length="0">
      <dxf>
        <numFmt numFmtId="167" formatCode="#,##0.0"/>
      </dxf>
    </rfmt>
    <rfmt sheetId="6" sqref="D1" start="0" length="0">
      <dxf>
        <numFmt numFmtId="167" formatCode="#,##0.0"/>
      </dxf>
    </rfmt>
    <rfmt sheetId="6" sqref="E1" start="0" length="0">
      <dxf>
        <font>
          <sz val="10"/>
          <color auto="1"/>
          <name val="Arial"/>
          <scheme val="none"/>
        </font>
      </dxf>
    </rfmt>
    <rfmt sheetId="6" sqref="F1" start="0" length="0">
      <dxf>
        <numFmt numFmtId="167" formatCode="#,##0.0"/>
      </dxf>
    </rfmt>
    <rfmt sheetId="6" s="1" sqref="H1" start="0" length="0">
      <dxf>
        <font>
          <sz val="10"/>
          <color auto="1"/>
          <name val="Arial"/>
          <scheme val="none"/>
        </font>
        <numFmt numFmtId="13" formatCode="0%"/>
      </dxf>
    </rfmt>
    <rfmt sheetId="6" sqref="I1" start="0" length="0">
      <dxf>
        <font>
          <sz val="10"/>
          <color auto="1"/>
          <name val="Arial"/>
          <scheme val="none"/>
        </font>
      </dxf>
    </rfmt>
  </rrc>
  <rrc rId="37263" sId="7" ref="A1:XFD1" action="deleteRow">
    <undo index="0" exp="area" ref3D="1" dr="$A$1:$XFD$6" dn="Z_78CA186D_B240_44D5_8A24_D241DE0B0FD9_.wvu.Rows" sId="7"/>
    <undo index="0" exp="area" ref3D="1" dr="$A$1:$XFD$6" dn="Z_F784130D_F647_4ABA_8943_C79CA5B0FDC4_.wvu.Rows" sId="7"/>
    <undo index="0" exp="area" ref3D="1" dr="$A$1:$XFD$6" dn="Z_E44F5FE1_54FC_4AB3_84F9_7D65ACF2DDE7_.wvu.Rows" sId="7"/>
    <undo index="0" exp="area" ref3D="1" dr="$A$1:$XFD$6" dn="Z_AEFEB150_9213_45F5_A178_7AC71E46DB11_.wvu.Rows" sId="7"/>
    <undo index="0" exp="area" ref3D="1" dr="$A$1:$XFD$6" dn="Z_9D4F0482_B164_4671_805A_E0D2D4DD4720_.wvu.Rows" sId="7"/>
    <undo index="0" exp="area" ref3D="1" dr="$A$1:$XFD$6" dn="Z_94DA13B6_7351_40F3_8CF7_A4211EC439DA_.wvu.Rows" sId="7"/>
    <undo index="0" exp="area" ref3D="1" dr="$A$1:$XFD$6" dn="Z_8F508F4D_4777_42BE_9707_8CB9355F7BDB_.wvu.Rows" sId="7"/>
    <undo index="0" exp="area" ref3D="1" dr="$A$1:$XFD$6" dn="Z_567C3053_2D8E_4705_8DC7_18896C5303CA_.wvu.Rows" sId="7"/>
    <undo index="0" exp="area" ref3D="1" dr="$A$1:$XFD$6" dn="Z_455630F5_40FC_47DB_8AD4_712C20B8FB91_.wvu.Rows" sId="7"/>
    <undo index="0" exp="area" ref3D="1" dr="$A$1:$XFD$6" dn="Z_1E5198E1_BA46_4CE0_8628_4F695B0D7A3B_.wvu.Rows" sId="7"/>
    <rfmt sheetId="7" xfDxf="1" sqref="A1:XFD1" start="0" length="0"/>
    <rcc rId="0" sId="7" dxf="1">
      <nc r="A1" t="inlineStr">
        <is>
          <t xml:space="preserve">Government of the District of Columbia </t>
        </is>
      </nc>
      <ndxf>
        <font>
          <b/>
          <sz val="10"/>
          <color auto="1"/>
          <name val="Arial"/>
          <scheme val="none"/>
        </font>
      </ndxf>
    </rcc>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qref="E1" start="0" length="0">
      <dxf>
        <font>
          <sz val="10"/>
          <color auto="1"/>
          <name val="Arial"/>
          <scheme val="none"/>
        </font>
      </dxf>
    </rfmt>
    <rfmt sheetId="7" sqref="F1" start="0" length="0">
      <dxf>
        <font>
          <sz val="10"/>
          <color auto="1"/>
          <name val="Arial"/>
          <scheme val="none"/>
        </font>
        <numFmt numFmtId="10" formatCode="&quot;$&quot;#,##0_);[Red]\(&quot;$&quot;#,##0\)"/>
      </dxf>
    </rfmt>
    <rfmt sheetId="7"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264" sId="7" ref="A1:XFD1" action="deleteRow">
    <undo index="0" exp="area" ref3D="1" dr="$A$1:$XFD$5" dn="Z_78CA186D_B240_44D5_8A24_D241DE0B0FD9_.wvu.Rows" sId="7"/>
    <undo index="0" exp="area" ref3D="1" dr="$A$1:$XFD$5" dn="Z_F784130D_F647_4ABA_8943_C79CA5B0FDC4_.wvu.Rows" sId="7"/>
    <undo index="0" exp="area" ref3D="1" dr="$A$1:$XFD$5" dn="Z_E44F5FE1_54FC_4AB3_84F9_7D65ACF2DDE7_.wvu.Rows" sId="7"/>
    <undo index="0" exp="area" ref3D="1" dr="$A$1:$XFD$5" dn="Z_AEFEB150_9213_45F5_A178_7AC71E46DB11_.wvu.Rows" sId="7"/>
    <undo index="0" exp="area" ref3D="1" dr="$A$1:$XFD$5" dn="Z_9D4F0482_B164_4671_805A_E0D2D4DD4720_.wvu.Rows" sId="7"/>
    <undo index="0" exp="area" ref3D="1" dr="$A$1:$XFD$5" dn="Z_94DA13B6_7351_40F3_8CF7_A4211EC439DA_.wvu.Rows" sId="7"/>
    <undo index="0" exp="area" ref3D="1" dr="$A$1:$XFD$5" dn="Z_8F508F4D_4777_42BE_9707_8CB9355F7BDB_.wvu.Rows" sId="7"/>
    <undo index="0" exp="area" ref3D="1" dr="$A$1:$XFD$5" dn="Z_567C3053_2D8E_4705_8DC7_18896C5303CA_.wvu.Rows" sId="7"/>
    <undo index="0" exp="area" ref3D="1" dr="$A$1:$XFD$5" dn="Z_455630F5_40FC_47DB_8AD4_712C20B8FB91_.wvu.Rows" sId="7"/>
    <undo index="0" exp="area" ref3D="1" dr="$A$1:$XFD$5" dn="Z_1E5198E1_BA46_4CE0_8628_4F695B0D7A3B_.wvu.Rows" sId="7"/>
    <rfmt sheetId="7" xfDxf="1" sqref="A1:XFD1" start="0" length="0"/>
    <rcc rId="0" sId="7" dxf="1">
      <nc r="A1" t="inlineStr">
        <is>
          <t>Fiscal Year 2009 Budget</t>
        </is>
      </nc>
      <ndxf>
        <font>
          <b/>
          <sz val="10"/>
          <color auto="1"/>
          <name val="Arial"/>
          <scheme val="none"/>
        </font>
      </ndxf>
    </rcc>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qref="E1" start="0" length="0">
      <dxf>
        <font>
          <sz val="10"/>
          <color auto="1"/>
          <name val="Arial"/>
          <scheme val="none"/>
        </font>
      </dxf>
    </rfmt>
    <rfmt sheetId="7" sqref="F1" start="0" length="0">
      <dxf>
        <font>
          <sz val="10"/>
          <color auto="1"/>
          <name val="Arial"/>
          <scheme val="none"/>
        </font>
        <numFmt numFmtId="10" formatCode="&quot;$&quot;#,##0_);[Red]\(&quot;$&quot;#,##0\)"/>
      </dxf>
    </rfmt>
    <rfmt sheetId="7"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265" sId="7" ref="A1:XFD1" action="deleteRow">
    <undo index="0" exp="area" ref3D="1" dr="$A$1:$XFD$4" dn="Z_78CA186D_B240_44D5_8A24_D241DE0B0FD9_.wvu.Rows" sId="7"/>
    <undo index="0" exp="area" ref3D="1" dr="$A$1:$XFD$4" dn="Z_F784130D_F647_4ABA_8943_C79CA5B0FDC4_.wvu.Rows" sId="7"/>
    <undo index="0" exp="area" ref3D="1" dr="$A$1:$XFD$4" dn="Z_E44F5FE1_54FC_4AB3_84F9_7D65ACF2DDE7_.wvu.Rows" sId="7"/>
    <undo index="0" exp="area" ref3D="1" dr="$A$1:$XFD$4" dn="Z_AEFEB150_9213_45F5_A178_7AC71E46DB11_.wvu.Rows" sId="7"/>
    <undo index="0" exp="area" ref3D="1" dr="$A$1:$XFD$4" dn="Z_9D4F0482_B164_4671_805A_E0D2D4DD4720_.wvu.Rows" sId="7"/>
    <undo index="0" exp="area" ref3D="1" dr="$A$1:$XFD$4" dn="Z_94DA13B6_7351_40F3_8CF7_A4211EC439DA_.wvu.Rows" sId="7"/>
    <undo index="0" exp="area" ref3D="1" dr="$A$1:$XFD$4" dn="Z_8F508F4D_4777_42BE_9707_8CB9355F7BDB_.wvu.Rows" sId="7"/>
    <undo index="0" exp="area" ref3D="1" dr="$A$1:$XFD$4" dn="Z_567C3053_2D8E_4705_8DC7_18896C5303CA_.wvu.Rows" sId="7"/>
    <undo index="0" exp="area" ref3D="1" dr="$A$1:$XFD$4" dn="Z_455630F5_40FC_47DB_8AD4_712C20B8FB91_.wvu.Rows" sId="7"/>
    <undo index="0" exp="area" ref3D="1" dr="$A$1:$XFD$4" dn="Z_1E5198E1_BA46_4CE0_8628_4F695B0D7A3B_.wvu.Rows" sId="7"/>
    <rfmt sheetId="7" xfDxf="1" sqref="A1:XFD1" start="0" length="0"/>
    <rfmt sheetId="7" sqref="A1" start="0" length="0">
      <dxf>
        <font>
          <sz val="10"/>
          <color auto="1"/>
          <name val="Arial"/>
          <scheme val="none"/>
        </font>
      </dxf>
    </rfmt>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qref="E1" start="0" length="0">
      <dxf>
        <font>
          <sz val="10"/>
          <color auto="1"/>
          <name val="Arial"/>
          <scheme val="none"/>
        </font>
      </dxf>
    </rfmt>
    <rfmt sheetId="7" sqref="F1" start="0" length="0">
      <dxf>
        <font>
          <sz val="10"/>
          <color auto="1"/>
          <name val="Arial"/>
          <scheme val="none"/>
        </font>
        <numFmt numFmtId="10" formatCode="&quot;$&quot;#,##0_);[Red]\(&quot;$&quot;#,##0\)"/>
      </dxf>
    </rfmt>
    <rfmt sheetId="7"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266" sId="7" ref="A1:XFD1" action="deleteRow">
    <undo index="0" exp="area" ref3D="1" dr="$A$1:$XFD$3" dn="Z_78CA186D_B240_44D5_8A24_D241DE0B0FD9_.wvu.Rows" sId="7"/>
    <undo index="0" exp="area" ref3D="1" dr="$A$1:$XFD$3" dn="Z_F784130D_F647_4ABA_8943_C79CA5B0FDC4_.wvu.Rows" sId="7"/>
    <undo index="0" exp="area" ref3D="1" dr="$A$1:$XFD$3" dn="Z_E44F5FE1_54FC_4AB3_84F9_7D65ACF2DDE7_.wvu.Rows" sId="7"/>
    <undo index="0" exp="area" ref3D="1" dr="$A$1:$XFD$3" dn="Z_AEFEB150_9213_45F5_A178_7AC71E46DB11_.wvu.Rows" sId="7"/>
    <undo index="0" exp="area" ref3D="1" dr="$A$1:$XFD$3" dn="Z_9D4F0482_B164_4671_805A_E0D2D4DD4720_.wvu.Rows" sId="7"/>
    <undo index="0" exp="area" ref3D="1" dr="$A$1:$XFD$3" dn="Z_94DA13B6_7351_40F3_8CF7_A4211EC439DA_.wvu.Rows" sId="7"/>
    <undo index="0" exp="area" ref3D="1" dr="$A$1:$XFD$3" dn="Z_8F508F4D_4777_42BE_9707_8CB9355F7BDB_.wvu.Rows" sId="7"/>
    <undo index="0" exp="area" ref3D="1" dr="$A$1:$XFD$3" dn="Z_567C3053_2D8E_4705_8DC7_18896C5303CA_.wvu.Rows" sId="7"/>
    <undo index="0" exp="area" ref3D="1" dr="$A$1:$XFD$3" dn="Z_455630F5_40FC_47DB_8AD4_712C20B8FB91_.wvu.Rows" sId="7"/>
    <undo index="0" exp="area" ref3D="1" dr="$A$1:$XFD$3" dn="Z_1E5198E1_BA46_4CE0_8628_4F695B0D7A3B_.wvu.Rows" sId="7"/>
    <rfmt sheetId="7" xfDxf="1" sqref="A1:XFD1" start="0" length="0"/>
    <rcc rId="0" sId="7" dxf="1">
      <nc r="A1" t="inlineStr">
        <is>
          <t>* Includes Local and Special Purpose (General) Funds only</t>
        </is>
      </nc>
      <ndxf>
        <font>
          <sz val="10"/>
          <color auto="1"/>
          <name val="Arial"/>
          <scheme val="none"/>
        </font>
      </ndxf>
    </rcc>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qref="E1" start="0" length="0">
      <dxf>
        <font>
          <sz val="10"/>
          <color auto="1"/>
          <name val="Arial"/>
          <scheme val="none"/>
        </font>
      </dxf>
    </rfmt>
    <rfmt sheetId="7" sqref="F1" start="0" length="0">
      <dxf>
        <font>
          <sz val="10"/>
          <color auto="1"/>
          <name val="Arial"/>
          <scheme val="none"/>
        </font>
        <numFmt numFmtId="10" formatCode="&quot;$&quot;#,##0_);[Red]\(&quot;$&quot;#,##0\)"/>
      </dxf>
    </rfmt>
    <rfmt sheetId="7"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267" sId="7" ref="A1:XFD1" action="deleteRow">
    <undo index="0" exp="area" ref3D="1" dr="$A$1:$XFD$2" dn="Z_78CA186D_B240_44D5_8A24_D241DE0B0FD9_.wvu.Rows" sId="7"/>
    <undo index="0" exp="area" ref3D="1" dr="$A$1:$XFD$2" dn="Z_F784130D_F647_4ABA_8943_C79CA5B0FDC4_.wvu.Rows" sId="7"/>
    <undo index="0" exp="area" ref3D="1" dr="$A$1:$XFD$2" dn="Z_E44F5FE1_54FC_4AB3_84F9_7D65ACF2DDE7_.wvu.Rows" sId="7"/>
    <undo index="0" exp="area" ref3D="1" dr="$A$1:$XFD$2" dn="Z_AEFEB150_9213_45F5_A178_7AC71E46DB11_.wvu.Rows" sId="7"/>
    <undo index="0" exp="area" ref3D="1" dr="$A$1:$XFD$2" dn="Z_9D4F0482_B164_4671_805A_E0D2D4DD4720_.wvu.Rows" sId="7"/>
    <undo index="0" exp="area" ref3D="1" dr="$A$1:$XFD$2" dn="Z_94DA13B6_7351_40F3_8CF7_A4211EC439DA_.wvu.Rows" sId="7"/>
    <undo index="0" exp="area" ref3D="1" dr="$A$1:$XFD$2" dn="Z_8F508F4D_4777_42BE_9707_8CB9355F7BDB_.wvu.Rows" sId="7"/>
    <undo index="0" exp="area" ref3D="1" dr="$A$1:$XFD$2" dn="Z_567C3053_2D8E_4705_8DC7_18896C5303CA_.wvu.Rows" sId="7"/>
    <undo index="0" exp="area" ref3D="1" dr="$A$1:$XFD$2" dn="Z_455630F5_40FC_47DB_8AD4_712C20B8FB91_.wvu.Rows" sId="7"/>
    <undo index="0" exp="area" ref3D="1" dr="$A$1:$XFD$2" dn="Z_1E5198E1_BA46_4CE0_8628_4F695B0D7A3B_.wvu.Rows" sId="7"/>
    <rfmt sheetId="7" xfDxf="1" sqref="A1:XFD1" start="0" length="0"/>
    <rcc rId="0" sId="7" dxf="1">
      <nc r="A1" t="inlineStr">
        <is>
          <t>* All dollar figures are in thousands ($000's)</t>
        </is>
      </nc>
      <ndxf>
        <font>
          <sz val="10"/>
          <color auto="1"/>
          <name val="Arial"/>
          <scheme val="none"/>
        </font>
      </ndxf>
    </rcc>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qref="E1" start="0" length="0">
      <dxf>
        <font>
          <sz val="10"/>
          <color auto="1"/>
          <name val="Arial"/>
          <scheme val="none"/>
        </font>
      </dxf>
    </rfmt>
    <rfmt sheetId="7" sqref="F1" start="0" length="0">
      <dxf>
        <font>
          <sz val="10"/>
          <color auto="1"/>
          <name val="Arial"/>
          <scheme val="none"/>
        </font>
        <numFmt numFmtId="10" formatCode="&quot;$&quot;#,##0_);[Red]\(&quot;$&quot;#,##0\)"/>
      </dxf>
    </rfmt>
    <rfmt sheetId="7"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268" sId="7" ref="A1:XFD1" action="deleteRow">
    <undo index="0" exp="area" ref3D="1" dr="$A$1:$XFD$1" dn="Z_78CA186D_B240_44D5_8A24_D241DE0B0FD9_.wvu.Rows" sId="7"/>
    <undo index="0" exp="area" ref3D="1" dr="$A$1:$XFD$1" dn="Z_F784130D_F647_4ABA_8943_C79CA5B0FDC4_.wvu.Rows" sId="7"/>
    <undo index="0" exp="area" ref3D="1" dr="$A$1:$XFD$1" dn="Z_E44F5FE1_54FC_4AB3_84F9_7D65ACF2DDE7_.wvu.Rows" sId="7"/>
    <undo index="0" exp="area" ref3D="1" dr="$A$1:$XFD$1" dn="Z_AEFEB150_9213_45F5_A178_7AC71E46DB11_.wvu.Rows" sId="7"/>
    <undo index="0" exp="area" ref3D="1" dr="$A$1:$XFD$1" dn="Z_9D4F0482_B164_4671_805A_E0D2D4DD4720_.wvu.Rows" sId="7"/>
    <undo index="0" exp="area" ref3D="1" dr="$A$1:$XFD$1" dn="Z_94DA13B6_7351_40F3_8CF7_A4211EC439DA_.wvu.Rows" sId="7"/>
    <undo index="0" exp="area" ref3D="1" dr="$A$1:$XFD$1" dn="Z_8F508F4D_4777_42BE_9707_8CB9355F7BDB_.wvu.Rows" sId="7"/>
    <undo index="0" exp="area" ref3D="1" dr="$A$1:$XFD$1" dn="Z_567C3053_2D8E_4705_8DC7_18896C5303CA_.wvu.Rows" sId="7"/>
    <undo index="0" exp="area" ref3D="1" dr="$A$1:$XFD$1" dn="Z_455630F5_40FC_47DB_8AD4_712C20B8FB91_.wvu.Rows" sId="7"/>
    <undo index="0" exp="area" ref3D="1" dr="$A$1:$XFD$1" dn="Z_1E5198E1_BA46_4CE0_8628_4F695B0D7A3B_.wvu.Rows" sId="7"/>
    <rfmt sheetId="7" xfDxf="1" sqref="A1:XFD1" start="0" length="0"/>
    <rfmt sheetId="7" sqref="A1" start="0" length="0">
      <dxf>
        <font>
          <sz val="10"/>
          <color auto="1"/>
          <name val="Arial"/>
          <scheme val="none"/>
        </font>
      </dxf>
    </rfmt>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qref="E1" start="0" length="0">
      <dxf>
        <font>
          <sz val="10"/>
          <color auto="1"/>
          <name val="Arial"/>
          <scheme val="none"/>
        </font>
      </dxf>
    </rfmt>
    <rfmt sheetId="7" sqref="F1" start="0" length="0">
      <dxf>
        <font>
          <sz val="10"/>
          <color auto="1"/>
          <name val="Arial"/>
          <scheme val="none"/>
        </font>
        <numFmt numFmtId="10" formatCode="&quot;$&quot;#,##0_);[Red]\(&quot;$&quot;#,##0\)"/>
      </dxf>
    </rfmt>
    <rfmt sheetId="7"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269" sId="7" ref="A1:XFD1" action="deleteRow">
    <rfmt sheetId="7" xfDxf="1" sqref="A1:XFD1" start="0" length="0"/>
    <rfmt sheetId="7" sqref="A1" start="0" length="0">
      <dxf>
        <font>
          <sz val="10"/>
          <color auto="1"/>
          <name val="Arial"/>
          <scheme val="none"/>
        </font>
        <border outline="0">
          <left style="medium">
            <color indexed="64"/>
          </left>
          <right style="medium">
            <color indexed="64"/>
          </right>
          <top style="medium">
            <color indexed="64"/>
          </top>
        </border>
      </dxf>
    </rfmt>
    <rcc rId="0" sId="7" dxf="1">
      <nc r="B1" t="inlineStr">
        <is>
          <t>FY 2008</t>
        </is>
      </nc>
      <ndxf>
        <font>
          <b/>
          <sz val="10"/>
          <color auto="1"/>
          <name val="Arial"/>
          <scheme val="none"/>
        </font>
        <numFmt numFmtId="10" formatCode="&quot;$&quot;#,##0_);[Red]\(&quot;$&quot;#,##0\)"/>
        <fill>
          <patternFill patternType="solid">
            <bgColor indexed="41"/>
          </patternFill>
        </fill>
        <alignment horizontal="center" vertical="top" readingOrder="0"/>
        <border outline="0">
          <left style="medium">
            <color indexed="64"/>
          </left>
          <right style="medium">
            <color indexed="64"/>
          </right>
          <top style="medium">
            <color indexed="64"/>
          </top>
          <bottom style="medium">
            <color indexed="64"/>
          </bottom>
        </border>
      </ndxf>
    </rcc>
    <rcc rId="0" sId="7" dxf="1">
      <nc r="C1" t="inlineStr">
        <is>
          <t>FY2009</t>
        </is>
      </nc>
      <ndxf>
        <font>
          <b/>
          <sz val="10"/>
          <color auto="1"/>
          <name val="Arial"/>
          <scheme val="none"/>
        </font>
        <numFmt numFmtId="10" formatCode="&quot;$&quot;#,##0_);[Red]\(&quot;$&quot;#,##0\)"/>
        <fill>
          <patternFill patternType="solid">
            <bgColor indexed="49"/>
          </patternFill>
        </fill>
        <alignment horizontal="center" vertical="top" readingOrder="0"/>
        <border outline="0">
          <left style="medium">
            <color indexed="64"/>
          </left>
          <top style="medium">
            <color indexed="64"/>
          </top>
          <bottom style="medium">
            <color indexed="64"/>
          </bottom>
        </border>
      </ndxf>
    </rcc>
    <rcc rId="0" sId="7" dxf="1">
      <nc r="D1" t="inlineStr">
        <is>
          <t>Change FY '08-'09</t>
        </is>
      </nc>
      <ndxf>
        <font>
          <b/>
          <sz val="10"/>
          <color auto="1"/>
          <name val="Arial"/>
          <scheme val="none"/>
        </font>
        <numFmt numFmtId="10" formatCode="&quot;$&quot;#,##0_);[Red]\(&quot;$&quot;#,##0\)"/>
        <fill>
          <patternFill patternType="solid">
            <bgColor indexed="49"/>
          </patternFill>
        </fill>
        <alignment horizontal="center" vertical="top" readingOrder="0"/>
        <border outline="0">
          <left style="medium">
            <color indexed="64"/>
          </left>
          <top style="medium">
            <color indexed="64"/>
          </top>
          <bottom style="medium">
            <color indexed="64"/>
          </bottom>
        </border>
      </ndxf>
    </rcc>
    <rfmt sheetId="7" sqref="E1" start="0" length="0">
      <dxf>
        <font>
          <b/>
          <sz val="10"/>
          <color auto="1"/>
          <name val="Arial"/>
          <scheme val="none"/>
        </font>
        <numFmt numFmtId="10" formatCode="&quot;$&quot;#,##0_);[Red]\(&quot;$&quot;#,##0\)"/>
        <fill>
          <patternFill patternType="solid">
            <bgColor indexed="49"/>
          </patternFill>
        </fill>
        <alignment horizontal="center" vertical="top" readingOrder="0"/>
        <border outline="0">
          <right style="medium">
            <color indexed="64"/>
          </right>
          <top style="medium">
            <color indexed="64"/>
          </top>
          <bottom style="medium">
            <color indexed="64"/>
          </bottom>
        </border>
      </dxf>
    </rfmt>
    <rcc rId="0" sId="7" dxf="1">
      <nc r="F1" t="inlineStr">
        <is>
          <t>FY2010</t>
        </is>
      </nc>
      <ndxf>
        <font>
          <b/>
          <sz val="10"/>
          <color auto="1"/>
          <name val="Arial"/>
          <scheme val="none"/>
        </font>
        <numFmt numFmtId="10" formatCode="&quot;$&quot;#,##0_);[Red]\(&quot;$&quot;#,##0\)"/>
        <fill>
          <patternFill patternType="solid">
            <bgColor indexed="41"/>
          </patternFill>
        </fill>
        <alignment horizontal="center" vertical="top" readingOrder="0"/>
        <border outline="0">
          <left style="medium">
            <color indexed="64"/>
          </left>
          <right style="medium">
            <color indexed="64"/>
          </right>
          <top style="medium">
            <color indexed="64"/>
          </top>
          <bottom style="medium">
            <color indexed="64"/>
          </bottom>
        </border>
      </ndxf>
    </rcc>
    <rcc rId="0" sId="7" dxf="1">
      <nc r="G1" t="inlineStr">
        <is>
          <t>Change FY '09-'10</t>
        </is>
      </nc>
      <ndxf>
        <font>
          <b/>
          <sz val="10"/>
          <color auto="1"/>
          <name val="Arial"/>
          <scheme val="none"/>
        </font>
        <fill>
          <patternFill patternType="solid">
            <bgColor indexed="41"/>
          </patternFill>
        </fill>
        <alignment horizontal="center" vertical="top" readingOrder="0"/>
        <border outline="0">
          <left style="medium">
            <color indexed="64"/>
          </left>
          <top style="medium">
            <color indexed="64"/>
          </top>
          <bottom style="medium">
            <color indexed="64"/>
          </bottom>
        </border>
      </ndxf>
    </rcc>
    <rfmt sheetId="7" sqref="H1" start="0" length="0">
      <dxf>
        <font>
          <b/>
          <sz val="10"/>
          <color auto="1"/>
          <name val="Arial"/>
          <scheme val="none"/>
        </font>
        <fill>
          <patternFill patternType="solid">
            <bgColor indexed="41"/>
          </patternFill>
        </fill>
        <alignment horizontal="center" vertical="top" readingOrder="0"/>
        <border outline="0">
          <right style="medium">
            <color indexed="64"/>
          </right>
          <top style="medium">
            <color indexed="64"/>
          </top>
          <bottom style="medium">
            <color indexed="64"/>
          </bottom>
        </border>
      </dxf>
    </rfmt>
    <rcc rId="0" sId="7">
      <nc r="I1" t="inlineStr">
        <is>
          <t>FY 2010 Gross Funds</t>
        </is>
      </nc>
    </rcc>
    <rcc rId="0" sId="7">
      <nc r="J1" t="inlineStr">
        <is>
          <t>Change</t>
        </is>
      </nc>
    </rcc>
    <rcc rId="0" sId="7">
      <nc r="K1" t="inlineStr">
        <is>
          <t>Change Rate</t>
        </is>
      </nc>
    </rcc>
    <rcc rId="0" sId="7">
      <nc r="L1" t="inlineStr">
        <is>
          <t>Change</t>
        </is>
      </nc>
    </rcc>
  </rrc>
  <rrc rId="37270" sId="7" ref="A1:XFD1" action="deleteRow">
    <rfmt sheetId="7" xfDxf="1" sqref="A1:XFD1" start="0" length="0">
      <dxf>
        <border outline="0">
          <bottom style="medium">
            <color indexed="64"/>
          </bottom>
        </border>
      </dxf>
    </rfmt>
    <rcc rId="0" sId="7" dxf="1">
      <nc r="A1" t="inlineStr">
        <is>
          <t>Appropriation Title</t>
        </is>
      </nc>
      <ndxf>
        <font>
          <b/>
          <sz val="10"/>
          <color auto="1"/>
          <name val="Arial"/>
          <scheme val="none"/>
        </font>
        <border outline="0">
          <left style="medium">
            <color indexed="64"/>
          </left>
          <right style="medium">
            <color indexed="64"/>
          </right>
        </border>
      </ndxf>
    </rcc>
    <rcc rId="0" sId="7" dxf="1">
      <nc r="B1" t="inlineStr">
        <is>
          <t>Gross</t>
        </is>
      </nc>
      <ndxf>
        <font>
          <b/>
          <sz val="10"/>
          <color auto="1"/>
          <name val="Arial"/>
          <scheme val="none"/>
        </font>
        <numFmt numFmtId="10" formatCode="&quot;$&quot;#,##0_);[Red]\(&quot;$&quot;#,##0\)"/>
        <fill>
          <patternFill patternType="solid">
            <bgColor indexed="41"/>
          </patternFill>
        </fill>
        <alignment horizontal="center" vertical="top" readingOrder="0"/>
        <border outline="0">
          <left style="medium">
            <color indexed="64"/>
          </left>
          <right style="medium">
            <color indexed="64"/>
          </right>
        </border>
      </ndxf>
    </rcc>
    <rcc rId="0" sId="7" dxf="1">
      <nc r="C1" t="inlineStr">
        <is>
          <t>Gross (March '09)</t>
        </is>
      </nc>
      <ndxf>
        <font>
          <b/>
          <sz val="10"/>
          <color auto="1"/>
          <name val="Arial"/>
          <scheme val="none"/>
        </font>
        <numFmt numFmtId="10" formatCode="&quot;$&quot;#,##0_);[Red]\(&quot;$&quot;#,##0\)"/>
        <fill>
          <patternFill patternType="solid">
            <bgColor indexed="49"/>
          </patternFill>
        </fill>
        <alignment horizontal="center" vertical="top" wrapText="1" readingOrder="0"/>
        <border outline="0">
          <left style="medium">
            <color indexed="64"/>
          </left>
        </border>
      </ndxf>
    </rcc>
    <rcc rId="0" sId="7" dxf="1">
      <nc r="D1" t="inlineStr">
        <is>
          <t>S</t>
        </is>
      </nc>
      <ndxf>
        <font>
          <b/>
          <sz val="10"/>
          <color auto="1"/>
          <name val="Arial"/>
          <scheme val="none"/>
        </font>
        <numFmt numFmtId="10" formatCode="&quot;$&quot;#,##0_);[Red]\(&quot;$&quot;#,##0\)"/>
        <fill>
          <patternFill patternType="solid">
            <bgColor indexed="49"/>
          </patternFill>
        </fill>
        <alignment horizontal="center" vertical="top" readingOrder="0"/>
        <border outline="0">
          <left style="medium">
            <color indexed="64"/>
          </left>
        </border>
      </ndxf>
    </rcc>
    <rcc rId="0" sId="7" dxf="1">
      <nc r="E1" t="inlineStr">
        <is>
          <t>%</t>
        </is>
      </nc>
      <ndxf>
        <font>
          <b/>
          <sz val="10"/>
          <color auto="1"/>
          <name val="Arial"/>
          <scheme val="none"/>
        </font>
        <numFmt numFmtId="13" formatCode="0%"/>
        <fill>
          <patternFill patternType="solid">
            <bgColor indexed="49"/>
          </patternFill>
        </fill>
        <alignment horizontal="center" vertical="top" readingOrder="0"/>
        <border outline="0">
          <left style="medium">
            <color indexed="64"/>
          </left>
        </border>
      </ndxf>
    </rcc>
    <rcc rId="0" sId="7" dxf="1">
      <nc r="F1" t="inlineStr">
        <is>
          <t>Gross</t>
        </is>
      </nc>
      <ndxf>
        <font>
          <b/>
          <sz val="10"/>
          <color auto="1"/>
          <name val="Arial"/>
          <scheme val="none"/>
        </font>
        <numFmt numFmtId="10" formatCode="&quot;$&quot;#,##0_);[Red]\(&quot;$&quot;#,##0\)"/>
        <fill>
          <patternFill patternType="solid">
            <bgColor indexed="41"/>
          </patternFill>
        </fill>
        <alignment horizontal="center" vertical="top" readingOrder="0"/>
        <border outline="0">
          <left style="medium">
            <color indexed="64"/>
          </left>
          <right style="medium">
            <color indexed="64"/>
          </right>
        </border>
      </ndxf>
    </rcc>
    <rcc rId="0" sId="7" dxf="1">
      <nc r="G1" t="inlineStr">
        <is>
          <t>S</t>
        </is>
      </nc>
      <ndxf>
        <font>
          <b/>
          <sz val="10"/>
          <color auto="1"/>
          <name val="Arial"/>
          <scheme val="none"/>
        </font>
        <numFmt numFmtId="10" formatCode="&quot;$&quot;#,##0_);[Red]\(&quot;$&quot;#,##0\)"/>
        <fill>
          <patternFill patternType="solid">
            <bgColor indexed="41"/>
          </patternFill>
        </fill>
        <alignment horizontal="center" vertical="top" readingOrder="0"/>
        <border outline="0">
          <left style="medium">
            <color indexed="64"/>
          </left>
          <right style="medium">
            <color indexed="64"/>
          </right>
        </border>
      </ndxf>
    </rcc>
    <rcc rId="0" sId="7" dxf="1">
      <nc r="H1" t="inlineStr">
        <is>
          <t>%</t>
        </is>
      </nc>
      <ndxf>
        <font>
          <b/>
          <sz val="10"/>
          <color auto="1"/>
          <name val="Arial"/>
          <scheme val="none"/>
        </font>
        <numFmt numFmtId="13" formatCode="0%"/>
        <fill>
          <patternFill patternType="solid">
            <bgColor indexed="41"/>
          </patternFill>
        </fill>
        <alignment horizontal="center" vertical="top" readingOrder="0"/>
        <border outline="0">
          <left style="medium">
            <color indexed="64"/>
          </left>
          <right style="medium">
            <color indexed="64"/>
          </right>
        </border>
      </ndxf>
    </rcc>
    <rcc rId="0" sId="7" dxf="1">
      <nc r="J1" t="inlineStr">
        <is>
          <t>2008-2010</t>
        </is>
      </nc>
      <ndxf>
        <font>
          <sz val="10"/>
          <color auto="1"/>
          <name val="Arial"/>
          <scheme val="none"/>
        </font>
      </ndxf>
    </rcc>
    <rfmt sheetId="7" sqref="K1" start="0" length="0">
      <dxf>
        <font>
          <sz val="10"/>
          <color auto="1"/>
          <name val="Arial"/>
          <scheme val="none"/>
        </font>
      </dxf>
    </rfmt>
    <rcc rId="0" sId="7">
      <nc r="L1" t="inlineStr">
        <is>
          <t>2009-2010</t>
        </is>
      </nc>
    </rcc>
    <rcc rId="0" sId="7" dxf="1">
      <nc r="M1" t="inlineStr">
        <is>
          <t>FY 2010 Approved</t>
        </is>
      </nc>
      <ndxf/>
    </rcc>
    <rcc rId="0" sId="7">
      <nc r="N1" t="inlineStr">
        <is>
          <t>FY 2011 Proposed</t>
        </is>
      </nc>
    </rcc>
  </rrc>
  <rrc rId="37271" sId="7" ref="A1:XFD1" action="deleteRow">
    <rfmt sheetId="7" xfDxf="1" sqref="A1:XFD1" start="0" length="0"/>
    <rcc rId="0" sId="7" dxf="1">
      <nc r="A1" t="inlineStr">
        <is>
          <t>Governmental Direction &amp; Support</t>
        </is>
      </nc>
      <ndxf>
        <font>
          <b/>
          <sz val="10"/>
          <color auto="1"/>
          <name val="Arial"/>
          <scheme val="none"/>
        </font>
        <fill>
          <patternFill patternType="solid">
            <bgColor theme="0" tint="-0.249977111117893"/>
          </patternFill>
        </fill>
        <border outline="0">
          <left style="medium">
            <color indexed="64"/>
          </left>
        </border>
      </ndxf>
    </rcc>
    <rfmt sheetId="7" sqref="B1" start="0" length="0">
      <dxf>
        <font>
          <sz val="10"/>
          <color auto="1"/>
          <name val="Arial"/>
          <scheme val="none"/>
        </font>
        <numFmt numFmtId="10" formatCode="&quot;$&quot;#,##0_);[Red]\(&quot;$&quot;#,##0\)"/>
        <fill>
          <patternFill patternType="solid">
            <bgColor theme="0" tint="-0.249977111117893"/>
          </patternFill>
        </fill>
      </dxf>
    </rfmt>
    <rfmt sheetId="7" sqref="C1" start="0" length="0">
      <dxf>
        <font>
          <sz val="10"/>
          <color auto="1"/>
          <name val="Arial"/>
          <scheme val="none"/>
        </font>
        <numFmt numFmtId="10" formatCode="&quot;$&quot;#,##0_);[Red]\(&quot;$&quot;#,##0\)"/>
        <fill>
          <patternFill patternType="solid">
            <bgColor theme="0" tint="-0.249977111117893"/>
          </patternFill>
        </fill>
      </dxf>
    </rfmt>
    <rfmt sheetId="7" sqref="D1" start="0" length="0">
      <dxf>
        <font>
          <sz val="10"/>
          <color auto="1"/>
          <name val="Arial"/>
          <scheme val="none"/>
        </font>
        <numFmt numFmtId="10" formatCode="&quot;$&quot;#,##0_);[Red]\(&quot;$&quot;#,##0\)"/>
        <fill>
          <patternFill patternType="solid">
            <bgColor theme="0" tint="-0.249977111117893"/>
          </patternFill>
        </fill>
      </dxf>
    </rfmt>
    <rfmt sheetId="7" sqref="E1" start="0" length="0">
      <dxf>
        <font>
          <sz val="10"/>
          <color auto="1"/>
          <name val="Arial"/>
          <scheme val="none"/>
        </font>
        <fill>
          <patternFill patternType="solid">
            <bgColor theme="0" tint="-0.249977111117893"/>
          </patternFill>
        </fill>
      </dxf>
    </rfmt>
    <rfmt sheetId="7" sqref="F1" start="0" length="0">
      <dxf>
        <font>
          <sz val="10"/>
          <color auto="1"/>
          <name val="Arial"/>
          <scheme val="none"/>
        </font>
        <numFmt numFmtId="10" formatCode="&quot;$&quot;#,##0_);[Red]\(&quot;$&quot;#,##0\)"/>
        <fill>
          <patternFill patternType="solid">
            <bgColor theme="0" tint="-0.249977111117893"/>
          </patternFill>
        </fill>
      </dxf>
    </rfmt>
    <rfmt sheetId="7" sqref="G1" start="0" length="0">
      <dxf>
        <font>
          <sz val="10"/>
          <color auto="1"/>
          <name val="Arial"/>
          <scheme val="none"/>
        </font>
        <numFmt numFmtId="10" formatCode="&quot;$&quot;#,##0_);[Red]\(&quot;$&quot;#,##0\)"/>
        <fill>
          <patternFill patternType="solid">
            <bgColor theme="0" tint="-0.249977111117893"/>
          </patternFill>
        </fill>
      </dxf>
    </rfmt>
    <rfmt sheetId="7" sqref="H1" start="0" length="0">
      <dxf>
        <font>
          <sz val="10"/>
          <color auto="1"/>
          <name val="Arial"/>
          <scheme val="none"/>
        </font>
        <numFmt numFmtId="13" formatCode="0%"/>
        <fill>
          <patternFill patternType="solid">
            <bgColor theme="0" tint="-0.249977111117893"/>
          </patternFill>
        </fill>
      </dxf>
    </rfmt>
  </rrc>
  <rrc rId="37272" sId="7" ref="A1:XFD1" action="deleteRow">
    <undo index="0" exp="ref" ref3D="1" v="1" dr="C1" r="C10" sId="8"/>
    <undo index="0" exp="ref" ref3D="1" v="1" dr="B1" r="B10" sId="8"/>
    <undo index="0" exp="area" dr="N1:N27" r="N28" sId="7"/>
    <undo index="0" exp="area" dr="M1:M27" r="M28" sId="7"/>
    <undo index="0" exp="area" dr="F1:F27" r="F28" sId="7"/>
    <undo index="0" exp="area" dr="C1:C27" r="C28" sId="7"/>
    <undo index="0" exp="area" dr="B1:B27" r="B28" sId="7"/>
    <rfmt sheetId="7" xfDxf="1" sqref="A1:XFD1" start="0" length="0"/>
    <rcc rId="0" sId="7" dxf="1">
      <nc r="A1" t="inlineStr">
        <is>
          <t>Council of the District of Columbia (AB)</t>
        </is>
      </nc>
      <ndxf>
        <font>
          <sz val="10"/>
          <color auto="1"/>
          <name val="Arial"/>
          <scheme val="none"/>
        </font>
      </ndxf>
    </rcc>
    <rcc rId="0" sId="7" dxf="1" numFmtId="11">
      <nc r="B1">
        <v>18824</v>
      </nc>
      <ndxf>
        <font>
          <sz val="10"/>
          <color auto="1"/>
          <name val="Arial"/>
          <scheme val="none"/>
        </font>
        <numFmt numFmtId="10" formatCode="&quot;$&quot;#,##0_);[Red]\(&quot;$&quot;#,##0\)"/>
      </ndxf>
    </rcc>
    <rcc rId="0" sId="7" dxf="1" numFmtId="11">
      <nc r="C1">
        <v>20396</v>
      </nc>
      <ndxf>
        <font>
          <sz val="10"/>
          <color auto="1"/>
          <name val="Arial"/>
          <scheme val="none"/>
        </font>
        <numFmt numFmtId="10" formatCode="&quot;$&quot;#,##0_);[Red]\(&quot;$&quot;#,##0\)"/>
      </ndxf>
    </rcc>
    <rcc rId="0" sId="7" dxf="1">
      <nc r="D1">
        <f>C1-B1</f>
      </nc>
      <ndxf>
        <font>
          <sz val="10"/>
          <color auto="1"/>
          <name val="Arial"/>
          <scheme val="none"/>
        </font>
        <numFmt numFmtId="10" formatCode="&quot;$&quot;#,##0_);[Red]\(&quot;$&quot;#,##0\)"/>
      </ndxf>
    </rcc>
    <rcc rId="0" sId="7" s="1" dxf="1">
      <nc r="E1">
        <f>D1/B1</f>
      </nc>
      <ndxf>
        <font>
          <sz val="10"/>
          <color auto="1"/>
          <name val="Arial"/>
          <scheme val="none"/>
        </font>
        <numFmt numFmtId="13" formatCode="0%"/>
      </ndxf>
    </rcc>
    <rcc rId="0" sId="7" dxf="1" numFmtId="11">
      <nc r="F1">
        <v>20916</v>
      </nc>
      <ndxf>
        <font>
          <sz val="10"/>
          <color auto="1"/>
          <name val="Arial"/>
          <scheme val="none"/>
        </font>
        <numFmt numFmtId="10" formatCode="&quot;$&quot;#,##0_);[Red]\(&quot;$&quot;#,##0\)"/>
      </ndxf>
    </rcc>
    <rcc rId="0" sId="7" s="1" dxf="1">
      <nc r="G1">
        <f>F1-C1</f>
      </nc>
      <ndxf>
        <font>
          <sz val="10"/>
          <color auto="1"/>
          <name val="Arial"/>
          <scheme val="none"/>
        </font>
        <numFmt numFmtId="10" formatCode="&quot;$&quot;#,##0_);[Red]\(&quot;$&quot;#,##0\)"/>
      </ndxf>
    </rcc>
    <rcc rId="0" sId="7" dxf="1">
      <nc r="H1">
        <f>G1/C1</f>
      </nc>
      <ndxf>
        <font>
          <sz val="10"/>
          <color auto="1"/>
          <name val="Arial"/>
          <scheme val="none"/>
        </font>
        <numFmt numFmtId="13" formatCode="0%"/>
      </ndxf>
    </rcc>
    <rcc rId="0" sId="7" dxf="1" numFmtId="4">
      <nc r="I1">
        <v>21166</v>
      </nc>
      <ndxf>
        <numFmt numFmtId="3" formatCode="#,##0"/>
      </ndxf>
    </rcc>
    <rcc rId="0" sId="7" dxf="1">
      <nc r="J1">
        <f>+I1/B1-1</f>
      </nc>
      <ndxf>
        <numFmt numFmtId="164" formatCode="0.0%"/>
      </ndxf>
    </rcc>
    <rcc rId="0" sId="7" dxf="1">
      <nc r="K1" t="inlineStr">
        <is>
          <t>***</t>
        </is>
      </nc>
      <ndxf>
        <numFmt numFmtId="164" formatCode="0.0%"/>
      </ndxf>
    </rcc>
    <rcc rId="0" sId="7" dxf="1">
      <nc r="L1">
        <f>I1/C1-1</f>
      </nc>
      <ndxf>
        <numFmt numFmtId="164" formatCode="0.0%"/>
      </ndxf>
    </rcc>
    <rcc rId="0" sId="7" dxf="1" numFmtId="11">
      <nc r="M1">
        <v>19833</v>
      </nc>
      <ndxf>
        <numFmt numFmtId="10" formatCode="&quot;$&quot;#,##0_);[Red]\(&quot;$&quot;#,##0\)"/>
      </ndxf>
    </rcc>
    <rcc rId="0" sId="7">
      <nc r="N1">
        <v>19175</v>
      </nc>
    </rcc>
    <rcc rId="0" sId="7" dxf="1">
      <nc r="O1">
        <f>N1/M1-1</f>
      </nc>
      <ndxf>
        <numFmt numFmtId="14" formatCode="0.00%"/>
      </ndxf>
    </rcc>
  </rrc>
  <rrc rId="37273" sId="7" ref="A1:XFD1" action="deleteRow">
    <undo index="0" exp="ref" ref3D="1" v="1" dr="C1" r="C11" sId="8"/>
    <undo index="0" exp="ref" ref3D="1" v="1" dr="B1" r="B11" sId="8"/>
    <undo index="0" exp="area" dr="N1:N26" r="N27" sId="7"/>
    <undo index="0" exp="area" dr="M1:M26" r="M27" sId="7"/>
    <undo index="0" exp="area" dr="F1:F26" r="F27" sId="7"/>
    <undo index="0" exp="area" dr="C1:C26" r="C27" sId="7"/>
    <undo index="0" exp="area" dr="B1:B26" r="B27" sId="7"/>
    <rfmt sheetId="7" xfDxf="1" sqref="A1:XFD1" start="0" length="0"/>
    <rcc rId="0" sId="7" dxf="1">
      <nc r="A1" t="inlineStr">
        <is>
          <t>Office of the District of Columbia Auditor (AC)</t>
        </is>
      </nc>
      <ndxf>
        <font>
          <sz val="10"/>
          <color auto="1"/>
          <name val="Arial"/>
          <scheme val="none"/>
        </font>
      </ndxf>
    </rcc>
    <rcc rId="0" sId="7" dxf="1" numFmtId="11">
      <nc r="B1">
        <v>2419</v>
      </nc>
      <ndxf>
        <font>
          <sz val="10"/>
          <color auto="1"/>
          <name val="Arial"/>
          <scheme val="none"/>
        </font>
        <numFmt numFmtId="10" formatCode="&quot;$&quot;#,##0_);[Red]\(&quot;$&quot;#,##0\)"/>
      </ndxf>
    </rcc>
    <rcc rId="0" sId="7" dxf="1" numFmtId="11">
      <nc r="C1">
        <v>4036</v>
      </nc>
      <ndxf>
        <font>
          <sz val="10"/>
          <color auto="1"/>
          <name val="Arial"/>
          <scheme val="none"/>
        </font>
        <numFmt numFmtId="10" formatCode="&quot;$&quot;#,##0_);[Red]\(&quot;$&quot;#,##0\)"/>
      </ndxf>
    </rcc>
    <rcc rId="0" sId="7" dxf="1">
      <nc r="D1">
        <f>C1-B1</f>
      </nc>
      <ndxf>
        <font>
          <sz val="10"/>
          <color auto="1"/>
          <name val="Arial"/>
          <scheme val="none"/>
        </font>
        <numFmt numFmtId="10" formatCode="&quot;$&quot;#,##0_);[Red]\(&quot;$&quot;#,##0\)"/>
      </ndxf>
    </rcc>
    <rcc rId="0" sId="7" s="1" dxf="1">
      <nc r="E1">
        <f>D1/B1</f>
      </nc>
      <ndxf>
        <font>
          <sz val="10"/>
          <color auto="1"/>
          <name val="Arial"/>
          <scheme val="none"/>
        </font>
        <numFmt numFmtId="13" formatCode="0%"/>
      </ndxf>
    </rcc>
    <rcc rId="0" sId="7" dxf="1" numFmtId="11">
      <nc r="F1">
        <v>3988</v>
      </nc>
      <ndxf>
        <font>
          <sz val="10"/>
          <color auto="1"/>
          <name val="Arial"/>
          <scheme val="none"/>
        </font>
        <numFmt numFmtId="10" formatCode="&quot;$&quot;#,##0_);[Red]\(&quot;$&quot;#,##0\)"/>
      </ndxf>
    </rcc>
    <rcc rId="0" sId="7" s="1" dxf="1">
      <nc r="G1">
        <f>F1-C1</f>
      </nc>
      <ndxf>
        <font>
          <sz val="10"/>
          <color auto="1"/>
          <name val="Arial"/>
          <scheme val="none"/>
        </font>
        <numFmt numFmtId="10" formatCode="&quot;$&quot;#,##0_);[Red]\(&quot;$&quot;#,##0\)"/>
      </ndxf>
    </rcc>
    <rcc rId="0" sId="7" dxf="1">
      <nc r="H1">
        <f>G1/C1</f>
      </nc>
      <ndxf>
        <font>
          <sz val="10"/>
          <color auto="1"/>
          <name val="Arial"/>
          <scheme val="none"/>
        </font>
        <numFmt numFmtId="13" formatCode="0%"/>
      </ndxf>
    </rcc>
    <rcc rId="0" sId="7" dxf="1" numFmtId="4">
      <nc r="I1">
        <v>4721</v>
      </nc>
      <ndxf>
        <numFmt numFmtId="3" formatCode="#,##0"/>
      </ndxf>
    </rcc>
    <rcc rId="0" sId="7" dxf="1">
      <nc r="J1">
        <f>+I1/B1-1</f>
      </nc>
      <ndxf>
        <numFmt numFmtId="164" formatCode="0.0%"/>
      </ndxf>
    </rcc>
    <rcc rId="0" sId="7" dxf="1">
      <nc r="K1" t="inlineStr">
        <is>
          <t>*****</t>
        </is>
      </nc>
      <ndxf>
        <numFmt numFmtId="164" formatCode="0.0%"/>
      </ndxf>
    </rcc>
    <rcc rId="0" sId="7" dxf="1">
      <nc r="L1">
        <f>I1/C1-1</f>
      </nc>
      <ndxf>
        <numFmt numFmtId="164" formatCode="0.0%"/>
      </ndxf>
    </rcc>
    <rcc rId="0" sId="7">
      <nc r="M1">
        <v>4444</v>
      </nc>
    </rcc>
    <rcc rId="0" sId="7">
      <nc r="N1">
        <v>4283</v>
      </nc>
    </rcc>
    <rcc rId="0" sId="7" dxf="1">
      <nc r="O1">
        <f>N1/M1-1</f>
      </nc>
      <ndxf>
        <numFmt numFmtId="14" formatCode="0.00%"/>
      </ndxf>
    </rcc>
  </rrc>
  <rrc rId="37274" sId="7" ref="A1:XFD1" action="deleteRow">
    <undo index="0" exp="ref" ref3D="1" v="1" dr="C1" r="C12" sId="8"/>
    <undo index="0" exp="ref" ref3D="1" v="1" dr="B1" r="B12" sId="8"/>
    <undo index="0" exp="area" dr="N1:N25" r="N26" sId="7"/>
    <undo index="0" exp="area" dr="M1:M25" r="M26" sId="7"/>
    <undo index="0" exp="area" dr="F1:F25" r="F26" sId="7"/>
    <undo index="0" exp="area" dr="C1:C25" r="C26" sId="7"/>
    <undo index="0" exp="area" dr="B1:B25" r="B26" sId="7"/>
    <rfmt sheetId="7" xfDxf="1" sqref="A1:XFD1" start="0" length="0"/>
    <rcc rId="0" sId="7" dxf="1">
      <nc r="A1" t="inlineStr">
        <is>
          <t>Advisory Neighborhood Commissions (DX)</t>
        </is>
      </nc>
      <ndxf>
        <font>
          <sz val="10"/>
          <color auto="1"/>
          <name val="Arial"/>
          <scheme val="none"/>
        </font>
      </ndxf>
    </rcc>
    <rcc rId="0" sId="7" dxf="1" numFmtId="11">
      <nc r="B1">
        <v>945</v>
      </nc>
      <ndxf>
        <font>
          <sz val="10"/>
          <color auto="1"/>
          <name val="Arial"/>
          <scheme val="none"/>
        </font>
        <numFmt numFmtId="10" formatCode="&quot;$&quot;#,##0_);[Red]\(&quot;$&quot;#,##0\)"/>
      </ndxf>
    </rcc>
    <rcc rId="0" sId="7" dxf="1" numFmtId="11">
      <nc r="C1">
        <v>1092</v>
      </nc>
      <ndxf>
        <font>
          <sz val="10"/>
          <color auto="1"/>
          <name val="Arial"/>
          <scheme val="none"/>
        </font>
        <numFmt numFmtId="10" formatCode="&quot;$&quot;#,##0_);[Red]\(&quot;$&quot;#,##0\)"/>
      </ndxf>
    </rcc>
    <rcc rId="0" sId="7" dxf="1">
      <nc r="D1">
        <f>C1-B1</f>
      </nc>
      <ndxf>
        <font>
          <sz val="10"/>
          <color auto="1"/>
          <name val="Arial"/>
          <scheme val="none"/>
        </font>
        <numFmt numFmtId="10" formatCode="&quot;$&quot;#,##0_);[Red]\(&quot;$&quot;#,##0\)"/>
      </ndxf>
    </rcc>
    <rcc rId="0" sId="7" s="1" dxf="1">
      <nc r="E1">
        <f>D1/B1</f>
      </nc>
      <ndxf>
        <font>
          <sz val="10"/>
          <color auto="1"/>
          <name val="Arial"/>
          <scheme val="none"/>
        </font>
        <numFmt numFmtId="13" formatCode="0%"/>
      </ndxf>
    </rcc>
    <rcc rId="0" sId="7" dxf="1" numFmtId="11">
      <nc r="F1">
        <v>1081</v>
      </nc>
      <ndxf>
        <font>
          <sz val="10"/>
          <color auto="1"/>
          <name val="Arial"/>
          <scheme val="none"/>
        </font>
        <numFmt numFmtId="10" formatCode="&quot;$&quot;#,##0_);[Red]\(&quot;$&quot;#,##0\)"/>
      </ndxf>
    </rcc>
    <rcc rId="0" sId="7" s="1" dxf="1">
      <nc r="G1">
        <f>F1-C1</f>
      </nc>
      <ndxf>
        <font>
          <sz val="10"/>
          <color auto="1"/>
          <name val="Arial"/>
          <scheme val="none"/>
        </font>
        <numFmt numFmtId="10" formatCode="&quot;$&quot;#,##0_);[Red]\(&quot;$&quot;#,##0\)"/>
      </ndxf>
    </rcc>
    <rcc rId="0" sId="7" dxf="1">
      <nc r="H1">
        <f>G1/C1</f>
      </nc>
      <ndxf>
        <font>
          <sz val="10"/>
          <color auto="1"/>
          <name val="Arial"/>
          <scheme val="none"/>
        </font>
        <numFmt numFmtId="13" formatCode="0%"/>
      </ndxf>
    </rcc>
    <rcc rId="0" sId="7" dxf="1" numFmtId="4">
      <nc r="I1">
        <v>1081</v>
      </nc>
      <ndxf>
        <numFmt numFmtId="3" formatCode="#,##0"/>
      </ndxf>
    </rcc>
    <rcc rId="0" sId="7" dxf="1">
      <nc r="J1">
        <f>+I1/B1-1</f>
      </nc>
      <ndxf>
        <numFmt numFmtId="164" formatCode="0.0%"/>
      </ndxf>
    </rcc>
    <rcc rId="0" sId="7" dxf="1">
      <nc r="K1" t="inlineStr">
        <is>
          <t>***</t>
        </is>
      </nc>
      <ndxf>
        <numFmt numFmtId="164" formatCode="0.0%"/>
      </ndxf>
    </rcc>
    <rcc rId="0" sId="7" dxf="1">
      <nc r="L1">
        <f>I1/C1-1</f>
      </nc>
      <ndxf>
        <numFmt numFmtId="164" formatCode="0.0%"/>
      </ndxf>
    </rcc>
    <rcc rId="0" sId="7">
      <nc r="M1">
        <v>1001</v>
      </nc>
    </rcc>
    <rcc rId="0" sId="7">
      <nc r="N1">
        <v>962</v>
      </nc>
    </rcc>
    <rcc rId="0" sId="7" dxf="1">
      <nc r="O1">
        <f>N1/M1-1</f>
      </nc>
      <ndxf>
        <numFmt numFmtId="14" formatCode="0.00%"/>
      </ndxf>
    </rcc>
  </rrc>
  <rrc rId="37275" sId="7" ref="A1:XFD1" action="deleteRow">
    <undo index="0" exp="ref" ref3D="1" v="1" dr="C1" r="C13" sId="8"/>
    <undo index="0" exp="ref" ref3D="1" v="1" dr="B1" r="B13" sId="8"/>
    <undo index="0" exp="area" dr="N1:N24" r="N25" sId="7"/>
    <undo index="0" exp="area" dr="M1:M24" r="M25" sId="7"/>
    <undo index="0" exp="area" dr="F1:F24" r="F25" sId="7"/>
    <undo index="0" exp="area" dr="C1:C24" r="C25" sId="7"/>
    <undo index="0" exp="area" dr="B1:B24" r="B25" sId="7"/>
    <rfmt sheetId="7" xfDxf="1" sqref="A1:XFD1" start="0" length="0"/>
    <rcc rId="0" sId="7" dxf="1">
      <nc r="A1" t="inlineStr">
        <is>
          <t>Office of the Mayor (AA)</t>
        </is>
      </nc>
      <ndxf>
        <font>
          <sz val="10"/>
          <color auto="1"/>
          <name val="Arial"/>
          <scheme val="none"/>
        </font>
      </ndxf>
    </rcc>
    <rcc rId="0" sId="7" dxf="1" numFmtId="11">
      <nc r="B1">
        <v>9087</v>
      </nc>
      <ndxf>
        <font>
          <sz val="10"/>
          <color auto="1"/>
          <name val="Arial"/>
          <scheme val="none"/>
        </font>
        <numFmt numFmtId="10" formatCode="&quot;$&quot;#,##0_);[Red]\(&quot;$&quot;#,##0\)"/>
      </ndxf>
    </rcc>
    <rcc rId="0" sId="7" dxf="1" numFmtId="11">
      <nc r="C1">
        <v>6086</v>
      </nc>
      <ndxf>
        <font>
          <sz val="10"/>
          <color auto="1"/>
          <name val="Arial"/>
          <scheme val="none"/>
        </font>
        <numFmt numFmtId="10" formatCode="&quot;$&quot;#,##0_);[Red]\(&quot;$&quot;#,##0\)"/>
      </ndxf>
    </rcc>
    <rcc rId="0" sId="7" dxf="1">
      <nc r="D1">
        <f>C1-B1</f>
      </nc>
      <ndxf>
        <font>
          <sz val="10"/>
          <color auto="1"/>
          <name val="Arial"/>
          <scheme val="none"/>
        </font>
        <numFmt numFmtId="10" formatCode="&quot;$&quot;#,##0_);[Red]\(&quot;$&quot;#,##0\)"/>
      </ndxf>
    </rcc>
    <rcc rId="0" sId="7" s="1" dxf="1">
      <nc r="E1">
        <f>D1/B1</f>
      </nc>
      <ndxf>
        <font>
          <sz val="10"/>
          <color auto="1"/>
          <name val="Arial"/>
          <scheme val="none"/>
        </font>
        <numFmt numFmtId="13" formatCode="0%"/>
      </ndxf>
    </rcc>
    <rcc rId="0" sId="7" dxf="1" numFmtId="11">
      <nc r="F1">
        <v>5876</v>
      </nc>
      <ndxf>
        <font>
          <sz val="10"/>
          <color auto="1"/>
          <name val="Arial"/>
          <scheme val="none"/>
        </font>
        <numFmt numFmtId="10" formatCode="&quot;$&quot;#,##0_);[Red]\(&quot;$&quot;#,##0\)"/>
      </ndxf>
    </rcc>
    <rcc rId="0" sId="7" s="1" dxf="1">
      <nc r="G1">
        <f>F1-C1</f>
      </nc>
      <ndxf>
        <font>
          <sz val="10"/>
          <color auto="1"/>
          <name val="Arial"/>
          <scheme val="none"/>
        </font>
        <numFmt numFmtId="10" formatCode="&quot;$&quot;#,##0_);[Red]\(&quot;$&quot;#,##0\)"/>
      </ndxf>
    </rcc>
    <rcc rId="0" sId="7" dxf="1">
      <nc r="H1">
        <f>G1/C1</f>
      </nc>
      <ndxf>
        <font>
          <sz val="10"/>
          <color auto="1"/>
          <name val="Arial"/>
          <scheme val="none"/>
        </font>
        <numFmt numFmtId="13" formatCode="0%"/>
      </ndxf>
    </rcc>
    <rcc rId="0" sId="7" dxf="1" numFmtId="4">
      <nc r="I1">
        <v>5590</v>
      </nc>
      <ndxf>
        <numFmt numFmtId="3" formatCode="#,##0"/>
      </ndxf>
    </rcc>
    <rcc rId="0" sId="7" dxf="1">
      <nc r="J1">
        <f>+I1/B1-1</f>
      </nc>
      <ndxf>
        <numFmt numFmtId="164" formatCode="0.0%"/>
      </ndxf>
    </rcc>
    <rcc rId="0" sId="7" dxf="1">
      <nc r="K1" t="inlineStr">
        <is>
          <t>****</t>
        </is>
      </nc>
      <ndxf>
        <numFmt numFmtId="164" formatCode="0.0%"/>
      </ndxf>
    </rcc>
    <rcc rId="0" sId="7" dxf="1">
      <nc r="L1">
        <f>I1/C1-1</f>
      </nc>
      <ndxf>
        <numFmt numFmtId="164" formatCode="0.0%"/>
      </ndxf>
    </rcc>
    <rcc rId="0" sId="7">
      <nc r="M1">
        <v>5349</v>
      </nc>
    </rcc>
    <rcc rId="0" sId="7">
      <nc r="N1">
        <v>4544</v>
      </nc>
    </rcc>
    <rcc rId="0" sId="7" dxf="1">
      <nc r="O1">
        <f>N1/M1-1</f>
      </nc>
      <ndxf>
        <numFmt numFmtId="14" formatCode="0.00%"/>
      </ndxf>
    </rcc>
  </rrc>
  <rrc rId="37276" sId="7" ref="A1:XFD1" action="deleteRow">
    <undo index="0" exp="ref" ref3D="1" v="1" dr="C1" r="C14" sId="8"/>
    <undo index="0" exp="ref" ref3D="1" v="1" dr="B1" r="B14" sId="8"/>
    <undo index="0" exp="area" dr="N1:N23" r="N24" sId="7"/>
    <undo index="0" exp="area" dr="M1:M23" r="M24" sId="7"/>
    <undo index="0" exp="area" dr="F1:F23" r="F24" sId="7"/>
    <undo index="0" exp="area" dr="C1:C23" r="C24" sId="7"/>
    <undo index="0" exp="area" dr="B1:B23" r="B24" sId="7"/>
    <rfmt sheetId="7" xfDxf="1" sqref="A1:XFD1" start="0" length="0"/>
    <rcc rId="0" sId="7" dxf="1">
      <nc r="A1" t="inlineStr">
        <is>
          <t>Office of the Community Affairs (RP)</t>
        </is>
      </nc>
      <ndxf>
        <font>
          <sz val="10"/>
          <color auto="1"/>
          <name val="Arial"/>
          <scheme val="none"/>
        </font>
      </ndxf>
    </rcc>
    <rcc rId="0" sId="7" dxf="1" numFmtId="11">
      <nc r="B1">
        <v>2702</v>
      </nc>
      <ndxf>
        <font>
          <sz val="10"/>
          <color auto="1"/>
          <name val="Arial"/>
          <scheme val="none"/>
        </font>
        <numFmt numFmtId="10" formatCode="&quot;$&quot;#,##0_);[Red]\(&quot;$&quot;#,##0\)"/>
      </ndxf>
    </rcc>
    <rcc rId="0" sId="7" dxf="1" numFmtId="11">
      <nc r="C1">
        <v>3093</v>
      </nc>
      <ndxf>
        <font>
          <sz val="10"/>
          <color auto="1"/>
          <name val="Arial"/>
          <scheme val="none"/>
        </font>
        <numFmt numFmtId="10" formatCode="&quot;$&quot;#,##0_);[Red]\(&quot;$&quot;#,##0\)"/>
      </ndxf>
    </rcc>
    <rcc rId="0" sId="7" dxf="1">
      <nc r="D1">
        <f>C1-B1</f>
      </nc>
      <ndxf>
        <font>
          <sz val="10"/>
          <color auto="1"/>
          <name val="Arial"/>
          <scheme val="none"/>
        </font>
        <numFmt numFmtId="10" formatCode="&quot;$&quot;#,##0_);[Red]\(&quot;$&quot;#,##0\)"/>
      </ndxf>
    </rcc>
    <rcc rId="0" sId="7" s="1" dxf="1">
      <nc r="E1">
        <f>D1/B1</f>
      </nc>
      <ndxf>
        <font>
          <sz val="10"/>
          <color auto="1"/>
          <name val="Arial"/>
          <scheme val="none"/>
        </font>
        <numFmt numFmtId="13" formatCode="0%"/>
      </ndxf>
    </rcc>
    <rcc rId="0" sId="7" dxf="1" numFmtId="11">
      <nc r="F1">
        <v>4051</v>
      </nc>
      <ndxf>
        <font>
          <sz val="10"/>
          <color auto="1"/>
          <name val="Arial"/>
          <scheme val="none"/>
        </font>
        <numFmt numFmtId="10" formatCode="&quot;$&quot;#,##0_);[Red]\(&quot;$&quot;#,##0\)"/>
      </ndxf>
    </rcc>
    <rcc rId="0" sId="7" s="1" dxf="1">
      <nc r="G1">
        <f>F1-C1</f>
      </nc>
      <ndxf>
        <font>
          <sz val="10"/>
          <color auto="1"/>
          <name val="Arial"/>
          <scheme val="none"/>
        </font>
        <numFmt numFmtId="10" formatCode="&quot;$&quot;#,##0_);[Red]\(&quot;$&quot;#,##0\)"/>
      </ndxf>
    </rcc>
    <rcc rId="0" sId="7" dxf="1">
      <nc r="H1">
        <f>G1/C1</f>
      </nc>
      <ndxf>
        <font>
          <sz val="10"/>
          <color auto="1"/>
          <name val="Arial"/>
          <scheme val="none"/>
        </font>
        <numFmt numFmtId="13" formatCode="0%"/>
      </ndxf>
    </rcc>
    <rcc rId="0" sId="7" dxf="1" numFmtId="4">
      <nc r="I1">
        <v>2976</v>
      </nc>
      <ndxf>
        <numFmt numFmtId="3" formatCode="#,##0"/>
      </ndxf>
    </rcc>
    <rcc rId="0" sId="7" dxf="1">
      <nc r="J1">
        <f>+I1/B1-1</f>
      </nc>
      <ndxf>
        <numFmt numFmtId="164" formatCode="0.0%"/>
      </ndxf>
    </rcc>
    <rcc rId="0" sId="7" dxf="1">
      <nc r="K1" t="inlineStr">
        <is>
          <t>***</t>
        </is>
      </nc>
      <ndxf>
        <numFmt numFmtId="164" formatCode="0.0%"/>
      </ndxf>
    </rcc>
    <rcc rId="0" sId="7" dxf="1">
      <nc r="L1">
        <f>I1/C1-1</f>
      </nc>
      <ndxf>
        <numFmt numFmtId="164" formatCode="0.0%"/>
      </ndxf>
    </rcc>
    <rcc rId="0" sId="7">
      <nc r="M1">
        <v>3022</v>
      </nc>
    </rcc>
    <rcc rId="0" sId="7">
      <nc r="N1">
        <v>2676</v>
      </nc>
    </rcc>
    <rcc rId="0" sId="7" dxf="1">
      <nc r="O1">
        <f>N1/M1-1</f>
      </nc>
      <ndxf>
        <numFmt numFmtId="14" formatCode="0.00%"/>
      </ndxf>
    </rcc>
  </rrc>
  <rrc rId="37277" sId="7" ref="A1:XFD1" action="deleteRow">
    <undo index="0" exp="ref" ref3D="1" v="1" dr="C1" r="C15" sId="8"/>
    <undo index="0" exp="ref" ref3D="1" v="1" dr="B1" r="B15" sId="8"/>
    <undo index="0" exp="area" dr="N1:N22" r="N23" sId="7"/>
    <undo index="0" exp="area" dr="M1:M22" r="M23" sId="7"/>
    <undo index="0" exp="area" dr="F1:F22" r="F23" sId="7"/>
    <undo index="0" exp="area" dr="C1:C22" r="C23" sId="7"/>
    <undo index="0" exp="area" dr="B1:B22" r="B23" sId="7"/>
    <rfmt sheetId="7" xfDxf="1" sqref="A1:XFD1" start="0" length="0"/>
    <rcc rId="0" sId="7" dxf="1">
      <nc r="A1" t="inlineStr">
        <is>
          <t>Serve DC (RS)</t>
        </is>
      </nc>
      <ndxf>
        <font>
          <sz val="10"/>
          <color auto="1"/>
          <name val="Arial"/>
          <scheme val="none"/>
        </font>
      </ndxf>
    </rcc>
    <rcc rId="0" sId="7" dxf="1" numFmtId="11">
      <nc r="B1">
        <v>3266</v>
      </nc>
      <ndxf>
        <font>
          <sz val="10"/>
          <color auto="1"/>
          <name val="Arial"/>
          <scheme val="none"/>
        </font>
        <numFmt numFmtId="10" formatCode="&quot;$&quot;#,##0_);[Red]\(&quot;$&quot;#,##0\)"/>
      </ndxf>
    </rcc>
    <rcc rId="0" sId="7" dxf="1" numFmtId="11">
      <nc r="C1">
        <v>3734</v>
      </nc>
      <ndxf>
        <font>
          <sz val="10"/>
          <color auto="1"/>
          <name val="Arial"/>
          <scheme val="none"/>
        </font>
        <numFmt numFmtId="10" formatCode="&quot;$&quot;#,##0_);[Red]\(&quot;$&quot;#,##0\)"/>
      </ndxf>
    </rcc>
    <rcc rId="0" sId="7" dxf="1">
      <nc r="D1">
        <f>C1-B1</f>
      </nc>
      <ndxf>
        <font>
          <sz val="10"/>
          <color auto="1"/>
          <name val="Arial"/>
          <scheme val="none"/>
        </font>
        <numFmt numFmtId="10" formatCode="&quot;$&quot;#,##0_);[Red]\(&quot;$&quot;#,##0\)"/>
      </ndxf>
    </rcc>
    <rcc rId="0" sId="7" s="1" dxf="1">
      <nc r="E1">
        <f>D1/B1</f>
      </nc>
      <ndxf>
        <font>
          <sz val="10"/>
          <color auto="1"/>
          <name val="Arial"/>
          <scheme val="none"/>
        </font>
        <numFmt numFmtId="13" formatCode="0%"/>
      </ndxf>
    </rcc>
    <rcc rId="0" sId="7" dxf="1" numFmtId="11">
      <nc r="F1">
        <v>3761</v>
      </nc>
      <ndxf>
        <font>
          <sz val="10"/>
          <color auto="1"/>
          <name val="Arial"/>
          <scheme val="none"/>
        </font>
        <numFmt numFmtId="10" formatCode="&quot;$&quot;#,##0_);[Red]\(&quot;$&quot;#,##0\)"/>
      </ndxf>
    </rcc>
    <rcc rId="0" sId="7" s="1" dxf="1">
      <nc r="G1">
        <f>F1-C1</f>
      </nc>
      <ndxf>
        <font>
          <sz val="10"/>
          <color auto="1"/>
          <name val="Arial"/>
          <scheme val="none"/>
        </font>
        <numFmt numFmtId="10" formatCode="&quot;$&quot;#,##0_);[Red]\(&quot;$&quot;#,##0\)"/>
      </ndxf>
    </rcc>
    <rcc rId="0" sId="7" dxf="1">
      <nc r="H1">
        <f>G1/C1</f>
      </nc>
      <ndxf>
        <font>
          <sz val="10"/>
          <color auto="1"/>
          <name val="Arial"/>
          <scheme val="none"/>
        </font>
        <numFmt numFmtId="13" formatCode="0%"/>
      </ndxf>
    </rcc>
    <rcc rId="0" sId="7" dxf="1" numFmtId="4">
      <nc r="I1">
        <v>4209</v>
      </nc>
      <ndxf>
        <numFmt numFmtId="3" formatCode="#,##0"/>
      </ndxf>
    </rcc>
    <rcc rId="0" sId="7" dxf="1">
      <nc r="J1">
        <f>+I1/B1-1</f>
      </nc>
      <ndxf>
        <numFmt numFmtId="164" formatCode="0.0%"/>
      </ndxf>
    </rcc>
    <rcc rId="0" sId="7" dxf="1">
      <nc r="K1" t="inlineStr">
        <is>
          <t>***</t>
        </is>
      </nc>
      <ndxf>
        <numFmt numFmtId="164" formatCode="0.0%"/>
      </ndxf>
    </rcc>
    <rcc rId="0" sId="7" dxf="1">
      <nc r="L1">
        <f>I1/C1-1</f>
      </nc>
      <ndxf>
        <numFmt numFmtId="164" formatCode="0.0%"/>
      </ndxf>
    </rcc>
    <rcc rId="0" sId="7">
      <nc r="M1">
        <v>4205</v>
      </nc>
    </rcc>
    <rcc rId="0" sId="7">
      <nc r="N1">
        <v>4936</v>
      </nc>
    </rcc>
    <rcc rId="0" sId="7" dxf="1">
      <nc r="O1">
        <f>N1/M1-1</f>
      </nc>
      <ndxf>
        <numFmt numFmtId="14" formatCode="0.00%"/>
      </ndxf>
    </rcc>
  </rrc>
  <rrc rId="37278" sId="7" ref="A1:XFD1" action="deleteRow">
    <undo index="0" exp="ref" ref3D="1" v="1" dr="C1" r="C16" sId="8"/>
    <undo index="0" exp="ref" ref3D="1" v="1" dr="B1" r="B16" sId="8"/>
    <undo index="0" exp="area" dr="N1:N21" r="N22" sId="7"/>
    <undo index="0" exp="area" dr="M1:M21" r="M22" sId="7"/>
    <undo index="0" exp="area" dr="F1:F21" r="F22" sId="7"/>
    <undo index="0" exp="area" dr="C1:C21" r="C22" sId="7"/>
    <undo index="0" exp="area" dr="B1:B21" r="B22" sId="7"/>
    <rfmt sheetId="7" xfDxf="1" sqref="A1:XFD1" start="0" length="0"/>
    <rcc rId="0" sId="7" dxf="1">
      <nc r="A1" t="inlineStr">
        <is>
          <t>Office of the Secretary (BA)</t>
        </is>
      </nc>
      <ndxf>
        <font>
          <sz val="10"/>
          <color auto="1"/>
          <name val="Arial"/>
          <scheme val="none"/>
        </font>
      </ndxf>
    </rcc>
    <rcc rId="0" sId="7" dxf="1" numFmtId="11">
      <nc r="B1">
        <v>3275</v>
      </nc>
      <ndxf>
        <font>
          <sz val="10"/>
          <color auto="1"/>
          <name val="Arial"/>
          <scheme val="none"/>
        </font>
        <numFmt numFmtId="10" formatCode="&quot;$&quot;#,##0_);[Red]\(&quot;$&quot;#,##0\)"/>
      </ndxf>
    </rcc>
    <rcc rId="0" sId="7" dxf="1" numFmtId="11">
      <nc r="C1">
        <v>4304</v>
      </nc>
      <ndxf>
        <font>
          <sz val="10"/>
          <color auto="1"/>
          <name val="Arial"/>
          <scheme val="none"/>
        </font>
        <numFmt numFmtId="10" formatCode="&quot;$&quot;#,##0_);[Red]\(&quot;$&quot;#,##0\)"/>
      </ndxf>
    </rcc>
    <rcc rId="0" sId="7" dxf="1">
      <nc r="D1">
        <f>C1-B1</f>
      </nc>
      <ndxf>
        <font>
          <sz val="10"/>
          <color auto="1"/>
          <name val="Arial"/>
          <scheme val="none"/>
        </font>
        <numFmt numFmtId="10" formatCode="&quot;$&quot;#,##0_);[Red]\(&quot;$&quot;#,##0\)"/>
      </ndxf>
    </rcc>
    <rcc rId="0" sId="7" s="1" dxf="1">
      <nc r="E1">
        <f>D1/B1</f>
      </nc>
      <ndxf>
        <font>
          <sz val="10"/>
          <color auto="1"/>
          <name val="Arial"/>
          <scheme val="none"/>
        </font>
        <numFmt numFmtId="13" formatCode="0%"/>
      </ndxf>
    </rcc>
    <rcc rId="0" sId="7" dxf="1" numFmtId="11">
      <nc r="F1">
        <v>3843</v>
      </nc>
      <ndxf>
        <font>
          <sz val="10"/>
          <color auto="1"/>
          <name val="Arial"/>
          <scheme val="none"/>
        </font>
        <numFmt numFmtId="10" formatCode="&quot;$&quot;#,##0_);[Red]\(&quot;$&quot;#,##0\)"/>
      </ndxf>
    </rcc>
    <rcc rId="0" sId="7" s="1" dxf="1">
      <nc r="G1">
        <f>F1-C1</f>
      </nc>
      <ndxf>
        <font>
          <sz val="10"/>
          <color auto="1"/>
          <name val="Arial"/>
          <scheme val="none"/>
        </font>
        <numFmt numFmtId="10" formatCode="&quot;$&quot;#,##0_);[Red]\(&quot;$&quot;#,##0\)"/>
      </ndxf>
    </rcc>
    <rcc rId="0" sId="7" dxf="1">
      <nc r="H1">
        <f>G1/C1</f>
      </nc>
      <ndxf>
        <font>
          <sz val="10"/>
          <color auto="1"/>
          <name val="Arial"/>
          <scheme val="none"/>
        </font>
        <numFmt numFmtId="13" formatCode="0%"/>
      </ndxf>
    </rcc>
    <rcc rId="0" sId="7" dxf="1" numFmtId="4">
      <nc r="I1">
        <v>3731</v>
      </nc>
      <ndxf>
        <numFmt numFmtId="3" formatCode="#,##0"/>
      </ndxf>
    </rcc>
    <rcc rId="0" sId="7" dxf="1">
      <nc r="J1">
        <f>+I1/B1-1</f>
      </nc>
      <ndxf>
        <numFmt numFmtId="164" formatCode="0.0%"/>
      </ndxf>
    </rcc>
    <rcc rId="0" sId="7" dxf="1">
      <nc r="K1" t="inlineStr">
        <is>
          <t>****</t>
        </is>
      </nc>
      <ndxf>
        <numFmt numFmtId="164" formatCode="0.0%"/>
      </ndxf>
    </rcc>
    <rcc rId="0" sId="7" dxf="1">
      <nc r="L1">
        <f>I1/C1-1</f>
      </nc>
      <ndxf>
        <numFmt numFmtId="164" formatCode="0.0%"/>
      </ndxf>
    </rcc>
    <rcc rId="0" sId="7">
      <nc r="M1">
        <v>3299</v>
      </nc>
    </rcc>
    <rcc rId="0" sId="7">
      <nc r="N1">
        <v>2727</v>
      </nc>
    </rcc>
    <rcc rId="0" sId="7" dxf="1">
      <nc r="O1">
        <f>N1/M1-1</f>
      </nc>
      <ndxf>
        <numFmt numFmtId="14" formatCode="0.00%"/>
      </ndxf>
    </rcc>
  </rrc>
  <rrc rId="37279" sId="7" ref="A1:XFD1" action="deleteRow">
    <undo index="0" exp="ref" ref3D="1" v="1" dr="C1" r="C17" sId="8"/>
    <undo index="0" exp="ref" ref3D="1" v="1" dr="B1" r="B17" sId="8"/>
    <undo index="0" exp="area" dr="N1:N20" r="N21" sId="7"/>
    <undo index="0" exp="area" dr="M1:M20" r="M21" sId="7"/>
    <undo index="0" exp="area" dr="F1:F20" r="F21" sId="7"/>
    <undo index="0" exp="area" dr="C1:C20" r="C21" sId="7"/>
    <undo index="0" exp="area" dr="B1:B20" r="B21" sId="7"/>
    <rfmt sheetId="7" xfDxf="1" sqref="A1:XFD1" start="0" length="0"/>
    <rcc rId="0" sId="7" dxf="1">
      <nc r="A1" t="inlineStr">
        <is>
          <t>Office of the City Administrator (AE)</t>
        </is>
      </nc>
      <ndxf>
        <font>
          <sz val="10"/>
          <color auto="1"/>
          <name val="Arial"/>
          <scheme val="none"/>
        </font>
      </ndxf>
    </rcc>
    <rcc rId="0" sId="7" dxf="1" numFmtId="11">
      <nc r="B1">
        <v>5790</v>
      </nc>
      <ndxf>
        <font>
          <sz val="10"/>
          <color auto="1"/>
          <name val="Arial"/>
          <scheme val="none"/>
        </font>
        <numFmt numFmtId="10" formatCode="&quot;$&quot;#,##0_);[Red]\(&quot;$&quot;#,##0\)"/>
      </ndxf>
    </rcc>
    <rcc rId="0" sId="7" dxf="1" numFmtId="11">
      <nc r="C1">
        <v>5964</v>
      </nc>
      <ndxf>
        <font>
          <sz val="10"/>
          <color auto="1"/>
          <name val="Arial"/>
          <scheme val="none"/>
        </font>
        <numFmt numFmtId="10" formatCode="&quot;$&quot;#,##0_);[Red]\(&quot;$&quot;#,##0\)"/>
      </ndxf>
    </rcc>
    <rcc rId="0" sId="7" dxf="1">
      <nc r="D1">
        <f>C1-B1</f>
      </nc>
      <ndxf>
        <font>
          <sz val="10"/>
          <color auto="1"/>
          <name val="Arial"/>
          <scheme val="none"/>
        </font>
        <numFmt numFmtId="10" formatCode="&quot;$&quot;#,##0_);[Red]\(&quot;$&quot;#,##0\)"/>
      </ndxf>
    </rcc>
    <rcc rId="0" sId="7" s="1" dxf="1">
      <nc r="E1">
        <f>D1/B1</f>
      </nc>
      <ndxf>
        <font>
          <sz val="10"/>
          <color auto="1"/>
          <name val="Arial"/>
          <scheme val="none"/>
        </font>
        <numFmt numFmtId="13" formatCode="0%"/>
      </ndxf>
    </rcc>
    <rcc rId="0" sId="7" dxf="1" numFmtId="11">
      <nc r="F1">
        <v>5547</v>
      </nc>
      <ndxf>
        <font>
          <sz val="10"/>
          <color auto="1"/>
          <name val="Arial"/>
          <scheme val="none"/>
        </font>
        <numFmt numFmtId="10" formatCode="&quot;$&quot;#,##0_);[Red]\(&quot;$&quot;#,##0\)"/>
      </ndxf>
    </rcc>
    <rcc rId="0" sId="7" s="1" dxf="1">
      <nc r="G1">
        <f>F1-C1</f>
      </nc>
      <ndxf>
        <font>
          <sz val="10"/>
          <color auto="1"/>
          <name val="Arial"/>
          <scheme val="none"/>
        </font>
        <numFmt numFmtId="10" formatCode="&quot;$&quot;#,##0_);[Red]\(&quot;$&quot;#,##0\)"/>
      </ndxf>
    </rcc>
    <rcc rId="0" sId="7" dxf="1">
      <nc r="H1">
        <f>G1/C1</f>
      </nc>
      <ndxf>
        <font>
          <sz val="10"/>
          <color auto="1"/>
          <name val="Arial"/>
          <scheme val="none"/>
        </font>
        <numFmt numFmtId="13" formatCode="0%"/>
      </ndxf>
    </rcc>
    <rcc rId="0" sId="7" dxf="1" numFmtId="4">
      <nc r="I1">
        <v>5547</v>
      </nc>
      <ndxf>
        <numFmt numFmtId="3" formatCode="#,##0"/>
      </ndxf>
    </rcc>
    <rcc rId="0" sId="7" dxf="1">
      <nc r="J1">
        <f>+I1/B1-1</f>
      </nc>
      <ndxf>
        <numFmt numFmtId="164" formatCode="0.0%"/>
      </ndxf>
    </rcc>
    <rcc rId="0" sId="7" dxf="1">
      <nc r="K1" t="inlineStr">
        <is>
          <t>*</t>
        </is>
      </nc>
      <ndxf>
        <numFmt numFmtId="164" formatCode="0.0%"/>
      </ndxf>
    </rcc>
    <rcc rId="0" sId="7" dxf="1">
      <nc r="L1">
        <f>I1/C1-1</f>
      </nc>
      <ndxf>
        <numFmt numFmtId="164" formatCode="0.0%"/>
      </ndxf>
    </rcc>
    <rcc rId="0" sId="7">
      <nc r="M1">
        <v>5442</v>
      </nc>
    </rcc>
    <rcc rId="0" sId="7">
      <nc r="N1">
        <v>5239</v>
      </nc>
    </rcc>
    <rcc rId="0" sId="7" dxf="1">
      <nc r="O1">
        <f>N1/M1-1</f>
      </nc>
      <ndxf>
        <numFmt numFmtId="14" formatCode="0.00%"/>
      </ndxf>
    </rcc>
  </rrc>
  <rrc rId="37280" sId="7" ref="A1:XFD1" action="deleteRow">
    <undo index="0" exp="ref" ref3D="1" v="1" dr="C1" r="C18" sId="8"/>
    <undo index="0" exp="ref" ref3D="1" v="1" dr="B1" r="B18" sId="8"/>
    <undo index="0" exp="area" dr="N1:N19" r="N20" sId="7"/>
    <undo index="0" exp="area" dr="M1:M19" r="M20" sId="7"/>
    <undo index="0" exp="area" dr="F1:F19" r="F20" sId="7"/>
    <undo index="0" exp="area" dr="C1:C19" r="C20" sId="7"/>
    <undo index="0" exp="area" dr="B1:B19" r="B20" sId="7"/>
    <rfmt sheetId="7" xfDxf="1" sqref="A1:XFD1" start="0" length="0"/>
    <rcc rId="0" sId="7" dxf="1">
      <nc r="A1" t="inlineStr">
        <is>
          <t>D.C. Office of Risk Management (RK)</t>
        </is>
      </nc>
      <ndxf>
        <font>
          <sz val="10"/>
          <color auto="1"/>
          <name val="Arial"/>
          <scheme val="none"/>
        </font>
      </ndxf>
    </rcc>
    <rcc rId="0" sId="7" dxf="1" numFmtId="11">
      <nc r="B1">
        <v>1800</v>
      </nc>
      <ndxf>
        <font>
          <sz val="10"/>
          <color auto="1"/>
          <name val="Arial"/>
          <scheme val="none"/>
        </font>
        <numFmt numFmtId="10" formatCode="&quot;$&quot;#,##0_);[Red]\(&quot;$&quot;#,##0\)"/>
      </ndxf>
    </rcc>
    <rcc rId="0" sId="7" dxf="1" numFmtId="11">
      <nc r="C1">
        <v>1480</v>
      </nc>
      <ndxf>
        <font>
          <sz val="10"/>
          <color auto="1"/>
          <name val="Arial"/>
          <scheme val="none"/>
        </font>
        <numFmt numFmtId="10" formatCode="&quot;$&quot;#,##0_);[Red]\(&quot;$&quot;#,##0\)"/>
      </ndxf>
    </rcc>
    <rcc rId="0" sId="7" dxf="1">
      <nc r="D1">
        <f>C1-B1</f>
      </nc>
      <ndxf>
        <font>
          <sz val="10"/>
          <color auto="1"/>
          <name val="Arial"/>
          <scheme val="none"/>
        </font>
        <numFmt numFmtId="10" formatCode="&quot;$&quot;#,##0_);[Red]\(&quot;$&quot;#,##0\)"/>
      </ndxf>
    </rcc>
    <rcc rId="0" sId="7" s="1" dxf="1">
      <nc r="E1">
        <f>D1/B1</f>
      </nc>
      <ndxf>
        <font>
          <sz val="10"/>
          <color auto="1"/>
          <name val="Arial"/>
          <scheme val="none"/>
        </font>
        <numFmt numFmtId="13" formatCode="0%"/>
      </ndxf>
    </rcc>
    <rcc rId="0" sId="7" dxf="1" numFmtId="11">
      <nc r="F1">
        <v>1212</v>
      </nc>
      <ndxf>
        <font>
          <sz val="10"/>
          <color auto="1"/>
          <name val="Arial"/>
          <scheme val="none"/>
        </font>
        <numFmt numFmtId="10" formatCode="&quot;$&quot;#,##0_);[Red]\(&quot;$&quot;#,##0\)"/>
      </ndxf>
    </rcc>
    <rcc rId="0" sId="7" s="1" dxf="1">
      <nc r="G1">
        <f>F1-C1</f>
      </nc>
      <ndxf>
        <font>
          <sz val="10"/>
          <color auto="1"/>
          <name val="Arial"/>
          <scheme val="none"/>
        </font>
        <numFmt numFmtId="10" formatCode="&quot;$&quot;#,##0_);[Red]\(&quot;$&quot;#,##0\)"/>
      </ndxf>
    </rcc>
    <rcc rId="0" sId="7" dxf="1">
      <nc r="H1">
        <f>G1/C1</f>
      </nc>
      <ndxf>
        <font>
          <sz val="10"/>
          <color auto="1"/>
          <name val="Arial"/>
          <scheme val="none"/>
        </font>
        <numFmt numFmtId="13" formatCode="0%"/>
      </ndxf>
    </rcc>
    <rcc rId="0" sId="7" dxf="1" numFmtId="4">
      <nc r="I1">
        <v>2010</v>
      </nc>
      <ndxf>
        <numFmt numFmtId="3" formatCode="#,##0"/>
      </ndxf>
    </rcc>
    <rcc rId="0" sId="7" dxf="1">
      <nc r="J1">
        <f>+I1/B1-1</f>
      </nc>
      <ndxf>
        <numFmt numFmtId="164" formatCode="0.0%"/>
      </ndxf>
    </rcc>
    <rcc rId="0" sId="7" dxf="1">
      <nc r="K1" t="inlineStr">
        <is>
          <t>***</t>
        </is>
      </nc>
      <ndxf>
        <numFmt numFmtId="164" formatCode="0.0%"/>
      </ndxf>
    </rcc>
    <rcc rId="0" sId="7" dxf="1">
      <nc r="L1">
        <f>I1/C1-1</f>
      </nc>
      <ndxf>
        <numFmt numFmtId="164" formatCode="0.0%"/>
      </ndxf>
    </rcc>
    <rcc rId="0" sId="7">
      <nc r="M1">
        <v>1867</v>
      </nc>
    </rcc>
    <rcc rId="0" sId="7">
      <nc r="N1">
        <v>1749</v>
      </nc>
    </rcc>
    <rcc rId="0" sId="7" dxf="1">
      <nc r="O1">
        <f>N1/M1-1</f>
      </nc>
      <ndxf>
        <numFmt numFmtId="14" formatCode="0.00%"/>
      </ndxf>
    </rcc>
  </rrc>
  <rrc rId="37281" sId="7" ref="A1:XFD1" action="deleteRow">
    <undo index="0" exp="ref" ref3D="1" v="1" dr="C1" r="C19" sId="8"/>
    <undo index="0" exp="ref" ref3D="1" v="1" dr="B1" r="B19" sId="8"/>
    <undo index="0" exp="area" dr="N1:N18" r="N19" sId="7"/>
    <undo index="0" exp="area" dr="M1:M18" r="M19" sId="7"/>
    <undo index="0" exp="area" dr="F1:F18" r="F19" sId="7"/>
    <undo index="0" exp="area" dr="C1:C18" r="C19" sId="7"/>
    <undo index="0" exp="area" dr="B1:B18" r="B19" sId="7"/>
    <rfmt sheetId="7" xfDxf="1" sqref="A1:XFD1" start="0" length="0"/>
    <rcc rId="0" sId="7" dxf="1">
      <nc r="A1" t="inlineStr">
        <is>
          <t>D.C. Human Resources (BE)</t>
        </is>
      </nc>
      <ndxf>
        <font>
          <sz val="10"/>
          <color auto="1"/>
          <name val="Arial"/>
          <scheme val="none"/>
        </font>
      </ndxf>
    </rcc>
    <rcc rId="0" sId="7" dxf="1" numFmtId="11">
      <nc r="B1">
        <v>8883</v>
      </nc>
      <ndxf>
        <font>
          <sz val="10"/>
          <color auto="1"/>
          <name val="Arial"/>
          <scheme val="none"/>
        </font>
        <numFmt numFmtId="10" formatCode="&quot;$&quot;#,##0_);[Red]\(&quot;$&quot;#,##0\)"/>
      </ndxf>
    </rcc>
    <rcc rId="0" sId="7" dxf="1" numFmtId="11">
      <nc r="C1">
        <v>9675</v>
      </nc>
      <ndxf>
        <font>
          <sz val="10"/>
          <color auto="1"/>
          <name val="Arial"/>
          <scheme val="none"/>
        </font>
        <numFmt numFmtId="10" formatCode="&quot;$&quot;#,##0_);[Red]\(&quot;$&quot;#,##0\)"/>
      </ndxf>
    </rcc>
    <rcc rId="0" sId="7" dxf="1">
      <nc r="D1">
        <f>C1-B1</f>
      </nc>
      <ndxf>
        <font>
          <sz val="10"/>
          <color auto="1"/>
          <name val="Arial"/>
          <scheme val="none"/>
        </font>
        <numFmt numFmtId="10" formatCode="&quot;$&quot;#,##0_);[Red]\(&quot;$&quot;#,##0\)"/>
      </ndxf>
    </rcc>
    <rcc rId="0" sId="7" s="1" dxf="1">
      <nc r="E1">
        <f>D1/B1</f>
      </nc>
      <ndxf>
        <font>
          <sz val="10"/>
          <color auto="1"/>
          <name val="Arial"/>
          <scheme val="none"/>
        </font>
        <numFmt numFmtId="13" formatCode="0%"/>
      </ndxf>
    </rcc>
    <rcc rId="0" sId="7" dxf="1" numFmtId="11">
      <nc r="F1">
        <v>8156</v>
      </nc>
      <ndxf>
        <font>
          <sz val="10"/>
          <color auto="1"/>
          <name val="Arial"/>
          <scheme val="none"/>
        </font>
        <numFmt numFmtId="10" formatCode="&quot;$&quot;#,##0_);[Red]\(&quot;$&quot;#,##0\)"/>
      </ndxf>
    </rcc>
    <rcc rId="0" sId="7" s="1" dxf="1">
      <nc r="G1">
        <f>F1-C1</f>
      </nc>
      <ndxf>
        <font>
          <sz val="10"/>
          <color auto="1"/>
          <name val="Arial"/>
          <scheme val="none"/>
        </font>
        <numFmt numFmtId="10" formatCode="&quot;$&quot;#,##0_);[Red]\(&quot;$&quot;#,##0\)"/>
      </ndxf>
    </rcc>
    <rcc rId="0" sId="7" dxf="1">
      <nc r="H1">
        <f>G1/C1</f>
      </nc>
      <ndxf>
        <font>
          <sz val="10"/>
          <color auto="1"/>
          <name val="Arial"/>
          <scheme val="none"/>
        </font>
        <numFmt numFmtId="13" formatCode="0%"/>
      </ndxf>
    </rcc>
    <rcc rId="0" sId="7" dxf="1" numFmtId="4">
      <nc r="I1">
        <v>14741</v>
      </nc>
      <ndxf>
        <numFmt numFmtId="3" formatCode="#,##0"/>
      </ndxf>
    </rcc>
    <rcc rId="0" sId="7" dxf="1">
      <nc r="J1">
        <f>+I1/B1-1</f>
      </nc>
      <ndxf>
        <numFmt numFmtId="164" formatCode="0.0%"/>
      </ndxf>
    </rcc>
    <rcc rId="0" sId="7" dxf="1">
      <nc r="K1" t="inlineStr">
        <is>
          <t>**</t>
        </is>
      </nc>
      <ndxf>
        <numFmt numFmtId="164" formatCode="0.0%"/>
      </ndxf>
    </rcc>
    <rcc rId="0" sId="7" dxf="1">
      <nc r="L1">
        <f>I1/C1-1</f>
      </nc>
      <ndxf>
        <numFmt numFmtId="164" formatCode="0.0%"/>
      </ndxf>
    </rcc>
    <rcc rId="0" sId="7">
      <nc r="M1">
        <v>12917</v>
      </nc>
    </rcc>
    <rcc rId="0" sId="7">
      <nc r="N1">
        <v>11583</v>
      </nc>
    </rcc>
    <rcc rId="0" sId="7" dxf="1">
      <nc r="O1">
        <f>N1/M1-1</f>
      </nc>
      <ndxf>
        <numFmt numFmtId="14" formatCode="0.00%"/>
      </ndxf>
    </rcc>
  </rrc>
  <rrc rId="37282" sId="7" ref="A1:XFD1" action="deleteRow">
    <undo index="0" exp="ref" ref3D="1" v="1" dr="C1" r="C20" sId="8"/>
    <undo index="0" exp="ref" ref3D="1" v="1" dr="B1" r="B20" sId="8"/>
    <undo index="0" exp="area" dr="N1:N17" r="N18" sId="7"/>
    <undo index="0" exp="area" dr="M1:M17" r="M18" sId="7"/>
    <undo index="0" exp="area" dr="F1:F17" r="F18" sId="7"/>
    <undo index="0" exp="area" dr="C1:C17" r="C18" sId="7"/>
    <undo index="0" exp="area" dr="B1:B17" r="B18" sId="7"/>
    <rfmt sheetId="7" xfDxf="1" sqref="A1:XFD1" start="0" length="0"/>
    <rcc rId="0" sId="7" dxf="1">
      <nc r="A1" t="inlineStr">
        <is>
          <t>Office of Disability Rights (JR)*</t>
        </is>
      </nc>
      <ndxf>
        <font>
          <sz val="10"/>
          <color auto="1"/>
          <name val="Arial"/>
          <scheme val="none"/>
        </font>
        <alignment horizontal="left" vertical="top" readingOrder="0"/>
      </ndxf>
    </rcc>
    <rcc rId="0" sId="7" dxf="1" numFmtId="11">
      <nc r="B1">
        <v>566</v>
      </nc>
      <ndxf>
        <font>
          <sz val="10"/>
          <color auto="1"/>
          <name val="Arial"/>
          <scheme val="none"/>
        </font>
        <numFmt numFmtId="10" formatCode="&quot;$&quot;#,##0_);[Red]\(&quot;$&quot;#,##0\)"/>
      </ndxf>
    </rcc>
    <rcc rId="0" sId="7" dxf="1" numFmtId="11">
      <nc r="C1">
        <v>1470</v>
      </nc>
      <ndxf>
        <font>
          <sz val="10"/>
          <color auto="1"/>
          <name val="Arial"/>
          <scheme val="none"/>
        </font>
        <numFmt numFmtId="10" formatCode="&quot;$&quot;#,##0_);[Red]\(&quot;$&quot;#,##0\)"/>
      </ndxf>
    </rcc>
    <rcc rId="0" sId="7" dxf="1">
      <nc r="D1">
        <f>C1-B1</f>
      </nc>
      <ndxf>
        <font>
          <sz val="10"/>
          <color auto="1"/>
          <name val="Arial"/>
          <scheme val="none"/>
        </font>
        <numFmt numFmtId="10" formatCode="&quot;$&quot;#,##0_);[Red]\(&quot;$&quot;#,##0\)"/>
      </ndxf>
    </rcc>
    <rcc rId="0" sId="7" s="1" dxf="1">
      <nc r="E1">
        <f>D1/B1</f>
      </nc>
      <ndxf>
        <font>
          <sz val="10"/>
          <color auto="1"/>
          <name val="Arial"/>
          <scheme val="none"/>
        </font>
        <numFmt numFmtId="13" formatCode="0%"/>
      </ndxf>
    </rcc>
    <rcc rId="0" sId="7" dxf="1" numFmtId="11">
      <nc r="F1">
        <v>1289</v>
      </nc>
      <ndxf>
        <font>
          <sz val="10"/>
          <color auto="1"/>
          <name val="Arial"/>
          <scheme val="none"/>
        </font>
        <numFmt numFmtId="10" formatCode="&quot;$&quot;#,##0_);[Red]\(&quot;$&quot;#,##0\)"/>
      </ndxf>
    </rcc>
    <rcc rId="0" sId="7" s="1" dxf="1">
      <nc r="G1">
        <f>F1-C1</f>
      </nc>
      <ndxf>
        <font>
          <sz val="10"/>
          <color auto="1"/>
          <name val="Arial"/>
          <scheme val="none"/>
        </font>
        <numFmt numFmtId="10" formatCode="&quot;$&quot;#,##0_);[Red]\(&quot;$&quot;#,##0\)"/>
      </ndxf>
    </rcc>
    <rcc rId="0" sId="7" dxf="1">
      <nc r="H1">
        <f>G1/C1</f>
      </nc>
      <ndxf>
        <font>
          <sz val="10"/>
          <color auto="1"/>
          <name val="Arial"/>
          <scheme val="none"/>
        </font>
        <numFmt numFmtId="13" formatCode="0%"/>
      </ndxf>
    </rcc>
    <rcc rId="0" sId="7" dxf="1" numFmtId="4">
      <nc r="I1">
        <v>1289</v>
      </nc>
      <ndxf>
        <numFmt numFmtId="3" formatCode="#,##0"/>
      </ndxf>
    </rcc>
    <rcc rId="0" sId="7" dxf="1">
      <nc r="J1">
        <f>+I1/B1-1</f>
      </nc>
      <ndxf>
        <numFmt numFmtId="164" formatCode="0.0%"/>
      </ndxf>
    </rcc>
    <rcc rId="0" sId="7" dxf="1">
      <nc r="K1" t="inlineStr">
        <is>
          <t>*****</t>
        </is>
      </nc>
      <ndxf>
        <numFmt numFmtId="164" formatCode="0.0%"/>
      </ndxf>
    </rcc>
    <rcc rId="0" sId="7" dxf="1">
      <nc r="L1">
        <f>I1/C1-1</f>
      </nc>
      <ndxf>
        <numFmt numFmtId="164" formatCode="0.0%"/>
      </ndxf>
    </rcc>
    <rcc rId="0" sId="7">
      <nc r="M1">
        <v>1135</v>
      </nc>
    </rcc>
    <rcc rId="0" sId="7">
      <nc r="N1">
        <v>1516</v>
      </nc>
    </rcc>
    <rcc rId="0" sId="7" dxf="1">
      <nc r="O1">
        <f>N1/M1-1</f>
      </nc>
      <ndxf>
        <numFmt numFmtId="14" formatCode="0.00%"/>
      </ndxf>
    </rcc>
  </rrc>
  <rrc rId="37283" sId="7" ref="A1:XFD1" action="deleteRow">
    <undo index="0" exp="area" dr="N1:N16" r="N17" sId="7"/>
    <undo index="0" exp="area" dr="M1:M16" r="M17" sId="7"/>
    <undo index="0" exp="area" dr="F1:F16" r="F17" sId="7"/>
    <undo index="0" exp="area" dr="C1:C16" r="C17" sId="7"/>
    <undo index="0" exp="area" dr="B1:B16" r="B17" sId="7"/>
    <rfmt sheetId="7" xfDxf="1" sqref="A1:XFD1" start="0" length="0"/>
    <rcc rId="0" sId="7" dxf="1">
      <nc r="A1" t="inlineStr">
        <is>
          <t>Medical Liability Captive Insurance Agency (RJO)**</t>
        </is>
      </nc>
      <ndxf>
        <font>
          <sz val="10"/>
          <color rgb="FF000000"/>
          <name val="Arial"/>
          <scheme val="none"/>
        </font>
      </ndxf>
    </rcc>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1" sqref="E1" start="0" length="0">
      <dxf>
        <font>
          <sz val="10"/>
          <color auto="1"/>
          <name val="Arial"/>
          <scheme val="none"/>
        </font>
        <numFmt numFmtId="13" formatCode="0%"/>
      </dxf>
    </rfmt>
    <rfmt sheetId="7" sqref="F1" start="0" length="0">
      <dxf>
        <font>
          <sz val="10"/>
          <color auto="1"/>
          <name val="Arial"/>
          <scheme val="none"/>
        </font>
        <numFmt numFmtId="10" formatCode="&quot;$&quot;#,##0_);[Red]\(&quot;$&quot;#,##0\)"/>
      </dxf>
    </rfmt>
    <rfmt sheetId="7" s="1"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fmt sheetId="7" sqref="I1" start="0" length="0">
      <dxf>
        <numFmt numFmtId="3" formatCode="#,##0"/>
      </dxf>
    </rfmt>
    <rfmt sheetId="7" sqref="J1" start="0" length="0">
      <dxf>
        <numFmt numFmtId="164" formatCode="0.0%"/>
      </dxf>
    </rfmt>
    <rfmt sheetId="7" sqref="K1" start="0" length="0">
      <dxf>
        <numFmt numFmtId="164" formatCode="0.0%"/>
      </dxf>
    </rfmt>
    <rfmt sheetId="7" sqref="L1" start="0" length="0">
      <dxf>
        <numFmt numFmtId="164" formatCode="0.0%"/>
      </dxf>
    </rfmt>
    <rcc rId="0" sId="7">
      <nc r="M1">
        <v>1000</v>
      </nc>
    </rcc>
    <rcc rId="0" sId="7">
      <nc r="N1">
        <v>1000</v>
      </nc>
    </rcc>
    <rcc rId="0" sId="7" dxf="1">
      <nc r="O1">
        <f>N1/M1-1</f>
      </nc>
      <ndxf>
        <numFmt numFmtId="14" formatCode="0.00%"/>
      </ndxf>
    </rcc>
  </rrc>
  <rrc rId="37284" sId="7" ref="A1:XFD1" action="deleteRow">
    <undo index="0" exp="ref" ref3D="1" v="1" dr="C1" r="C21" sId="8"/>
    <undo index="0" exp="ref" ref3D="1" v="1" dr="B1" r="B21" sId="8"/>
    <undo index="0" exp="area" dr="N1:N15" r="N16" sId="7"/>
    <undo index="0" exp="area" dr="M1:M15" r="M16" sId="7"/>
    <undo index="0" exp="area" dr="F1:F15" r="F16" sId="7"/>
    <undo index="0" exp="area" dr="C1:C15" r="C16" sId="7"/>
    <undo index="0" exp="area" dr="B1:B15" r="B16" sId="7"/>
    <rfmt sheetId="7" xfDxf="1" sqref="A1:XFD1" start="0" length="0"/>
    <rcc rId="0" sId="7" dxf="1">
      <nc r="A1" t="inlineStr">
        <is>
          <t>Office of Finance and Resource Management (AS)</t>
        </is>
      </nc>
      <ndxf>
        <font>
          <sz val="10"/>
          <color auto="1"/>
          <name val="Arial"/>
          <scheme val="none"/>
        </font>
      </ndxf>
    </rcc>
    <rcc rId="0" sId="7" dxf="1" numFmtId="11">
      <nc r="B1">
        <v>4971</v>
      </nc>
      <ndxf>
        <font>
          <sz val="10"/>
          <color auto="1"/>
          <name val="Arial"/>
          <scheme val="none"/>
        </font>
        <numFmt numFmtId="10" formatCode="&quot;$&quot;#,##0_);[Red]\(&quot;$&quot;#,##0\)"/>
      </ndxf>
    </rcc>
    <rcc rId="0" sId="7" dxf="1" numFmtId="11">
      <nc r="C1">
        <v>4471</v>
      </nc>
      <ndxf>
        <font>
          <sz val="10"/>
          <color auto="1"/>
          <name val="Arial"/>
          <scheme val="none"/>
        </font>
        <numFmt numFmtId="10" formatCode="&quot;$&quot;#,##0_);[Red]\(&quot;$&quot;#,##0\)"/>
      </ndxf>
    </rcc>
    <rcc rId="0" sId="7" dxf="1">
      <nc r="D1">
        <f>C1-B1</f>
      </nc>
      <ndxf>
        <font>
          <sz val="10"/>
          <color auto="1"/>
          <name val="Arial"/>
          <scheme val="none"/>
        </font>
        <numFmt numFmtId="10" formatCode="&quot;$&quot;#,##0_);[Red]\(&quot;$&quot;#,##0\)"/>
      </ndxf>
    </rcc>
    <rcc rId="0" sId="7" s="1" dxf="1">
      <nc r="E1">
        <f>D1/B1</f>
      </nc>
      <ndxf>
        <font>
          <sz val="10"/>
          <color auto="1"/>
          <name val="Arial"/>
          <scheme val="none"/>
        </font>
        <numFmt numFmtId="13" formatCode="0%"/>
      </ndxf>
    </rcc>
    <rcc rId="0" sId="7" dxf="1" numFmtId="11">
      <nc r="F1">
        <v>4423</v>
      </nc>
      <ndxf>
        <font>
          <sz val="10"/>
          <color auto="1"/>
          <name val="Arial"/>
          <scheme val="none"/>
        </font>
        <numFmt numFmtId="10" formatCode="&quot;$&quot;#,##0_);[Red]\(&quot;$&quot;#,##0\)"/>
      </ndxf>
    </rcc>
    <rcc rId="0" sId="7" s="1" dxf="1">
      <nc r="G1">
        <f>F1-C1</f>
      </nc>
      <ndxf>
        <font>
          <sz val="10"/>
          <color auto="1"/>
          <name val="Arial"/>
          <scheme val="none"/>
        </font>
        <numFmt numFmtId="10" formatCode="&quot;$&quot;#,##0_);[Red]\(&quot;$&quot;#,##0\)"/>
      </ndxf>
    </rcc>
    <rcc rId="0" sId="7" dxf="1">
      <nc r="H1">
        <f>G1/C1</f>
      </nc>
      <ndxf>
        <font>
          <sz val="10"/>
          <color auto="1"/>
          <name val="Arial"/>
          <scheme val="none"/>
        </font>
        <numFmt numFmtId="13" formatCode="0%"/>
      </ndxf>
    </rcc>
    <rcc rId="0" sId="7" dxf="1" numFmtId="4">
      <nc r="I1">
        <v>236254</v>
      </nc>
      <ndxf>
        <numFmt numFmtId="3" formatCode="#,##0"/>
      </ndxf>
    </rcc>
    <rcc rId="0" sId="7" dxf="1">
      <nc r="J1">
        <f>+I1/B1-1</f>
      </nc>
      <ndxf>
        <numFmt numFmtId="164" formatCode="0.0%"/>
      </ndxf>
    </rcc>
    <rcc rId="0" sId="7" dxf="1">
      <nc r="K1" t="inlineStr">
        <is>
          <t>*******</t>
        </is>
      </nc>
      <ndxf>
        <numFmt numFmtId="164" formatCode="0.0%"/>
      </ndxf>
    </rcc>
    <rcc rId="0" sId="7" dxf="1">
      <nc r="L1">
        <f>I1/C1-1</f>
      </nc>
      <ndxf>
        <numFmt numFmtId="164" formatCode="0.0%"/>
      </ndxf>
    </rcc>
    <rcc rId="0" sId="7">
      <nc r="M1">
        <v>235859</v>
      </nc>
    </rcc>
    <rcc rId="0" sId="7">
      <nc r="N1">
        <v>36113</v>
      </nc>
    </rcc>
    <rcc rId="0" sId="7" dxf="1">
      <nc r="O1">
        <f>N1/M1-1</f>
      </nc>
      <ndxf>
        <numFmt numFmtId="14" formatCode="0.00%"/>
      </ndxf>
    </rcc>
  </rrc>
  <rrc rId="37285" sId="7" ref="A1:XFD1" action="deleteRow">
    <undo index="0" exp="ref" ref3D="1" v="1" dr="C1" r="C22" sId="8"/>
    <undo index="0" exp="ref" ref3D="1" v="1" dr="B1" r="B22" sId="8"/>
    <undo index="0" exp="area" dr="N1:N14" r="N15" sId="7"/>
    <undo index="0" exp="area" dr="M1:M14" r="M15" sId="7"/>
    <undo index="0" exp="area" dr="F1:F14" r="F15" sId="7"/>
    <undo index="0" exp="area" dr="C1:C14" r="C15" sId="7"/>
    <undo index="0" exp="area" dr="B1:B14" r="B15" sId="7"/>
    <rfmt sheetId="7" xfDxf="1" sqref="A1:XFD1" start="0" length="0"/>
    <rcc rId="0" sId="7" dxf="1">
      <nc r="A1" t="inlineStr">
        <is>
          <t>Office of Partnerships and Grants and Services (BU)</t>
        </is>
      </nc>
      <ndxf>
        <font>
          <sz val="10"/>
          <color auto="1"/>
          <name val="Arial"/>
          <scheme val="none"/>
        </font>
      </ndxf>
    </rcc>
    <rcc rId="0" sId="7" dxf="1" numFmtId="11">
      <nc r="B1">
        <v>0</v>
      </nc>
      <ndxf>
        <font>
          <sz val="10"/>
          <color auto="1"/>
          <name val="Arial"/>
          <scheme val="none"/>
        </font>
        <numFmt numFmtId="10" formatCode="&quot;$&quot;#,##0_);[Red]\(&quot;$&quot;#,##0\)"/>
      </ndxf>
    </rcc>
    <rcc rId="0" sId="7" dxf="1" numFmtId="11">
      <nc r="C1">
        <v>897</v>
      </nc>
      <ndxf>
        <font>
          <sz val="10"/>
          <color auto="1"/>
          <name val="Arial"/>
          <scheme val="none"/>
        </font>
        <numFmt numFmtId="10" formatCode="&quot;$&quot;#,##0_);[Red]\(&quot;$&quot;#,##0\)"/>
      </ndxf>
    </rcc>
    <rcc rId="0" sId="7" dxf="1">
      <nc r="D1">
        <f>C1-B1</f>
      </nc>
      <ndxf>
        <font>
          <sz val="10"/>
          <color auto="1"/>
          <name val="Arial"/>
          <scheme val="none"/>
        </font>
        <numFmt numFmtId="10" formatCode="&quot;$&quot;#,##0_);[Red]\(&quot;$&quot;#,##0\)"/>
      </ndxf>
    </rcc>
    <rcc rId="0" sId="7" dxf="1">
      <nc r="E1" t="inlineStr">
        <is>
          <t>—</t>
        </is>
      </nc>
      <ndxf>
        <font>
          <sz val="10"/>
          <color auto="1"/>
          <name val="Arial"/>
          <scheme val="none"/>
        </font>
        <numFmt numFmtId="164" formatCode="0.0%"/>
        <alignment horizontal="right" vertical="top" readingOrder="0"/>
      </ndxf>
    </rcc>
    <rcc rId="0" sId="7" dxf="1" numFmtId="11">
      <nc r="F1">
        <v>553</v>
      </nc>
      <ndxf>
        <font>
          <sz val="10"/>
          <color auto="1"/>
          <name val="Arial"/>
          <scheme val="none"/>
        </font>
        <numFmt numFmtId="10" formatCode="&quot;$&quot;#,##0_);[Red]\(&quot;$&quot;#,##0\)"/>
      </ndxf>
    </rcc>
    <rcc rId="0" sId="7" s="1" dxf="1">
      <nc r="G1">
        <f>F1-C1</f>
      </nc>
      <ndxf>
        <font>
          <sz val="10"/>
          <color auto="1"/>
          <name val="Arial"/>
          <scheme val="none"/>
        </font>
        <numFmt numFmtId="10" formatCode="&quot;$&quot;#,##0_);[Red]\(&quot;$&quot;#,##0\)"/>
      </ndxf>
    </rcc>
    <rcc rId="0" sId="7" dxf="1">
      <nc r="H1">
        <f>G1/C1</f>
      </nc>
      <ndxf>
        <font>
          <sz val="10"/>
          <color auto="1"/>
          <name val="Arial"/>
          <scheme val="none"/>
        </font>
        <numFmt numFmtId="13" formatCode="0%"/>
      </ndxf>
    </rcc>
    <rcc rId="0" sId="7" dxf="1" numFmtId="4">
      <nc r="I1">
        <v>713</v>
      </nc>
      <ndxf>
        <numFmt numFmtId="3" formatCode="#,##0"/>
      </ndxf>
    </rcc>
    <rcc rId="0" sId="7" dxf="1">
      <nc r="J1">
        <f>+I1/B1-1</f>
      </nc>
      <ndxf>
        <numFmt numFmtId="164" formatCode="0.0%"/>
      </ndxf>
    </rcc>
    <rfmt sheetId="7" sqref="K1" start="0" length="0">
      <dxf>
        <numFmt numFmtId="164" formatCode="0.0%"/>
      </dxf>
    </rfmt>
    <rcc rId="0" sId="7" dxf="1">
      <nc r="L1">
        <f>I1/C1-1</f>
      </nc>
      <ndxf>
        <numFmt numFmtId="164" formatCode="0.0%"/>
      </ndxf>
    </rcc>
    <rcc rId="0" sId="7">
      <nc r="M1">
        <v>642</v>
      </nc>
    </rcc>
    <rcc rId="0" sId="7">
      <nc r="N1">
        <v>0</v>
      </nc>
    </rcc>
    <rcc rId="0" sId="7" dxf="1">
      <nc r="O1">
        <f>N1/M1-1</f>
      </nc>
      <ndxf>
        <numFmt numFmtId="14" formatCode="0.00%"/>
      </ndxf>
    </rcc>
  </rrc>
  <rrc rId="37286" sId="7" ref="A1:XFD1" action="deleteRow">
    <undo index="0" exp="ref" ref3D="1" v="1" dr="C1" r="C23" sId="8"/>
    <undo index="0" exp="ref" ref3D="1" v="1" dr="B1" r="B23" sId="8"/>
    <undo index="0" exp="area" dr="N1:N13" r="N14" sId="7"/>
    <undo index="0" exp="area" dr="M1:M13" r="M14" sId="7"/>
    <undo index="0" exp="area" dr="F1:F13" r="F14" sId="7"/>
    <undo index="0" exp="area" dr="C1:C13" r="C14" sId="7"/>
    <undo index="0" exp="area" dr="B1:B13" r="B14" sId="7"/>
    <rfmt sheetId="7" xfDxf="1" sqref="A1:XFD1" start="0" length="0"/>
    <rcc rId="0" sId="7" dxf="1">
      <nc r="A1" t="inlineStr">
        <is>
          <t>Office of Contracting and Procurement (PO)</t>
        </is>
      </nc>
      <ndxf>
        <font>
          <sz val="10"/>
          <color auto="1"/>
          <name val="Arial"/>
          <scheme val="none"/>
        </font>
        <alignment horizontal="left" vertical="top" readingOrder="0"/>
      </ndxf>
    </rcc>
    <rcc rId="0" sId="7" dxf="1" numFmtId="11">
      <nc r="B1">
        <v>6057</v>
      </nc>
      <ndxf>
        <font>
          <sz val="10"/>
          <color auto="1"/>
          <name val="Arial"/>
          <scheme val="none"/>
        </font>
        <numFmt numFmtId="10" formatCode="&quot;$&quot;#,##0_);[Red]\(&quot;$&quot;#,##0\)"/>
      </ndxf>
    </rcc>
    <rcc rId="0" sId="7" dxf="1" numFmtId="11">
      <nc r="C1">
        <v>6528</v>
      </nc>
      <ndxf>
        <font>
          <sz val="10"/>
          <color auto="1"/>
          <name val="Arial"/>
          <scheme val="none"/>
        </font>
        <numFmt numFmtId="10" formatCode="&quot;$&quot;#,##0_);[Red]\(&quot;$&quot;#,##0\)"/>
      </ndxf>
    </rcc>
    <rcc rId="0" sId="7" dxf="1">
      <nc r="D1">
        <f>C1-B1</f>
      </nc>
      <ndxf>
        <font>
          <sz val="10"/>
          <color auto="1"/>
          <name val="Arial"/>
          <scheme val="none"/>
        </font>
        <numFmt numFmtId="10" formatCode="&quot;$&quot;#,##0_);[Red]\(&quot;$&quot;#,##0\)"/>
      </ndxf>
    </rcc>
    <rcc rId="0" sId="7" s="1" dxf="1">
      <nc r="E1">
        <f>D1/B1</f>
      </nc>
      <ndxf>
        <font>
          <sz val="10"/>
          <color auto="1"/>
          <name val="Arial"/>
          <scheme val="none"/>
        </font>
        <numFmt numFmtId="13" formatCode="0%"/>
      </ndxf>
    </rcc>
    <rcc rId="0" sId="7" dxf="1" numFmtId="11">
      <nc r="F1">
        <v>4167</v>
      </nc>
      <ndxf>
        <font>
          <sz val="10"/>
          <color auto="1"/>
          <name val="Arial"/>
          <scheme val="none"/>
        </font>
        <numFmt numFmtId="10" formatCode="&quot;$&quot;#,##0_);[Red]\(&quot;$&quot;#,##0\)"/>
      </ndxf>
    </rcc>
    <rcc rId="0" sId="7" s="1" dxf="1">
      <nc r="G1">
        <f>F1-C1</f>
      </nc>
      <ndxf>
        <font>
          <sz val="10"/>
          <color auto="1"/>
          <name val="Arial"/>
          <scheme val="none"/>
        </font>
        <numFmt numFmtId="10" formatCode="&quot;$&quot;#,##0_);[Red]\(&quot;$&quot;#,##0\)"/>
      </ndxf>
    </rcc>
    <rcc rId="0" sId="7" dxf="1">
      <nc r="H1">
        <f>G1/C1</f>
      </nc>
      <ndxf>
        <font>
          <sz val="10"/>
          <color auto="1"/>
          <name val="Arial"/>
          <scheme val="none"/>
        </font>
        <numFmt numFmtId="13" formatCode="0%"/>
      </ndxf>
    </rcc>
    <rcc rId="0" sId="7" dxf="1" numFmtId="4">
      <nc r="I1">
        <v>12840</v>
      </nc>
      <ndxf>
        <numFmt numFmtId="3" formatCode="#,##0"/>
      </ndxf>
    </rcc>
    <rcc rId="0" sId="7" dxf="1">
      <nc r="J1">
        <f>+I1/B1-1</f>
      </nc>
      <ndxf>
        <numFmt numFmtId="164" formatCode="0.0%"/>
      </ndxf>
    </rcc>
    <rcc rId="0" sId="7" dxf="1">
      <nc r="K1" t="inlineStr">
        <is>
          <t>*</t>
        </is>
      </nc>
      <ndxf>
        <numFmt numFmtId="164" formatCode="0.0%"/>
      </ndxf>
    </rcc>
    <rcc rId="0" sId="7" dxf="1">
      <nc r="L1">
        <f>I1/C1-1</f>
      </nc>
      <ndxf>
        <numFmt numFmtId="164" formatCode="0.0%"/>
      </ndxf>
    </rcc>
    <rcc rId="0" sId="7">
      <nc r="M1">
        <v>12569</v>
      </nc>
    </rcc>
    <rcc rId="0" sId="7">
      <nc r="N1">
        <v>11195</v>
      </nc>
    </rcc>
    <rcc rId="0" sId="7" dxf="1">
      <nc r="O1">
        <f>N1/M1-1</f>
      </nc>
      <ndxf>
        <numFmt numFmtId="14" formatCode="0.00%"/>
      </ndxf>
    </rcc>
  </rrc>
  <rrc rId="37287" sId="7" ref="A1:XFD1" action="deleteRow">
    <undo index="0" exp="ref" ref3D="1" v="1" dr="C1" r="C24" sId="8"/>
    <undo index="0" exp="ref" ref3D="1" v="1" dr="B1" r="B24" sId="8"/>
    <undo index="0" exp="area" dr="N1:N12" r="N13" sId="7"/>
    <undo index="0" exp="area" dr="M1:M12" r="M13" sId="7"/>
    <undo index="0" exp="area" dr="F1:F12" r="F13" sId="7"/>
    <undo index="0" exp="area" dr="C1:C12" r="C13" sId="7"/>
    <undo index="0" exp="area" dr="B1:B12" r="B13" sId="7"/>
    <rfmt sheetId="7" xfDxf="1" sqref="A1:XFD1" start="0" length="0"/>
    <rcc rId="0" sId="7" dxf="1">
      <nc r="A1" t="inlineStr">
        <is>
          <t>Office of the Chief Technology Officer (TO)</t>
        </is>
      </nc>
      <ndxf>
        <font>
          <sz val="10"/>
          <color auto="1"/>
          <name val="Arial"/>
          <scheme val="none"/>
        </font>
        <alignment horizontal="left" vertical="top" readingOrder="0"/>
      </ndxf>
    </rcc>
    <rcc rId="0" sId="7" dxf="1" numFmtId="11">
      <nc r="B1">
        <v>64060</v>
      </nc>
      <ndxf>
        <font>
          <sz val="10"/>
          <color auto="1"/>
          <name val="Arial"/>
          <scheme val="none"/>
        </font>
        <numFmt numFmtId="10" formatCode="&quot;$&quot;#,##0_);[Red]\(&quot;$&quot;#,##0\)"/>
      </ndxf>
    </rcc>
    <rcc rId="0" sId="7" dxf="1" numFmtId="11">
      <nc r="C1">
        <v>56448</v>
      </nc>
      <ndxf>
        <font>
          <sz val="10"/>
          <color auto="1"/>
          <name val="Arial"/>
          <scheme val="none"/>
        </font>
        <numFmt numFmtId="10" formatCode="&quot;$&quot;#,##0_);[Red]\(&quot;$&quot;#,##0\)"/>
      </ndxf>
    </rcc>
    <rcc rId="0" sId="7" dxf="1">
      <nc r="D1">
        <f>C1-B1</f>
      </nc>
      <ndxf>
        <font>
          <sz val="10"/>
          <color auto="1"/>
          <name val="Arial"/>
          <scheme val="none"/>
        </font>
        <numFmt numFmtId="10" formatCode="&quot;$&quot;#,##0_);[Red]\(&quot;$&quot;#,##0\)"/>
      </ndxf>
    </rcc>
    <rcc rId="0" sId="7" s="1" dxf="1">
      <nc r="E1">
        <f>D1/B1</f>
      </nc>
      <ndxf>
        <font>
          <sz val="10"/>
          <color auto="1"/>
          <name val="Arial"/>
          <scheme val="none"/>
        </font>
        <numFmt numFmtId="13" formatCode="0%"/>
      </ndxf>
    </rcc>
    <rcc rId="0" sId="7" dxf="1" numFmtId="11">
      <nc r="F1">
        <v>56639</v>
      </nc>
      <ndxf>
        <font>
          <sz val="10"/>
          <color auto="1"/>
          <name val="Arial"/>
          <scheme val="none"/>
        </font>
        <numFmt numFmtId="10" formatCode="&quot;$&quot;#,##0_);[Red]\(&quot;$&quot;#,##0\)"/>
      </ndxf>
    </rcc>
    <rcc rId="0" sId="7" s="1" dxf="1">
      <nc r="G1">
        <f>F1-C1</f>
      </nc>
      <ndxf>
        <font>
          <sz val="10"/>
          <color auto="1"/>
          <name val="Arial"/>
          <scheme val="none"/>
        </font>
        <numFmt numFmtId="10" formatCode="&quot;$&quot;#,##0_);[Red]\(&quot;$&quot;#,##0\)"/>
      </ndxf>
    </rcc>
    <rcc rId="0" sId="7" dxf="1">
      <nc r="H1">
        <f>G1/C1</f>
      </nc>
      <ndxf>
        <font>
          <sz val="10"/>
          <color auto="1"/>
          <name val="Arial"/>
          <scheme val="none"/>
        </font>
        <numFmt numFmtId="13" formatCode="0%"/>
      </ndxf>
    </rcc>
    <rcc rId="0" sId="7" dxf="1" numFmtId="4">
      <nc r="I1">
        <v>65121</v>
      </nc>
      <ndxf>
        <numFmt numFmtId="3" formatCode="#,##0"/>
      </ndxf>
    </rcc>
    <rcc rId="0" sId="7" dxf="1">
      <nc r="J1">
        <f>+I1/B1-1</f>
      </nc>
      <ndxf>
        <numFmt numFmtId="164" formatCode="0.0%"/>
      </ndxf>
    </rcc>
    <rcc rId="0" sId="7" dxf="1">
      <nc r="K1" t="inlineStr">
        <is>
          <t>**</t>
        </is>
      </nc>
      <ndxf>
        <numFmt numFmtId="164" formatCode="0.0%"/>
      </ndxf>
    </rcc>
    <rcc rId="0" sId="7" dxf="1">
      <nc r="L1">
        <f>I1/C1-1</f>
      </nc>
      <ndxf>
        <numFmt numFmtId="164" formatCode="0.0%"/>
      </ndxf>
    </rcc>
    <rcc rId="0" sId="7">
      <nc r="M1">
        <v>59095</v>
      </nc>
    </rcc>
    <rcc rId="0" sId="7">
      <nc r="N1">
        <v>68861</v>
      </nc>
    </rcc>
    <rcc rId="0" sId="7" dxf="1">
      <nc r="O1">
        <f>N1/M1-1</f>
      </nc>
      <ndxf>
        <numFmt numFmtId="14" formatCode="0.00%"/>
      </ndxf>
    </rcc>
  </rrc>
  <rrc rId="37288" sId="7" ref="A1:XFD1" action="deleteRow">
    <undo index="0" exp="ref" ref3D="1" v="1" dr="C1" r="C25" sId="8"/>
    <undo index="0" exp="ref" ref3D="1" v="1" dr="B1" r="B25" sId="8"/>
    <undo index="0" exp="area" dr="N1:N11" r="N12" sId="7"/>
    <undo index="0" exp="area" dr="M1:M11" r="M12" sId="7"/>
    <undo index="0" exp="area" dr="F1:F11" r="F12" sId="7"/>
    <undo index="0" exp="area" dr="C1:C11" r="C12" sId="7"/>
    <undo index="0" exp="area" dr="B1:B11" r="B12" sId="7"/>
    <rfmt sheetId="7" xfDxf="1" sqref="A1:XFD1" start="0" length="0"/>
    <rcc rId="0" sId="7" dxf="1">
      <nc r="A1" t="inlineStr">
        <is>
          <t>Department of Real Estate Services (AMO) formerly OMP</t>
        </is>
      </nc>
      <ndxf>
        <font>
          <sz val="10"/>
          <color auto="1"/>
          <name val="Arial"/>
          <scheme val="none"/>
        </font>
        <alignment horizontal="left" vertical="top" readingOrder="0"/>
      </ndxf>
    </rcc>
    <rcc rId="0" sId="7" dxf="1" numFmtId="11">
      <nc r="B1">
        <v>21469</v>
      </nc>
      <ndxf>
        <font>
          <sz val="10"/>
          <color auto="1"/>
          <name val="Arial"/>
          <scheme val="none"/>
        </font>
        <numFmt numFmtId="10" formatCode="&quot;$&quot;#,##0_);[Red]\(&quot;$&quot;#,##0\)"/>
      </ndxf>
    </rcc>
    <rcc rId="0" sId="7" dxf="1" numFmtId="11">
      <nc r="C1">
        <v>26951</v>
      </nc>
      <ndxf>
        <font>
          <sz val="10"/>
          <color auto="1"/>
          <name val="Arial"/>
          <scheme val="none"/>
        </font>
        <numFmt numFmtId="10" formatCode="&quot;$&quot;#,##0_);[Red]\(&quot;$&quot;#,##0\)"/>
      </ndxf>
    </rcc>
    <rcc rId="0" sId="7" dxf="1">
      <nc r="D1">
        <f>C1-B1</f>
      </nc>
      <ndxf>
        <font>
          <sz val="10"/>
          <color auto="1"/>
          <name val="Arial"/>
          <scheme val="none"/>
        </font>
        <numFmt numFmtId="10" formatCode="&quot;$&quot;#,##0_);[Red]\(&quot;$&quot;#,##0\)"/>
      </ndxf>
    </rcc>
    <rcc rId="0" sId="7" s="1" dxf="1">
      <nc r="E1">
        <f>D1/B1</f>
      </nc>
      <ndxf>
        <font>
          <sz val="10"/>
          <color auto="1"/>
          <name val="Arial"/>
          <scheme val="none"/>
        </font>
        <numFmt numFmtId="13" formatCode="0%"/>
      </ndxf>
    </rcc>
    <rcc rId="0" sId="7" dxf="1" numFmtId="11">
      <nc r="F1">
        <v>34664</v>
      </nc>
      <ndxf>
        <font>
          <sz val="10"/>
          <color auto="1"/>
          <name val="Arial"/>
          <scheme val="none"/>
        </font>
        <numFmt numFmtId="10" formatCode="&quot;$&quot;#,##0_);[Red]\(&quot;$&quot;#,##0\)"/>
      </ndxf>
    </rcc>
    <rcc rId="0" sId="7" s="1" dxf="1">
      <nc r="G1">
        <f>F1-C1</f>
      </nc>
      <ndxf>
        <font>
          <sz val="10"/>
          <color auto="1"/>
          <name val="Arial"/>
          <scheme val="none"/>
        </font>
        <numFmt numFmtId="10" formatCode="&quot;$&quot;#,##0_);[Red]\(&quot;$&quot;#,##0\)"/>
      </ndxf>
    </rcc>
    <rcc rId="0" sId="7" dxf="1">
      <nc r="H1">
        <f>G1/C1</f>
      </nc>
      <ndxf>
        <font>
          <sz val="10"/>
          <color auto="1"/>
          <name val="Arial"/>
          <scheme val="none"/>
        </font>
        <numFmt numFmtId="13" formatCode="0%"/>
      </ndxf>
    </rcc>
    <rcc rId="0" sId="7" dxf="1" numFmtId="4">
      <nc r="I1">
        <v>78885</v>
      </nc>
      <ndxf>
        <numFmt numFmtId="3" formatCode="#,##0"/>
      </ndxf>
    </rcc>
    <rcc rId="0" sId="7" dxf="1">
      <nc r="J1">
        <f>+I1/B1-1</f>
      </nc>
      <ndxf>
        <numFmt numFmtId="164" formatCode="0.0%"/>
      </ndxf>
    </rcc>
    <rcc rId="0" sId="7" dxf="1">
      <nc r="K1" t="inlineStr">
        <is>
          <t>****</t>
        </is>
      </nc>
      <ndxf>
        <numFmt numFmtId="164" formatCode="0.0%"/>
      </ndxf>
    </rcc>
    <rcc rId="0" sId="7" dxf="1">
      <nc r="L1">
        <f>I1/C1-1</f>
      </nc>
      <ndxf>
        <numFmt numFmtId="164" formatCode="0.0%"/>
      </ndxf>
    </rcc>
    <rcc rId="0" sId="7">
      <nc r="M1">
        <v>81515</v>
      </nc>
    </rcc>
    <rcc rId="0" sId="7">
      <nc r="N1">
        <v>31634</v>
      </nc>
    </rcc>
    <rcc rId="0" sId="7" dxf="1">
      <nc r="O1">
        <f>N1/M1-1</f>
      </nc>
      <ndxf>
        <numFmt numFmtId="14" formatCode="0.00%"/>
      </ndxf>
    </rcc>
  </rrc>
  <rrc rId="37289" sId="7" ref="A1:XFD1" action="deleteRow">
    <undo index="0" exp="ref" ref3D="1" v="1" dr="C1" r="C26" sId="8"/>
    <undo index="0" exp="ref" ref3D="1" v="1" dr="B1" r="B26" sId="8"/>
    <undo index="0" exp="area" dr="N1:N10" r="N11" sId="7"/>
    <undo index="0" exp="area" dr="M1:M10" r="M11" sId="7"/>
    <undo index="0" exp="area" dr="F1:F10" r="F11" sId="7"/>
    <undo index="0" exp="area" dr="C1:C10" r="C11" sId="7"/>
    <undo index="0" exp="area" dr="B1:B10" r="B11" sId="7"/>
    <rfmt sheetId="7" xfDxf="1" sqref="A1:XFD1" start="0" length="0"/>
    <rcc rId="0" sId="7" dxf="1">
      <nc r="A1" t="inlineStr">
        <is>
          <t>Contract Appeals Board (AF)</t>
        </is>
      </nc>
      <ndxf>
        <font>
          <sz val="10"/>
          <color auto="1"/>
          <name val="Arial"/>
          <scheme val="none"/>
        </font>
      </ndxf>
    </rcc>
    <rcc rId="0" sId="7" dxf="1" numFmtId="11">
      <nc r="B1">
        <v>940</v>
      </nc>
      <ndxf>
        <font>
          <sz val="10"/>
          <color auto="1"/>
          <name val="Arial"/>
          <scheme val="none"/>
        </font>
        <numFmt numFmtId="10" formatCode="&quot;$&quot;#,##0_);[Red]\(&quot;$&quot;#,##0\)"/>
      </ndxf>
    </rcc>
    <rcc rId="0" sId="7" dxf="1" numFmtId="11">
      <nc r="C1">
        <v>972</v>
      </nc>
      <ndxf>
        <font>
          <sz val="10"/>
          <color auto="1"/>
          <name val="Arial"/>
          <scheme val="none"/>
        </font>
        <numFmt numFmtId="10" formatCode="&quot;$&quot;#,##0_);[Red]\(&quot;$&quot;#,##0\)"/>
      </ndxf>
    </rcc>
    <rcc rId="0" sId="7" dxf="1">
      <nc r="D1">
        <f>C1-B1</f>
      </nc>
      <ndxf>
        <font>
          <sz val="10"/>
          <color auto="1"/>
          <name val="Arial"/>
          <scheme val="none"/>
        </font>
        <numFmt numFmtId="10" formatCode="&quot;$&quot;#,##0_);[Red]\(&quot;$&quot;#,##0\)"/>
      </ndxf>
    </rcc>
    <rcc rId="0" sId="7" s="1" dxf="1">
      <nc r="E1">
        <f>D1/B1</f>
      </nc>
      <ndxf>
        <font>
          <sz val="10"/>
          <color auto="1"/>
          <name val="Arial"/>
          <scheme val="none"/>
        </font>
        <numFmt numFmtId="13" formatCode="0%"/>
      </ndxf>
    </rcc>
    <rcc rId="0" sId="7" dxf="1" numFmtId="11">
      <nc r="F1">
        <v>1100</v>
      </nc>
      <ndxf>
        <font>
          <sz val="10"/>
          <color auto="1"/>
          <name val="Arial"/>
          <scheme val="none"/>
        </font>
        <numFmt numFmtId="10" formatCode="&quot;$&quot;#,##0_);[Red]\(&quot;$&quot;#,##0\)"/>
      </ndxf>
    </rcc>
    <rcc rId="0" sId="7" s="1" dxf="1">
      <nc r="G1">
        <f>F1-C1</f>
      </nc>
      <ndxf>
        <font>
          <sz val="10"/>
          <color auto="1"/>
          <name val="Arial"/>
          <scheme val="none"/>
        </font>
        <numFmt numFmtId="10" formatCode="&quot;$&quot;#,##0_);[Red]\(&quot;$&quot;#,##0\)"/>
      </ndxf>
    </rcc>
    <rcc rId="0" sId="7" dxf="1">
      <nc r="H1">
        <f>G1/C1</f>
      </nc>
      <ndxf>
        <font>
          <sz val="10"/>
          <color auto="1"/>
          <name val="Arial"/>
          <scheme val="none"/>
        </font>
        <numFmt numFmtId="13" formatCode="0%"/>
      </ndxf>
    </rcc>
    <rcc rId="0" sId="7" dxf="1" numFmtId="4">
      <nc r="I1">
        <v>1100</v>
      </nc>
      <ndxf>
        <numFmt numFmtId="3" formatCode="#,##0"/>
      </ndxf>
    </rcc>
    <rcc rId="0" sId="7" dxf="1">
      <nc r="J1">
        <f>+I1/B1-1</f>
      </nc>
      <ndxf>
        <numFmt numFmtId="164" formatCode="0.0%"/>
      </ndxf>
    </rcc>
    <rcc rId="0" sId="7" dxf="1">
      <nc r="K1" t="inlineStr">
        <is>
          <t>*</t>
        </is>
      </nc>
      <ndxf>
        <numFmt numFmtId="164" formatCode="0.0%"/>
      </ndxf>
    </rcc>
    <rcc rId="0" sId="7" dxf="1">
      <nc r="L1">
        <f>I1/C1-1</f>
      </nc>
      <ndxf>
        <numFmt numFmtId="164" formatCode="0.0%"/>
      </ndxf>
    </rcc>
    <rcc rId="0" sId="7">
      <nc r="M1">
        <v>1100</v>
      </nc>
    </rcc>
    <rcc rId="0" sId="7">
      <nc r="N1">
        <v>840</v>
      </nc>
    </rcc>
    <rcc rId="0" sId="7" dxf="1">
      <nc r="O1">
        <f>N1/M1-1</f>
      </nc>
      <ndxf>
        <numFmt numFmtId="14" formatCode="0.00%"/>
      </ndxf>
    </rcc>
  </rrc>
  <rrc rId="37290" sId="7" ref="A1:XFD1" action="deleteRow">
    <undo index="0" exp="ref" ref3D="1" v="1" dr="C1" r="C27" sId="8"/>
    <undo index="0" exp="ref" ref3D="1" v="1" dr="B1" r="B27" sId="8"/>
    <undo index="0" exp="area" dr="N1:N9" r="N10" sId="7"/>
    <undo index="0" exp="area" dr="M1:M9" r="M10" sId="7"/>
    <undo index="0" exp="area" dr="F1:F9" r="F10" sId="7"/>
    <undo index="0" exp="area" dr="C1:C9" r="C10" sId="7"/>
    <undo index="0" exp="area" dr="B1:B9" r="B10" sId="7"/>
    <rfmt sheetId="7" xfDxf="1" sqref="A1:XFD1" start="0" length="0"/>
    <rcc rId="0" sId="7" dxf="1">
      <nc r="A1" t="inlineStr">
        <is>
          <t>Board of Elections and Ethics (DL)</t>
        </is>
      </nc>
      <ndxf>
        <font>
          <sz val="10"/>
          <color auto="1"/>
          <name val="Arial"/>
          <scheme val="none"/>
        </font>
      </ndxf>
    </rcc>
    <rcc rId="0" sId="7" dxf="1" numFmtId="11">
      <nc r="B1">
        <v>7491</v>
      </nc>
      <ndxf>
        <font>
          <sz val="10"/>
          <color auto="1"/>
          <name val="Arial"/>
          <scheme val="none"/>
        </font>
        <numFmt numFmtId="10" formatCode="&quot;$&quot;#,##0_);[Red]\(&quot;$&quot;#,##0\)"/>
      </ndxf>
    </rcc>
    <rcc rId="0" sId="7" dxf="1" numFmtId="11">
      <nc r="C1">
        <v>5334</v>
      </nc>
      <ndxf>
        <font>
          <sz val="10"/>
          <color auto="1"/>
          <name val="Arial"/>
          <scheme val="none"/>
        </font>
        <numFmt numFmtId="10" formatCode="&quot;$&quot;#,##0_);[Red]\(&quot;$&quot;#,##0\)"/>
      </ndxf>
    </rcc>
    <rcc rId="0" sId="7" dxf="1">
      <nc r="D1">
        <f>C1-B1</f>
      </nc>
      <ndxf>
        <font>
          <sz val="10"/>
          <color auto="1"/>
          <name val="Arial"/>
          <scheme val="none"/>
        </font>
        <numFmt numFmtId="10" formatCode="&quot;$&quot;#,##0_);[Red]\(&quot;$&quot;#,##0\)"/>
      </ndxf>
    </rcc>
    <rcc rId="0" sId="7" s="1" dxf="1">
      <nc r="E1">
        <f>D1/B1</f>
      </nc>
      <ndxf>
        <font>
          <sz val="10"/>
          <color auto="1"/>
          <name val="Arial"/>
          <scheme val="none"/>
        </font>
        <numFmt numFmtId="13" formatCode="0%"/>
      </ndxf>
    </rcc>
    <rcc rId="0" sId="7" dxf="1" numFmtId="11">
      <nc r="F1">
        <v>5495</v>
      </nc>
      <ndxf>
        <font>
          <sz val="10"/>
          <color auto="1"/>
          <name val="Arial"/>
          <scheme val="none"/>
        </font>
        <numFmt numFmtId="10" formatCode="&quot;$&quot;#,##0_);[Red]\(&quot;$&quot;#,##0\)"/>
      </ndxf>
    </rcc>
    <rcc rId="0" sId="7" s="1" dxf="1">
      <nc r="G1">
        <f>F1-C1</f>
      </nc>
      <ndxf>
        <font>
          <sz val="10"/>
          <color auto="1"/>
          <name val="Arial"/>
          <scheme val="none"/>
        </font>
        <numFmt numFmtId="10" formatCode="&quot;$&quot;#,##0_);[Red]\(&quot;$&quot;#,##0\)"/>
      </ndxf>
    </rcc>
    <rcc rId="0" sId="7" dxf="1">
      <nc r="H1">
        <f>G1/C1</f>
      </nc>
      <ndxf>
        <font>
          <sz val="10"/>
          <color auto="1"/>
          <name val="Arial"/>
          <scheme val="none"/>
        </font>
        <numFmt numFmtId="13" formatCode="0%"/>
      </ndxf>
    </rcc>
    <rcc rId="0" sId="7" dxf="1" numFmtId="4">
      <nc r="I1">
        <v>5512</v>
      </nc>
      <ndxf>
        <numFmt numFmtId="3" formatCode="#,##0"/>
      </ndxf>
    </rcc>
    <rcc rId="0" sId="7" dxf="1">
      <nc r="J1">
        <f>+I1/B1-1</f>
      </nc>
      <ndxf>
        <numFmt numFmtId="164" formatCode="0.0%"/>
      </ndxf>
    </rcc>
    <rcc rId="0" sId="7" dxf="1">
      <nc r="K1" t="inlineStr">
        <is>
          <t>***</t>
        </is>
      </nc>
      <ndxf>
        <numFmt numFmtId="164" formatCode="0.0%"/>
      </ndxf>
    </rcc>
    <rcc rId="0" sId="7" dxf="1">
      <nc r="L1">
        <f>I1/C1-1</f>
      </nc>
      <ndxf>
        <numFmt numFmtId="164" formatCode="0.0%"/>
      </ndxf>
    </rcc>
    <rcc rId="0" sId="7">
      <nc r="M1">
        <v>5382</v>
      </nc>
    </rcc>
    <rcc rId="0" sId="7">
      <nc r="N1">
        <v>4118</v>
      </nc>
    </rcc>
    <rcc rId="0" sId="7" dxf="1">
      <nc r="O1">
        <f>N1/M1-1</f>
      </nc>
      <ndxf>
        <numFmt numFmtId="14" formatCode="0.00%"/>
      </ndxf>
    </rcc>
  </rrc>
  <rrc rId="37291" sId="7" ref="A1:XFD1" action="deleteRow">
    <undo index="0" exp="ref" ref3D="1" v="1" dr="C1" r="C28" sId="8"/>
    <undo index="0" exp="ref" ref3D="1" v="1" dr="B1" r="B28" sId="8"/>
    <undo index="0" exp="area" dr="N1:N8" r="N9" sId="7"/>
    <undo index="0" exp="area" dr="M1:M8" r="M9" sId="7"/>
    <undo index="0" exp="area" dr="F1:F8" r="F9" sId="7"/>
    <undo index="0" exp="area" dr="C1:C8" r="C9" sId="7"/>
    <undo index="0" exp="area" dr="B1:B8" r="B9" sId="7"/>
    <rfmt sheetId="7" xfDxf="1" sqref="A1:XFD1" start="0" length="0"/>
    <rcc rId="0" sId="7" dxf="1">
      <nc r="A1" t="inlineStr">
        <is>
          <t>Office of Campaign Finance (CJ)</t>
        </is>
      </nc>
      <ndxf>
        <font>
          <sz val="10"/>
          <color auto="1"/>
          <name val="Arial"/>
          <scheme val="none"/>
        </font>
      </ndxf>
    </rcc>
    <rcc rId="0" sId="7" dxf="1" numFmtId="11">
      <nc r="B1">
        <v>1589</v>
      </nc>
      <ndxf>
        <font>
          <sz val="10"/>
          <color auto="1"/>
          <name val="Arial"/>
          <scheme val="none"/>
        </font>
        <numFmt numFmtId="10" formatCode="&quot;$&quot;#,##0_);[Red]\(&quot;$&quot;#,##0\)"/>
      </ndxf>
    </rcc>
    <rcc rId="0" sId="7" dxf="1" numFmtId="11">
      <nc r="C1">
        <v>1721</v>
      </nc>
      <ndxf>
        <font>
          <sz val="10"/>
          <color auto="1"/>
          <name val="Arial"/>
          <scheme val="none"/>
        </font>
        <numFmt numFmtId="10" formatCode="&quot;$&quot;#,##0_);[Red]\(&quot;$&quot;#,##0\)"/>
      </ndxf>
    </rcc>
    <rcc rId="0" sId="7" dxf="1">
      <nc r="D1">
        <f>C1-B1</f>
      </nc>
      <ndxf>
        <font>
          <sz val="10"/>
          <color auto="1"/>
          <name val="Arial"/>
          <scheme val="none"/>
        </font>
        <numFmt numFmtId="10" formatCode="&quot;$&quot;#,##0_);[Red]\(&quot;$&quot;#,##0\)"/>
      </ndxf>
    </rcc>
    <rcc rId="0" sId="7" s="1" dxf="1">
      <nc r="E1">
        <f>D1/B1</f>
      </nc>
      <ndxf>
        <font>
          <sz val="10"/>
          <color auto="1"/>
          <name val="Arial"/>
          <scheme val="none"/>
        </font>
        <numFmt numFmtId="13" formatCode="0%"/>
      </ndxf>
    </rcc>
    <rcc rId="0" sId="7" dxf="1" numFmtId="11">
      <nc r="F1">
        <v>1707</v>
      </nc>
      <ndxf>
        <font>
          <sz val="10"/>
          <color auto="1"/>
          <name val="Arial"/>
          <scheme val="none"/>
        </font>
        <numFmt numFmtId="10" formatCode="&quot;$&quot;#,##0_);[Red]\(&quot;$&quot;#,##0\)"/>
      </ndxf>
    </rcc>
    <rcc rId="0" sId="7" s="1" dxf="1">
      <nc r="G1">
        <f>F1-C1</f>
      </nc>
      <ndxf>
        <font>
          <sz val="10"/>
          <color auto="1"/>
          <name val="Arial"/>
          <scheme val="none"/>
        </font>
        <numFmt numFmtId="10" formatCode="&quot;$&quot;#,##0_);[Red]\(&quot;$&quot;#,##0\)"/>
      </ndxf>
    </rcc>
    <rcc rId="0" sId="7" dxf="1">
      <nc r="H1">
        <f>G1/C1</f>
      </nc>
      <ndxf>
        <font>
          <sz val="10"/>
          <color auto="1"/>
          <name val="Arial"/>
          <scheme val="none"/>
        </font>
        <numFmt numFmtId="13" formatCode="0%"/>
      </ndxf>
    </rcc>
    <rcc rId="0" sId="7" dxf="1" numFmtId="4">
      <nc r="I1">
        <v>1690</v>
      </nc>
      <ndxf>
        <numFmt numFmtId="3" formatCode="#,##0"/>
      </ndxf>
    </rcc>
    <rcc rId="0" sId="7" dxf="1">
      <nc r="J1">
        <f>+I1/B1-1</f>
      </nc>
      <ndxf>
        <numFmt numFmtId="164" formatCode="0.0%"/>
      </ndxf>
    </rcc>
    <rcc rId="0" sId="7" dxf="1">
      <nc r="K1" t="inlineStr">
        <is>
          <t>**</t>
        </is>
      </nc>
      <ndxf>
        <numFmt numFmtId="164" formatCode="0.0%"/>
      </ndxf>
    </rcc>
    <rcc rId="0" sId="7" dxf="1">
      <nc r="L1">
        <f>I1/C1-1</f>
      </nc>
      <ndxf>
        <numFmt numFmtId="164" formatCode="0.0%"/>
      </ndxf>
    </rcc>
    <rcc rId="0" sId="7">
      <nc r="M1">
        <v>1690</v>
      </nc>
    </rcc>
    <rcc rId="0" sId="7">
      <nc r="N1">
        <v>1395</v>
      </nc>
    </rcc>
    <rcc rId="0" sId="7" dxf="1">
      <nc r="O1">
        <f>N1/M1-1</f>
      </nc>
      <ndxf>
        <numFmt numFmtId="14" formatCode="0.00%"/>
      </ndxf>
    </rcc>
  </rrc>
  <rrc rId="37292" sId="7" ref="A1:XFD1" action="deleteRow">
    <undo index="0" exp="ref" ref3D="1" v="1" dr="C1" r="C29" sId="8"/>
    <undo index="0" exp="ref" ref3D="1" v="1" dr="B1" r="B29" sId="8"/>
    <undo index="0" exp="area" dr="N1:N7" r="N8" sId="7"/>
    <undo index="0" exp="area" dr="M1:M7" r="M8" sId="7"/>
    <undo index="0" exp="area" dr="F1:F7" r="F8" sId="7"/>
    <undo index="0" exp="area" dr="C1:C7" r="C8" sId="7"/>
    <undo index="0" exp="area" dr="B1:B7" r="B8" sId="7"/>
    <rfmt sheetId="7" xfDxf="1" sqref="A1:XFD1" start="0" length="0"/>
    <rcc rId="0" sId="7" dxf="1">
      <nc r="A1" t="inlineStr">
        <is>
          <t>Public Employee Relations Board (CG)</t>
        </is>
      </nc>
      <ndxf>
        <font>
          <sz val="10"/>
          <color auto="1"/>
          <name val="Arial"/>
          <scheme val="none"/>
        </font>
      </ndxf>
    </rcc>
    <rcc rId="0" sId="7" dxf="1" numFmtId="11">
      <nc r="B1">
        <v>922</v>
      </nc>
      <ndxf>
        <font>
          <sz val="10"/>
          <color auto="1"/>
          <name val="Arial"/>
          <scheme val="none"/>
        </font>
        <numFmt numFmtId="10" formatCode="&quot;$&quot;#,##0_);[Red]\(&quot;$&quot;#,##0\)"/>
      </ndxf>
    </rcc>
    <rcc rId="0" sId="7" dxf="1" numFmtId="11">
      <nc r="C1">
        <v>980</v>
      </nc>
      <ndxf>
        <font>
          <sz val="10"/>
          <color auto="1"/>
          <name val="Arial"/>
          <scheme val="none"/>
        </font>
        <numFmt numFmtId="10" formatCode="&quot;$&quot;#,##0_);[Red]\(&quot;$&quot;#,##0\)"/>
      </ndxf>
    </rcc>
    <rcc rId="0" sId="7" dxf="1">
      <nc r="D1">
        <f>C1-B1</f>
      </nc>
      <ndxf>
        <font>
          <sz val="10"/>
          <color auto="1"/>
          <name val="Arial"/>
          <scheme val="none"/>
        </font>
        <numFmt numFmtId="10" formatCode="&quot;$&quot;#,##0_);[Red]\(&quot;$&quot;#,##0\)"/>
      </ndxf>
    </rcc>
    <rcc rId="0" sId="7" s="1" dxf="1">
      <nc r="E1">
        <f>D1/B1</f>
      </nc>
      <ndxf>
        <font>
          <sz val="10"/>
          <color auto="1"/>
          <name val="Arial"/>
          <scheme val="none"/>
        </font>
        <numFmt numFmtId="13" formatCode="0%"/>
      </ndxf>
    </rcc>
    <rcc rId="0" sId="7" dxf="1" numFmtId="11">
      <nc r="F1">
        <v>929</v>
      </nc>
      <ndxf>
        <font>
          <sz val="10"/>
          <color auto="1"/>
          <name val="Arial"/>
          <scheme val="none"/>
        </font>
        <numFmt numFmtId="10" formatCode="&quot;$&quot;#,##0_);[Red]\(&quot;$&quot;#,##0\)"/>
      </ndxf>
    </rcc>
    <rcc rId="0" sId="7" s="1" dxf="1">
      <nc r="G1">
        <f>F1-C1</f>
      </nc>
      <ndxf>
        <font>
          <sz val="10"/>
          <color auto="1"/>
          <name val="Arial"/>
          <scheme val="none"/>
        </font>
        <numFmt numFmtId="10" formatCode="&quot;$&quot;#,##0_);[Red]\(&quot;$&quot;#,##0\)"/>
      </ndxf>
    </rcc>
    <rcc rId="0" sId="7" dxf="1">
      <nc r="H1">
        <f>G1/C1</f>
      </nc>
      <ndxf>
        <font>
          <sz val="10"/>
          <color auto="1"/>
          <name val="Arial"/>
          <scheme val="none"/>
        </font>
        <numFmt numFmtId="13" formatCode="0%"/>
      </ndxf>
    </rcc>
    <rcc rId="0" sId="7" dxf="1" numFmtId="4">
      <nc r="I1">
        <v>1034</v>
      </nc>
      <ndxf>
        <numFmt numFmtId="3" formatCode="#,##0"/>
      </ndxf>
    </rcc>
    <rcc rId="0" sId="7" dxf="1">
      <nc r="J1">
        <f>+I1/B1-1</f>
      </nc>
      <ndxf>
        <numFmt numFmtId="164" formatCode="0.0%"/>
      </ndxf>
    </rcc>
    <rcc rId="0" sId="7" dxf="1">
      <nc r="K1" t="inlineStr">
        <is>
          <t>**</t>
        </is>
      </nc>
      <ndxf>
        <numFmt numFmtId="164" formatCode="0.0%"/>
      </ndxf>
    </rcc>
    <rcc rId="0" sId="7" dxf="1">
      <nc r="L1">
        <f>I1/C1-1</f>
      </nc>
      <ndxf>
        <numFmt numFmtId="164" formatCode="0.0%"/>
      </ndxf>
    </rcc>
    <rcc rId="0" sId="7">
      <nc r="M1">
        <v>1004</v>
      </nc>
    </rcc>
    <rcc rId="0" sId="7">
      <nc r="N1">
        <v>0</v>
      </nc>
    </rcc>
    <rcc rId="0" sId="7" dxf="1">
      <nc r="O1">
        <f>N1/M1-1</f>
      </nc>
      <ndxf>
        <numFmt numFmtId="14" formatCode="0.00%"/>
      </ndxf>
    </rcc>
  </rrc>
  <rrc rId="37293" sId="7" ref="A1:XFD1" action="deleteRow">
    <undo index="0" exp="ref" ref3D="1" v="1" dr="C1" r="C30" sId="8"/>
    <undo index="0" exp="ref" ref3D="1" v="1" dr="B1" r="B30" sId="8"/>
    <undo index="0" exp="area" dr="N1:N6" r="N7" sId="7"/>
    <undo index="0" exp="area" dr="M1:M6" r="M7" sId="7"/>
    <undo index="0" exp="area" dr="F1:F6" r="F7" sId="7"/>
    <undo index="0" exp="area" dr="C1:C6" r="C7" sId="7"/>
    <undo index="0" exp="area" dr="B1:B6" r="B7" sId="7"/>
    <rfmt sheetId="7" xfDxf="1" sqref="A1:XFD1" start="0" length="0"/>
    <rcc rId="0" sId="7" dxf="1">
      <nc r="A1" t="inlineStr">
        <is>
          <t>Office of Employee Appeals (CH)</t>
        </is>
      </nc>
      <ndxf>
        <font>
          <sz val="10"/>
          <color auto="1"/>
          <name val="Arial"/>
          <scheme val="none"/>
        </font>
      </ndxf>
    </rcc>
    <rcc rId="0" sId="7" dxf="1" numFmtId="11">
      <nc r="B1">
        <v>1775</v>
      </nc>
      <ndxf>
        <font>
          <sz val="10"/>
          <color auto="1"/>
          <name val="Arial"/>
          <scheme val="none"/>
        </font>
        <numFmt numFmtId="10" formatCode="&quot;$&quot;#,##0_);[Red]\(&quot;$&quot;#,##0\)"/>
      </ndxf>
    </rcc>
    <rcc rId="0" sId="7" dxf="1" numFmtId="11">
      <nc r="C1">
        <v>1778</v>
      </nc>
      <ndxf>
        <font>
          <sz val="10"/>
          <color auto="1"/>
          <name val="Arial"/>
          <scheme val="none"/>
        </font>
        <numFmt numFmtId="10" formatCode="&quot;$&quot;#,##0_);[Red]\(&quot;$&quot;#,##0\)"/>
      </ndxf>
    </rcc>
    <rcc rId="0" sId="7" dxf="1">
      <nc r="D1">
        <f>C1-B1</f>
      </nc>
      <ndxf>
        <font>
          <sz val="10"/>
          <color auto="1"/>
          <name val="Arial"/>
          <scheme val="none"/>
        </font>
        <numFmt numFmtId="10" formatCode="&quot;$&quot;#,##0_);[Red]\(&quot;$&quot;#,##0\)"/>
      </ndxf>
    </rcc>
    <rcc rId="0" sId="7" s="1" dxf="1">
      <nc r="E1">
        <f>D1/B1</f>
      </nc>
      <ndxf>
        <font>
          <sz val="10"/>
          <color auto="1"/>
          <name val="Arial"/>
          <scheme val="none"/>
        </font>
        <numFmt numFmtId="13" formatCode="0%"/>
      </ndxf>
    </rcc>
    <rcc rId="0" sId="7" dxf="1" numFmtId="11">
      <nc r="F1">
        <v>1848</v>
      </nc>
      <ndxf>
        <font>
          <sz val="10"/>
          <color auto="1"/>
          <name val="Arial"/>
          <scheme val="none"/>
        </font>
        <numFmt numFmtId="10" formatCode="&quot;$&quot;#,##0_);[Red]\(&quot;$&quot;#,##0\)"/>
      </ndxf>
    </rcc>
    <rcc rId="0" sId="7" s="1" dxf="1">
      <nc r="G1">
        <f>F1-C1</f>
      </nc>
      <ndxf>
        <font>
          <sz val="10"/>
          <color auto="1"/>
          <name val="Arial"/>
          <scheme val="none"/>
        </font>
        <numFmt numFmtId="10" formatCode="&quot;$&quot;#,##0_);[Red]\(&quot;$&quot;#,##0\)"/>
      </ndxf>
    </rcc>
    <rcc rId="0" sId="7" dxf="1">
      <nc r="H1">
        <f>G1/C1</f>
      </nc>
      <ndxf>
        <font>
          <sz val="10"/>
          <color auto="1"/>
          <name val="Arial"/>
          <scheme val="none"/>
        </font>
        <numFmt numFmtId="13" formatCode="0%"/>
      </ndxf>
    </rcc>
    <rcc rId="0" sId="7" dxf="1" numFmtId="4">
      <nc r="I1">
        <v>1918</v>
      </nc>
      <ndxf>
        <numFmt numFmtId="3" formatCode="#,##0"/>
      </ndxf>
    </rcc>
    <rcc rId="0" sId="7" dxf="1">
      <nc r="J1">
        <f>+I1/B1-1</f>
      </nc>
      <ndxf>
        <numFmt numFmtId="164" formatCode="0.0%"/>
      </ndxf>
    </rcc>
    <rcc rId="0" sId="7" dxf="1">
      <nc r="K1" t="inlineStr">
        <is>
          <t>*</t>
        </is>
      </nc>
      <ndxf>
        <numFmt numFmtId="164" formatCode="0.0%"/>
      </ndxf>
    </rcc>
    <rcc rId="0" sId="7" dxf="1">
      <nc r="L1">
        <f>I1/C1-1</f>
      </nc>
      <ndxf>
        <numFmt numFmtId="164" formatCode="0.0%"/>
      </ndxf>
    </rcc>
    <rcc rId="0" sId="7">
      <nc r="M1">
        <v>1798</v>
      </nc>
    </rcc>
    <rcc rId="0" sId="7">
      <nc r="N1">
        <v>0</v>
      </nc>
    </rcc>
    <rcc rId="0" sId="7" dxf="1">
      <nc r="O1">
        <f>N1/M1-1</f>
      </nc>
      <ndxf>
        <numFmt numFmtId="14" formatCode="0.00%"/>
      </ndxf>
    </rcc>
  </rrc>
  <rrc rId="37294" sId="7" ref="A1:XFD1" action="deleteRow">
    <undo index="0" exp="ref" ref3D="1" v="1" dr="C1" r="C31" sId="8"/>
    <undo index="0" exp="ref" ref3D="1" v="1" dr="B1" r="B31" sId="8"/>
    <undo index="0" exp="area" dr="N1:N5" r="N6" sId="7"/>
    <undo index="0" exp="area" dr="M1:M5" r="M6" sId="7"/>
    <undo index="0" exp="area" dr="F1:F5" r="F6" sId="7"/>
    <undo index="0" exp="area" dr="C1:C5" r="C6" sId="7"/>
    <undo index="0" exp="area" dr="B1:B5" r="B6" sId="7"/>
    <rfmt sheetId="7" xfDxf="1" sqref="A1:XFD1" start="0" length="0"/>
    <rcc rId="0" sId="7" dxf="1">
      <nc r="A1" t="inlineStr">
        <is>
          <t>Metropolitan Washington Council of Governments (EA)</t>
        </is>
      </nc>
      <ndxf>
        <font>
          <sz val="10"/>
          <color auto="1"/>
          <name val="Arial"/>
          <scheme val="none"/>
        </font>
      </ndxf>
    </rcc>
    <rcc rId="0" sId="7" dxf="1" numFmtId="11">
      <nc r="B1">
        <v>381</v>
      </nc>
      <ndxf>
        <font>
          <sz val="10"/>
          <color auto="1"/>
          <name val="Arial"/>
          <scheme val="none"/>
        </font>
        <numFmt numFmtId="10" formatCode="&quot;$&quot;#,##0_);[Red]\(&quot;$&quot;#,##0\)"/>
      </ndxf>
    </rcc>
    <rcc rId="0" sId="7" dxf="1" numFmtId="11">
      <nc r="C1">
        <v>396</v>
      </nc>
      <ndxf>
        <font>
          <sz val="10"/>
          <color auto="1"/>
          <name val="Arial"/>
          <scheme val="none"/>
        </font>
        <numFmt numFmtId="10" formatCode="&quot;$&quot;#,##0_);[Red]\(&quot;$&quot;#,##0\)"/>
      </ndxf>
    </rcc>
    <rcc rId="0" sId="7" dxf="1">
      <nc r="D1">
        <f>C1-B1</f>
      </nc>
      <ndxf>
        <font>
          <sz val="10"/>
          <color auto="1"/>
          <name val="Arial"/>
          <scheme val="none"/>
        </font>
        <numFmt numFmtId="10" formatCode="&quot;$&quot;#,##0_);[Red]\(&quot;$&quot;#,##0\)"/>
      </ndxf>
    </rcc>
    <rcc rId="0" sId="7" s="1" dxf="1">
      <nc r="E1">
        <f>D1/B1</f>
      </nc>
      <ndxf>
        <font>
          <sz val="10"/>
          <color auto="1"/>
          <name val="Arial"/>
          <scheme val="none"/>
        </font>
        <numFmt numFmtId="13" formatCode="0%"/>
      </ndxf>
    </rcc>
    <rcc rId="0" sId="7" dxf="1" numFmtId="11">
      <nc r="F1">
        <v>396</v>
      </nc>
      <ndxf>
        <font>
          <sz val="10"/>
          <color auto="1"/>
          <name val="Arial"/>
          <scheme val="none"/>
        </font>
        <numFmt numFmtId="10" formatCode="&quot;$&quot;#,##0_);[Red]\(&quot;$&quot;#,##0\)"/>
      </ndxf>
    </rcc>
    <rcc rId="0" sId="7" s="1" dxf="1">
      <nc r="G1">
        <f>F1-C1</f>
      </nc>
      <ndxf>
        <font>
          <sz val="10"/>
          <color auto="1"/>
          <name val="Arial"/>
          <scheme val="none"/>
        </font>
        <numFmt numFmtId="10" formatCode="&quot;$&quot;#,##0_);[Red]\(&quot;$&quot;#,##0\)"/>
      </ndxf>
    </rcc>
    <rcc rId="0" sId="7" dxf="1">
      <nc r="H1">
        <f>G1/C1</f>
      </nc>
      <ndxf>
        <font>
          <sz val="10"/>
          <color auto="1"/>
          <name val="Arial"/>
          <scheme val="none"/>
        </font>
        <numFmt numFmtId="13" formatCode="0%"/>
      </ndxf>
    </rcc>
    <rcc rId="0" sId="7" dxf="1" numFmtId="4">
      <nc r="I1">
        <v>396</v>
      </nc>
      <ndxf>
        <numFmt numFmtId="3" formatCode="#,##0"/>
      </ndxf>
    </rcc>
    <rcc rId="0" sId="7" dxf="1">
      <nc r="J1">
        <f>+I1/B1-1</f>
      </nc>
      <ndxf>
        <numFmt numFmtId="164" formatCode="0.0%"/>
      </ndxf>
    </rcc>
    <rcc rId="0" sId="7" dxf="1">
      <nc r="K1" t="inlineStr">
        <is>
          <t>*</t>
        </is>
      </nc>
      <ndxf>
        <numFmt numFmtId="164" formatCode="0.0%"/>
      </ndxf>
    </rcc>
    <rcc rId="0" sId="7" dxf="1">
      <nc r="L1">
        <f>I1/C1-1</f>
      </nc>
      <ndxf>
        <numFmt numFmtId="164" formatCode="0.0%"/>
      </ndxf>
    </rcc>
    <rcc rId="0" sId="7">
      <nc r="M1">
        <v>396</v>
      </nc>
    </rcc>
    <rcc rId="0" sId="7">
      <nc r="N1">
        <v>396</v>
      </nc>
    </rcc>
    <rcc rId="0" sId="7" dxf="1">
      <nc r="O1">
        <f>N1/M1-1</f>
      </nc>
      <ndxf>
        <numFmt numFmtId="14" formatCode="0.00%"/>
      </ndxf>
    </rcc>
  </rrc>
  <rrc rId="37295" sId="7" ref="A1:XFD1" action="deleteRow">
    <undo index="0" exp="area" dr="N1:N4" r="N5" sId="7"/>
    <undo index="0" exp="area" dr="M1:M4" r="M5" sId="7"/>
    <undo index="0" exp="area" dr="F1:F4" r="F5" sId="7"/>
    <undo index="0" exp="area" dr="C1:C4" r="C5" sId="7"/>
    <undo index="0" exp="area" dr="B1:B4" r="B5" sId="7"/>
    <rfmt sheetId="7" xfDxf="1" sqref="A1:XFD1" start="0" length="0"/>
    <rcc rId="0" sId="7" dxf="1">
      <nc r="A1" t="inlineStr">
        <is>
          <t>Municipal Facilities: Non-Capital (ZXO)</t>
        </is>
      </nc>
      <ndxf>
        <alignment horizontal="left" vertical="top" readingOrder="0"/>
      </ndxf>
    </rcc>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1" sqref="E1" start="0" length="0">
      <dxf>
        <font>
          <sz val="10"/>
          <color auto="1"/>
          <name val="Arial"/>
          <scheme val="none"/>
        </font>
        <numFmt numFmtId="13" formatCode="0%"/>
      </dxf>
    </rfmt>
    <rfmt sheetId="7" sqref="F1" start="0" length="0">
      <dxf>
        <font>
          <sz val="10"/>
          <color auto="1"/>
          <name val="Arial"/>
          <scheme val="none"/>
        </font>
        <numFmt numFmtId="10" formatCode="&quot;$&quot;#,##0_);[Red]\(&quot;$&quot;#,##0\)"/>
      </dxf>
    </rfmt>
    <rfmt sheetId="7" s="1"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fmt sheetId="7" sqref="I1" start="0" length="0">
      <dxf>
        <numFmt numFmtId="3" formatCode="#,##0"/>
      </dxf>
    </rfmt>
    <rfmt sheetId="7" sqref="J1" start="0" length="0">
      <dxf>
        <numFmt numFmtId="164" formatCode="0.0%"/>
      </dxf>
    </rfmt>
    <rfmt sheetId="7" sqref="K1" start="0" length="0">
      <dxf>
        <numFmt numFmtId="164" formatCode="0.0%"/>
      </dxf>
    </rfmt>
    <rfmt sheetId="7" sqref="L1" start="0" length="0">
      <dxf>
        <numFmt numFmtId="164" formatCode="0.0%"/>
      </dxf>
    </rfmt>
    <rcc rId="0" sId="7">
      <nc r="M1">
        <v>0</v>
      </nc>
    </rcc>
    <rcc rId="0" sId="7">
      <nc r="N1">
        <v>264235</v>
      </nc>
    </rcc>
    <rcc rId="0" sId="7" dxf="1">
      <nc r="O1">
        <f>N1/M1-1</f>
      </nc>
      <ndxf>
        <numFmt numFmtId="14" formatCode="0.00%"/>
      </ndxf>
    </rcc>
  </rrc>
  <rrc rId="37296" sId="7" ref="A1:XFD1" action="deleteRow">
    <undo index="0" exp="ref" ref3D="1" v="1" dr="C1" r="C32" sId="8"/>
    <undo index="0" exp="ref" ref3D="1" v="1" dr="B1" r="B32" sId="8"/>
    <undo index="0" exp="area" dr="N1:N3" r="N4" sId="7"/>
    <undo index="0" exp="area" dr="M1:M3" r="M4" sId="7"/>
    <undo index="0" exp="area" dr="F1:F3" r="F4" sId="7"/>
    <undo index="0" exp="area" dr="C1:C3" r="C4" sId="7"/>
    <undo index="0" exp="area" dr="B1:B3" r="B4" sId="7"/>
    <rfmt sheetId="7" xfDxf="1" sqref="A1:XFD1" start="0" length="0"/>
    <rcc rId="0" sId="7" dxf="1">
      <nc r="A1" t="inlineStr">
        <is>
          <t>Office of the Attorney General of the District of Columbia (CB)</t>
        </is>
      </nc>
      <ndxf>
        <font>
          <sz val="10"/>
          <color auto="1"/>
          <name val="Arial"/>
          <scheme val="none"/>
        </font>
      </ndxf>
    </rcc>
    <rcc rId="0" sId="7" dxf="1" numFmtId="11">
      <nc r="B1">
        <v>82706</v>
      </nc>
      <ndxf>
        <font>
          <sz val="10"/>
          <color auto="1"/>
          <name val="Arial"/>
          <scheme val="none"/>
        </font>
        <numFmt numFmtId="10" formatCode="&quot;$&quot;#,##0_);[Red]\(&quot;$&quot;#,##0\)"/>
      </ndxf>
    </rcc>
    <rcc rId="0" sId="7" dxf="1" numFmtId="11">
      <nc r="C1">
        <v>87493</v>
      </nc>
      <ndxf>
        <font>
          <sz val="10"/>
          <color auto="1"/>
          <name val="Arial"/>
          <scheme val="none"/>
        </font>
        <numFmt numFmtId="10" formatCode="&quot;$&quot;#,##0_);[Red]\(&quot;$&quot;#,##0\)"/>
      </ndxf>
    </rcc>
    <rcc rId="0" sId="7" dxf="1">
      <nc r="D1">
        <f>C1-B1</f>
      </nc>
      <ndxf>
        <font>
          <sz val="10"/>
          <color auto="1"/>
          <name val="Arial"/>
          <scheme val="none"/>
        </font>
        <numFmt numFmtId="10" formatCode="&quot;$&quot;#,##0_);[Red]\(&quot;$&quot;#,##0\)"/>
      </ndxf>
    </rcc>
    <rcc rId="0" sId="7" s="1" dxf="1">
      <nc r="E1">
        <f>D1/B1</f>
      </nc>
      <ndxf>
        <font>
          <sz val="10"/>
          <color auto="1"/>
          <name val="Arial"/>
          <scheme val="none"/>
        </font>
        <numFmt numFmtId="13" formatCode="0%"/>
      </ndxf>
    </rcc>
    <rcc rId="0" sId="7" dxf="1" numFmtId="11">
      <nc r="F1">
        <v>87906</v>
      </nc>
      <ndxf>
        <font>
          <sz val="10"/>
          <color auto="1"/>
          <name val="Arial"/>
          <scheme val="none"/>
        </font>
        <numFmt numFmtId="10" formatCode="&quot;$&quot;#,##0_);[Red]\(&quot;$&quot;#,##0\)"/>
      </ndxf>
    </rcc>
    <rcc rId="0" sId="7" s="1" dxf="1">
      <nc r="G1">
        <f>F1-C1</f>
      </nc>
      <ndxf>
        <font>
          <sz val="10"/>
          <color auto="1"/>
          <name val="Arial"/>
          <scheme val="none"/>
        </font>
        <numFmt numFmtId="10" formatCode="&quot;$&quot;#,##0_);[Red]\(&quot;$&quot;#,##0\)"/>
      </ndxf>
    </rcc>
    <rcc rId="0" sId="7" dxf="1">
      <nc r="H1">
        <f>G1/C1</f>
      </nc>
      <ndxf>
        <font>
          <sz val="10"/>
          <color auto="1"/>
          <name val="Arial"/>
          <scheme val="none"/>
        </font>
        <numFmt numFmtId="13" formatCode="0%"/>
      </ndxf>
    </rcc>
    <rcc rId="0" sId="7" dxf="1" numFmtId="4">
      <nc r="I1">
        <v>104331</v>
      </nc>
      <ndxf>
        <numFmt numFmtId="3" formatCode="#,##0"/>
      </ndxf>
    </rcc>
    <rcc rId="0" sId="7" dxf="1">
      <nc r="J1">
        <f>+I1/B1-1</f>
      </nc>
      <ndxf>
        <numFmt numFmtId="164" formatCode="0.0%"/>
      </ndxf>
    </rcc>
    <rcc rId="0" sId="7" dxf="1">
      <nc r="K1" t="inlineStr">
        <is>
          <t>**</t>
        </is>
      </nc>
      <ndxf>
        <numFmt numFmtId="164" formatCode="0.0%"/>
      </ndxf>
    </rcc>
    <rcc rId="0" sId="7" dxf="1">
      <nc r="L1">
        <f>I1/C1-1</f>
      </nc>
      <ndxf>
        <numFmt numFmtId="164" formatCode="0.0%"/>
      </ndxf>
    </rcc>
    <rcc rId="0" sId="7">
      <nc r="M1">
        <v>103038</v>
      </nc>
    </rcc>
    <rcc rId="0" sId="7">
      <nc r="N1">
        <v>98492</v>
      </nc>
    </rcc>
    <rcc rId="0" sId="7" dxf="1">
      <nc r="O1">
        <f>N1/M1-1</f>
      </nc>
      <ndxf>
        <numFmt numFmtId="14" formatCode="0.00%"/>
      </ndxf>
    </rcc>
  </rrc>
  <rrc rId="37297" sId="7" ref="A1:XFD1" action="deleteRow">
    <undo index="0" exp="ref" ref3D="1" v="1" dr="C1" r="C33" sId="8"/>
    <undo index="0" exp="ref" ref3D="1" v="1" dr="B1" r="B33" sId="8"/>
    <undo index="0" exp="area" dr="N1:N2" r="N3" sId="7"/>
    <undo index="0" exp="area" dr="M1:M2" r="M3" sId="7"/>
    <undo index="0" exp="area" dr="F1:F2" r="F3" sId="7"/>
    <undo index="0" exp="area" dr="C1:C2" r="C3" sId="7"/>
    <undo index="0" exp="area" dr="B1:B2" r="B3" sId="7"/>
    <rfmt sheetId="7" xfDxf="1" sqref="A1:XFD1" start="0" length="0"/>
    <rcc rId="0" sId="7" dxf="1">
      <nc r="A1" t="inlineStr">
        <is>
          <t>Office of the Inspector General (AD)</t>
        </is>
      </nc>
      <ndxf>
        <font>
          <sz val="10"/>
          <color auto="1"/>
          <name val="Arial"/>
          <scheme val="none"/>
        </font>
      </ndxf>
    </rcc>
    <rcc rId="0" sId="7" dxf="1" numFmtId="11">
      <nc r="B1">
        <v>16569</v>
      </nc>
      <ndxf>
        <font>
          <sz val="10"/>
          <color auto="1"/>
          <name val="Arial"/>
          <scheme val="none"/>
        </font>
        <numFmt numFmtId="10" formatCode="&quot;$&quot;#,##0_);[Red]\(&quot;$&quot;#,##0\)"/>
      </ndxf>
    </rcc>
    <rcc rId="0" sId="7" dxf="1" numFmtId="11">
      <nc r="C1">
        <v>16853</v>
      </nc>
      <ndxf>
        <font>
          <sz val="10"/>
          <color auto="1"/>
          <name val="Arial"/>
          <scheme val="none"/>
        </font>
        <numFmt numFmtId="10" formatCode="&quot;$&quot;#,##0_);[Red]\(&quot;$&quot;#,##0\)"/>
      </ndxf>
    </rcc>
    <rcc rId="0" sId="7" dxf="1">
      <nc r="D1">
        <f>C1-B1</f>
      </nc>
      <ndxf>
        <font>
          <sz val="10"/>
          <color auto="1"/>
          <name val="Arial"/>
          <scheme val="none"/>
        </font>
        <numFmt numFmtId="10" formatCode="&quot;$&quot;#,##0_);[Red]\(&quot;$&quot;#,##0\)"/>
      </ndxf>
    </rcc>
    <rcc rId="0" sId="7" s="1" dxf="1">
      <nc r="E1">
        <f>D1/B1</f>
      </nc>
      <ndxf>
        <font>
          <sz val="10"/>
          <color auto="1"/>
          <name val="Arial"/>
          <scheme val="none"/>
        </font>
        <numFmt numFmtId="13" formatCode="0%"/>
      </ndxf>
    </rcc>
    <rcc rId="0" sId="7" dxf="1" numFmtId="11">
      <nc r="F1">
        <v>16941</v>
      </nc>
      <ndxf>
        <font>
          <sz val="10"/>
          <color auto="1"/>
          <name val="Arial"/>
          <scheme val="none"/>
        </font>
        <numFmt numFmtId="10" formatCode="&quot;$&quot;#,##0_);[Red]\(&quot;$&quot;#,##0\)"/>
      </ndxf>
    </rcc>
    <rcc rId="0" sId="7" s="1" dxf="1">
      <nc r="G1">
        <f>F1-C1</f>
      </nc>
      <ndxf>
        <font>
          <sz val="10"/>
          <color auto="1"/>
          <name val="Arial"/>
          <scheme val="none"/>
        </font>
        <numFmt numFmtId="10" formatCode="&quot;$&quot;#,##0_);[Red]\(&quot;$&quot;#,##0\)"/>
      </ndxf>
    </rcc>
    <rcc rId="0" sId="7" dxf="1">
      <nc r="H1">
        <f>G1/C1</f>
      </nc>
      <ndxf>
        <font>
          <sz val="10"/>
          <color auto="1"/>
          <name val="Arial"/>
          <scheme val="none"/>
        </font>
        <numFmt numFmtId="13" formatCode="0%"/>
      </ndxf>
    </rcc>
    <rcc rId="0" sId="7" dxf="1" numFmtId="4">
      <nc r="I1">
        <v>17541</v>
      </nc>
      <ndxf>
        <numFmt numFmtId="3" formatCode="#,##0"/>
      </ndxf>
    </rcc>
    <rcc rId="0" sId="7" dxf="1">
      <nc r="J1">
        <f>+I1/B1-1</f>
      </nc>
      <ndxf>
        <numFmt numFmtId="164" formatCode="0.0%"/>
      </ndxf>
    </rcc>
    <rcc rId="0" sId="7" dxf="1">
      <nc r="K1" t="inlineStr">
        <is>
          <t>*</t>
        </is>
      </nc>
      <ndxf>
        <numFmt numFmtId="164" formatCode="0.0%"/>
      </ndxf>
    </rcc>
    <rcc rId="0" sId="7" dxf="1">
      <nc r="L1">
        <f>I1/C1-1</f>
      </nc>
      <ndxf>
        <numFmt numFmtId="164" formatCode="0.0%"/>
      </ndxf>
    </rcc>
    <rcc rId="0" sId="7">
      <nc r="M1">
        <v>17541</v>
      </nc>
    </rcc>
    <rcc rId="0" sId="7">
      <nc r="N1">
        <v>15885</v>
      </nc>
    </rcc>
    <rcc rId="0" sId="7" dxf="1">
      <nc r="O1">
        <f>N1/M1-1</f>
      </nc>
      <ndxf>
        <numFmt numFmtId="14" formatCode="0.00%"/>
      </ndxf>
    </rcc>
  </rrc>
  <rrc rId="37298" sId="7" ref="A1:XFD1" action="deleteRow">
    <undo index="0" exp="ref" ref3D="1" v="1" dr="C1" r="C34" sId="8"/>
    <undo index="0" exp="ref" ref3D="1" v="1" dr="B1" r="B34" sId="8"/>
    <undo index="0" exp="area" dr="N1" r="N2" sId="7"/>
    <undo index="0" exp="area" dr="M1" r="M2" sId="7"/>
    <undo index="0" exp="area" dr="F1" r="F2" sId="7"/>
    <undo index="0" exp="area" dr="C1" r="C2" sId="7"/>
    <undo index="0" exp="area" dr="B1" r="B2" sId="7"/>
    <rfmt sheetId="7" xfDxf="1" sqref="A1:XFD1" start="0" length="0">
      <dxf>
        <border outline="0">
          <bottom style="medium">
            <color indexed="64"/>
          </bottom>
        </border>
      </dxf>
    </rfmt>
    <rcc rId="0" sId="7" dxf="1">
      <nc r="A1" t="inlineStr">
        <is>
          <t>Office of the Chief Financial Officer (AT)</t>
        </is>
      </nc>
      <ndxf>
        <font>
          <sz val="10"/>
          <color auto="1"/>
          <name val="Arial"/>
          <scheme val="none"/>
        </font>
      </ndxf>
    </rcc>
    <rcc rId="0" sId="7" dxf="1" numFmtId="11">
      <nc r="B1">
        <v>131724</v>
      </nc>
      <ndxf>
        <font>
          <sz val="10"/>
          <color auto="1"/>
          <name val="Arial"/>
          <scheme val="none"/>
        </font>
        <numFmt numFmtId="10" formatCode="&quot;$&quot;#,##0_);[Red]\(&quot;$&quot;#,##0\)"/>
      </ndxf>
    </rcc>
    <rcc rId="0" sId="7" dxf="1" numFmtId="11">
      <nc r="C1">
        <v>154721</v>
      </nc>
      <ndxf>
        <font>
          <sz val="10"/>
          <color auto="1"/>
          <name val="Arial"/>
          <scheme val="none"/>
        </font>
        <numFmt numFmtId="10" formatCode="&quot;$&quot;#,##0_);[Red]\(&quot;$&quot;#,##0\)"/>
      </ndxf>
    </rcc>
    <rcc rId="0" sId="7" dxf="1">
      <nc r="D1">
        <f>C1-B1</f>
      </nc>
      <ndxf>
        <font>
          <sz val="10"/>
          <color auto="1"/>
          <name val="Arial"/>
          <scheme val="none"/>
        </font>
        <numFmt numFmtId="10" formatCode="&quot;$&quot;#,##0_);[Red]\(&quot;$&quot;#,##0\)"/>
      </ndxf>
    </rcc>
    <rcc rId="0" sId="7" s="1" dxf="1">
      <nc r="E1">
        <f>D1/B1</f>
      </nc>
      <ndxf>
        <font>
          <sz val="10"/>
          <color auto="1"/>
          <name val="Arial"/>
          <scheme val="none"/>
        </font>
        <numFmt numFmtId="13" formatCode="0%"/>
      </ndxf>
    </rcc>
    <rcc rId="0" sId="7" dxf="1" numFmtId="11">
      <nc r="F1">
        <v>151156</v>
      </nc>
      <ndxf>
        <font>
          <sz val="10"/>
          <color auto="1"/>
          <name val="Arial"/>
          <scheme val="none"/>
        </font>
        <numFmt numFmtId="10" formatCode="&quot;$&quot;#,##0_);[Red]\(&quot;$&quot;#,##0\)"/>
      </ndxf>
    </rcc>
    <rcc rId="0" sId="7" s="1" dxf="1">
      <nc r="G1">
        <f>F1-C1</f>
      </nc>
      <ndxf>
        <font>
          <sz val="10"/>
          <color auto="1"/>
          <name val="Arial"/>
          <scheme val="none"/>
        </font>
        <numFmt numFmtId="10" formatCode="&quot;$&quot;#,##0_);[Red]\(&quot;$&quot;#,##0\)"/>
      </ndxf>
    </rcc>
    <rcc rId="0" sId="7" dxf="1">
      <nc r="H1">
        <f>G1/C1</f>
      </nc>
      <ndxf>
        <font>
          <sz val="10"/>
          <color auto="1"/>
          <name val="Arial"/>
          <scheme val="none"/>
        </font>
        <numFmt numFmtId="13" formatCode="0%"/>
      </ndxf>
    </rcc>
    <rcc rId="0" sId="7" dxf="1" numFmtId="4">
      <nc r="I1">
        <v>157317</v>
      </nc>
      <ndxf>
        <numFmt numFmtId="3" formatCode="#,##0"/>
      </ndxf>
    </rcc>
    <rcc rId="0" sId="7" dxf="1">
      <nc r="J1">
        <f>+I1/B1-1</f>
      </nc>
      <ndxf>
        <numFmt numFmtId="164" formatCode="0.0%"/>
        <border outline="0">
          <bottom/>
        </border>
      </ndxf>
    </rcc>
    <rcc rId="0" sId="7" dxf="1">
      <nc r="K1" t="inlineStr">
        <is>
          <t>***</t>
        </is>
      </nc>
      <ndxf>
        <numFmt numFmtId="164" formatCode="0.0%"/>
        <border outline="0">
          <bottom/>
        </border>
      </ndxf>
    </rcc>
    <rcc rId="0" sId="7" dxf="1">
      <nc r="L1">
        <f>I1/C1-1</f>
      </nc>
      <ndxf>
        <numFmt numFmtId="164" formatCode="0.0%"/>
        <border outline="0">
          <bottom/>
        </border>
      </ndxf>
    </rcc>
    <rcc rId="0" sId="7">
      <nc r="M1">
        <v>150282</v>
      </nc>
    </rcc>
    <rcc rId="0" sId="7">
      <nc r="N1">
        <v>129238</v>
      </nc>
    </rcc>
    <rcc rId="0" sId="7" dxf="1">
      <nc r="O1">
        <f>N1/M1-1</f>
      </nc>
      <ndxf>
        <numFmt numFmtId="14" formatCode="0.00%"/>
        <border outline="0">
          <bottom/>
        </border>
      </ndxf>
    </rcc>
  </rrc>
  <rrc rId="37299" sId="7" ref="A1:XFD1" action="deleteRow">
    <undo index="11" exp="ref" v="1" dr="N1" r="N157" sId="7"/>
    <undo index="11" exp="ref" v="1" dr="M1" r="M157" sId="7"/>
    <undo index="6" exp="ref" dr="G1" r="G157" sId="7"/>
    <undo index="6" exp="ref" dr="F1" r="F157" sId="7"/>
    <undo index="6" exp="ref" dr="D1" r="D157" sId="7"/>
    <undo index="6" exp="ref" dr="C1" r="C157" sId="7"/>
    <undo index="6" exp="ref" dr="B1" r="B157" sId="7"/>
    <rfmt sheetId="7" xfDxf="1" sqref="A1:XFD1" start="0" length="0"/>
    <rcc rId="0" sId="7" dxf="1">
      <nc r="A1" t="inlineStr">
        <is>
          <t xml:space="preserve">Subtotal: Governmental Direction &amp; Support </t>
        </is>
      </nc>
      <ndxf>
        <font>
          <b/>
          <sz val="10"/>
          <color auto="1"/>
          <name val="Arial"/>
          <scheme val="none"/>
        </font>
      </ndxf>
    </rcc>
    <rcc rId="0" sId="7" dxf="1">
      <nc r="B1">
        <f>SUM(#REF!)</f>
      </nc>
      <ndxf>
        <font>
          <b/>
          <sz val="10"/>
          <color auto="1"/>
          <name val="Arial"/>
          <scheme val="none"/>
        </font>
        <numFmt numFmtId="10" formatCode="&quot;$&quot;#,##0_);[Red]\(&quot;$&quot;#,##0\)"/>
      </ndxf>
    </rcc>
    <rcc rId="0" sId="7" dxf="1">
      <nc r="C1">
        <f>SUM(#REF!)</f>
      </nc>
      <ndxf>
        <font>
          <b/>
          <sz val="10"/>
          <color auto="1"/>
          <name val="Arial"/>
          <scheme val="none"/>
        </font>
        <numFmt numFmtId="10" formatCode="&quot;$&quot;#,##0_);[Red]\(&quot;$&quot;#,##0\)"/>
      </ndxf>
    </rcc>
    <rcc rId="0" sId="7" dxf="1">
      <nc r="D1">
        <f>C1-B1</f>
      </nc>
      <ndxf>
        <font>
          <sz val="10"/>
          <color auto="1"/>
          <name val="Arial"/>
          <scheme val="none"/>
        </font>
        <numFmt numFmtId="10" formatCode="&quot;$&quot;#,##0_);[Red]\(&quot;$&quot;#,##0\)"/>
      </ndxf>
    </rcc>
    <rcc rId="0" sId="7" s="1" dxf="1">
      <nc r="E1">
        <f>D1/B1</f>
      </nc>
      <ndxf>
        <font>
          <sz val="10"/>
          <color auto="1"/>
          <name val="Arial"/>
          <scheme val="none"/>
        </font>
        <numFmt numFmtId="13" formatCode="0%"/>
      </ndxf>
    </rcc>
    <rcc rId="0" sId="7" dxf="1">
      <nc r="F1">
        <f>SUM(#REF!)</f>
      </nc>
      <ndxf>
        <font>
          <b/>
          <sz val="10"/>
          <color auto="1"/>
          <name val="Arial"/>
          <scheme val="none"/>
        </font>
        <numFmt numFmtId="10" formatCode="&quot;$&quot;#,##0_);[Red]\(&quot;$&quot;#,##0\)"/>
      </ndxf>
    </rcc>
    <rcc rId="0" sId="7" s="1" dxf="1">
      <nc r="G1">
        <f>F1-C1</f>
      </nc>
      <ndxf>
        <font>
          <sz val="10"/>
          <color auto="1"/>
          <name val="Arial"/>
          <scheme val="none"/>
        </font>
        <numFmt numFmtId="10" formatCode="&quot;$&quot;#,##0_);[Red]\(&quot;$&quot;#,##0\)"/>
      </ndxf>
    </rcc>
    <rcc rId="0" sId="7" dxf="1">
      <nc r="H1">
        <f>G1/C1</f>
      </nc>
      <ndxf>
        <font>
          <sz val="10"/>
          <color auto="1"/>
          <name val="Arial"/>
          <scheme val="none"/>
        </font>
        <numFmt numFmtId="13" formatCode="0%"/>
      </ndxf>
    </rcc>
    <rcc rId="0" sId="7" dxf="1" numFmtId="4">
      <nc r="I1">
        <v>752715</v>
      </nc>
      <ndxf>
        <numFmt numFmtId="3" formatCode="#,##0"/>
      </ndxf>
    </rcc>
    <rcc rId="0" sId="7" dxf="1">
      <nc r="J1">
        <f>+I1/B1-1</f>
      </nc>
      <ndxf>
        <numFmt numFmtId="164" formatCode="0.0%"/>
      </ndxf>
    </rcc>
    <rcc rId="0" sId="7" dxf="1">
      <nc r="K1" t="inlineStr">
        <is>
          <t>**</t>
        </is>
      </nc>
      <ndxf>
        <numFmt numFmtId="164" formatCode="0.0%"/>
      </ndxf>
    </rcc>
    <rcc rId="0" sId="7" dxf="1">
      <nc r="L1">
        <f>I1/C1-1</f>
      </nc>
      <ndxf>
        <numFmt numFmtId="164" formatCode="0.0%"/>
      </ndxf>
    </rcc>
    <rcc rId="0" sId="7" dxf="1">
      <nc r="M1">
        <f>SUM(#REF!)</f>
      </nc>
      <ndxf>
        <font>
          <b/>
          <sz val="10"/>
          <color auto="1"/>
          <name val="Arial"/>
          <scheme val="none"/>
        </font>
        <numFmt numFmtId="10" formatCode="&quot;$&quot;#,##0_);[Red]\(&quot;$&quot;#,##0\)"/>
      </ndxf>
    </rcc>
    <rcc rId="0" sId="7" dxf="1">
      <nc r="N1">
        <f>SUM(#REF!)</f>
      </nc>
      <ndxf>
        <font>
          <b/>
          <sz val="10"/>
          <color auto="1"/>
          <name val="Arial"/>
          <scheme val="none"/>
        </font>
      </ndxf>
    </rcc>
    <rcc rId="0" sId="7" dxf="1">
      <nc r="O1">
        <f>N1/M1-1</f>
      </nc>
      <ndxf>
        <numFmt numFmtId="14" formatCode="0.00%"/>
      </ndxf>
    </rcc>
  </rrc>
  <rrc rId="37300" sId="7" ref="A1:XFD1" action="deleteRow">
    <rfmt sheetId="7" xfDxf="1" sqref="A1:XFD1" start="0" length="0"/>
    <rfmt sheetId="7" sqref="A1" start="0" length="0">
      <dxf>
        <font>
          <b/>
          <sz val="10"/>
          <color auto="1"/>
          <name val="Arial"/>
          <scheme val="none"/>
        </font>
      </dxf>
    </rfmt>
    <rfmt sheetId="7" sqref="B1" start="0" length="0">
      <dxf>
        <font>
          <b/>
          <sz val="10"/>
          <color auto="1"/>
          <name val="Arial"/>
          <scheme val="none"/>
        </font>
        <numFmt numFmtId="10" formatCode="&quot;$&quot;#,##0_);[Red]\(&quot;$&quot;#,##0\)"/>
      </dxf>
    </rfmt>
    <rfmt sheetId="7" sqref="C1" start="0" length="0">
      <dxf>
        <font>
          <b/>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1" sqref="E1" start="0" length="0">
      <dxf>
        <font>
          <b/>
          <sz val="10"/>
          <color auto="1"/>
          <name val="Arial"/>
          <scheme val="none"/>
        </font>
        <numFmt numFmtId="13" formatCode="0%"/>
      </dxf>
    </rfmt>
    <rfmt sheetId="7" sqref="F1" start="0" length="0">
      <dxf>
        <font>
          <b/>
          <sz val="10"/>
          <color auto="1"/>
          <name val="Arial"/>
          <scheme val="none"/>
        </font>
        <numFmt numFmtId="10" formatCode="&quot;$&quot;#,##0_);[Red]\(&quot;$&quot;#,##0\)"/>
      </dxf>
    </rfmt>
    <rfmt sheetId="7" s="1"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301" sId="7" ref="A1:XFD1" action="deleteRow">
    <rfmt sheetId="7" xfDxf="1" sqref="A1:XFD1" start="0" length="0"/>
    <rcc rId="0" sId="7" dxf="1">
      <nc r="A1" t="inlineStr">
        <is>
          <t>Notes for Government Direction &amp; Support</t>
        </is>
      </nc>
      <ndxf>
        <font>
          <i/>
          <sz val="10"/>
          <color auto="1"/>
          <name val="Arial"/>
          <scheme val="none"/>
        </font>
      </ndxf>
    </rcc>
    <rfmt sheetId="7" sqref="B1" start="0" length="0">
      <dxf>
        <font>
          <b/>
          <sz val="10"/>
          <color auto="1"/>
          <name val="Arial"/>
          <scheme val="none"/>
        </font>
        <numFmt numFmtId="10" formatCode="&quot;$&quot;#,##0_);[Red]\(&quot;$&quot;#,##0\)"/>
      </dxf>
    </rfmt>
    <rfmt sheetId="7" sqref="C1" start="0" length="0">
      <dxf>
        <font>
          <b/>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1" sqref="E1" start="0" length="0">
      <dxf>
        <font>
          <b/>
          <sz val="10"/>
          <color auto="1"/>
          <name val="Arial"/>
          <scheme val="none"/>
        </font>
        <numFmt numFmtId="13" formatCode="0%"/>
      </dxf>
    </rfmt>
    <rfmt sheetId="7" sqref="F1" start="0" length="0">
      <dxf>
        <font>
          <b/>
          <sz val="10"/>
          <color auto="1"/>
          <name val="Arial"/>
          <scheme val="none"/>
        </font>
        <numFmt numFmtId="10" formatCode="&quot;$&quot;#,##0_);[Red]\(&quot;$&quot;#,##0\)"/>
      </dxf>
    </rfmt>
    <rfmt sheetId="7" s="1"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302" sId="7" ref="A1:XFD1" action="deleteRow">
    <rfmt sheetId="7" xfDxf="1" sqref="A1:XFD1" start="0" length="0"/>
    <rcc rId="0" sId="7" dxf="1">
      <nc r="A1" t="inlineStr">
        <is>
          <t>*This agency does not exist after 2007</t>
        </is>
      </nc>
      <ndxf>
        <font>
          <i/>
          <sz val="10"/>
          <color auto="1"/>
          <name val="Arial"/>
          <scheme val="none"/>
        </font>
      </ndxf>
    </rcc>
    <rfmt sheetId="7" sqref="B1" start="0" length="0">
      <dxf>
        <font>
          <b/>
          <sz val="10"/>
          <color auto="1"/>
          <name val="Arial"/>
          <scheme val="none"/>
        </font>
        <numFmt numFmtId="10" formatCode="&quot;$&quot;#,##0_);[Red]\(&quot;$&quot;#,##0\)"/>
      </dxf>
    </rfmt>
    <rfmt sheetId="7" sqref="C1" start="0" length="0">
      <dxf>
        <font>
          <b/>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1" sqref="E1" start="0" length="0">
      <dxf>
        <font>
          <sz val="10"/>
          <color auto="1"/>
          <name val="Arial"/>
          <scheme val="none"/>
        </font>
        <numFmt numFmtId="13" formatCode="0%"/>
      </dxf>
    </rfmt>
    <rfmt sheetId="7" sqref="F1" start="0" length="0">
      <dxf>
        <font>
          <b/>
          <sz val="10"/>
          <color auto="1"/>
          <name val="Arial"/>
          <scheme val="none"/>
        </font>
        <numFmt numFmtId="10" formatCode="&quot;$&quot;#,##0_);[Red]\(&quot;$&quot;#,##0\)"/>
      </dxf>
    </rfmt>
    <rfmt sheetId="7" s="1"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303" sId="7" ref="A1:XFD1" action="deleteRow">
    <rfmt sheetId="7" xfDxf="1" sqref="A1:XFD1" start="0" length="0"/>
    <rcc rId="0" sId="7" dxf="1">
      <nc r="A1" t="inlineStr">
        <is>
          <t>**This agency was first proposed n 2010</t>
        </is>
      </nc>
      <ndxf>
        <font>
          <i/>
          <sz val="10"/>
          <color auto="1"/>
          <name val="Arial"/>
          <scheme val="none"/>
        </font>
      </ndxf>
    </rcc>
    <rfmt sheetId="7" sqref="B1" start="0" length="0">
      <dxf>
        <font>
          <b/>
          <sz val="10"/>
          <color auto="1"/>
          <name val="Arial"/>
          <scheme val="none"/>
        </font>
        <numFmt numFmtId="10" formatCode="&quot;$&quot;#,##0_);[Red]\(&quot;$&quot;#,##0\)"/>
      </dxf>
    </rfmt>
    <rfmt sheetId="7" sqref="C1" start="0" length="0">
      <dxf>
        <font>
          <b/>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1" sqref="E1" start="0" length="0">
      <dxf>
        <font>
          <sz val="10"/>
          <color auto="1"/>
          <name val="Arial"/>
          <scheme val="none"/>
        </font>
        <numFmt numFmtId="13" formatCode="0%"/>
      </dxf>
    </rfmt>
    <rfmt sheetId="7" sqref="F1" start="0" length="0">
      <dxf>
        <font>
          <b/>
          <sz val="10"/>
          <color auto="1"/>
          <name val="Arial"/>
          <scheme val="none"/>
        </font>
        <numFmt numFmtId="10" formatCode="&quot;$&quot;#,##0_);[Red]\(&quot;$&quot;#,##0\)"/>
      </dxf>
    </rfmt>
    <rfmt sheetId="7" s="1"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304" sId="7" ref="A1:XFD1" action="deleteRow">
    <rfmt sheetId="7" xfDxf="1" sqref="A1:XFD1" start="0" length="0"/>
    <rcc rId="0" sId="7" dxf="1">
      <nc r="A1" t="inlineStr">
        <is>
          <t>***This line item first appears in 2008</t>
        </is>
      </nc>
      <ndxf>
        <font>
          <i/>
          <sz val="10"/>
          <color auto="1"/>
          <name val="Arial"/>
          <scheme val="none"/>
        </font>
      </ndxf>
    </rcc>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qref="F1" start="0" length="0">
      <dxf>
        <font>
          <sz val="10"/>
          <color auto="1"/>
          <name val="Arial"/>
          <scheme val="none"/>
        </font>
        <numFmt numFmtId="10" formatCode="&quot;$&quot;#,##0_);[Red]\(&quot;$&quot;#,##0\)"/>
      </dxf>
    </rfmt>
    <rfmt sheetId="7" s="1"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305" sId="7" ref="A1:XFD1" action="deleteRow">
    <rfmt sheetId="7" xfDxf="1" sqref="A1:XFD1" start="0" length="0"/>
    <rfmt sheetId="7" sqref="A1" start="0" length="0">
      <dxf>
        <font>
          <i/>
          <sz val="10"/>
          <color auto="1"/>
          <name val="Arial"/>
          <scheme val="none"/>
        </font>
      </dxf>
    </rfmt>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1" sqref="E1" start="0" length="0">
      <dxf>
        <font>
          <sz val="10"/>
          <color auto="1"/>
          <name val="Arial"/>
          <scheme val="none"/>
        </font>
        <numFmt numFmtId="13" formatCode="0%"/>
      </dxf>
    </rfmt>
    <rfmt sheetId="7" sqref="F1" start="0" length="0">
      <dxf>
        <font>
          <sz val="10"/>
          <color auto="1"/>
          <name val="Arial"/>
          <scheme val="none"/>
        </font>
        <numFmt numFmtId="10" formatCode="&quot;$&quot;#,##0_);[Red]\(&quot;$&quot;#,##0\)"/>
      </dxf>
    </rfmt>
    <rfmt sheetId="7" s="1"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306" sId="7" ref="A1:XFD1" action="deleteRow">
    <rfmt sheetId="7" xfDxf="1" sqref="A1:XFD1" start="0" length="0">
      <dxf>
        <fill>
          <patternFill patternType="solid">
            <bgColor theme="0" tint="-0.249977111117893"/>
          </patternFill>
        </fill>
        <border outline="0">
          <bottom style="medium">
            <color indexed="64"/>
          </bottom>
        </border>
      </dxf>
    </rfmt>
    <rcc rId="0" sId="7" dxf="1">
      <nc r="A1" t="inlineStr">
        <is>
          <t xml:space="preserve">Economic Development &amp; Regulation  </t>
        </is>
      </nc>
      <ndxf>
        <font>
          <b/>
          <sz val="10"/>
          <color auto="1"/>
          <name val="Arial"/>
          <scheme val="none"/>
        </font>
      </ndxf>
    </rcc>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1" sqref="E1" start="0" length="0">
      <dxf>
        <font>
          <sz val="10"/>
          <color auto="1"/>
          <name val="Arial"/>
          <scheme val="none"/>
        </font>
        <numFmt numFmtId="13" formatCode="0%"/>
      </dxf>
    </rfmt>
    <rfmt sheetId="7" sqref="F1" start="0" length="0">
      <dxf>
        <font>
          <sz val="10"/>
          <color auto="1"/>
          <name val="Arial"/>
          <scheme val="none"/>
        </font>
        <numFmt numFmtId="10" formatCode="&quot;$&quot;#,##0_);[Red]\(&quot;$&quot;#,##0\)"/>
      </dxf>
    </rfmt>
    <rfmt sheetId="7" s="1"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fmt sheetId="7" sqref="K1" start="0" length="0">
      <dxf>
        <border outline="0">
          <bottom/>
        </border>
      </dxf>
    </rfmt>
    <rfmt sheetId="7" sqref="L1" start="0" length="0">
      <dxf>
        <fill>
          <patternFill patternType="none">
            <bgColor indexed="65"/>
          </patternFill>
        </fill>
        <border outline="0">
          <bottom/>
        </border>
      </dxf>
    </rfmt>
  </rrc>
  <rrc rId="37307" sId="7" ref="A1:XFD1" action="deleteRow">
    <undo index="0" exp="ref" ref3D="1" v="1" dr="C1" r="C43" sId="8"/>
    <undo index="0" exp="ref" ref3D="1" v="1" dr="B1" r="B43" sId="8"/>
    <undo index="0" exp="area" dr="N1:N20" r="N21" sId="7"/>
    <undo index="0" exp="area" dr="M1:M20" r="M21" sId="7"/>
    <undo index="0" exp="area" dr="F1:F20" r="F21" sId="7"/>
    <undo index="0" exp="area" dr="C1:C20" r="C21" sId="7"/>
    <undo index="0" exp="area" dr="B1:B20" r="B21" sId="7"/>
    <rfmt sheetId="7" xfDxf="1" sqref="A1:XFD1" start="0" length="0"/>
    <rcc rId="0" sId="7" dxf="1">
      <nc r="A1" t="inlineStr">
        <is>
          <t>Deputy Mayor for Planning and Economic Development*</t>
        </is>
      </nc>
      <ndxf>
        <font>
          <sz val="10"/>
          <color auto="1"/>
          <name val="Arial"/>
          <scheme val="none"/>
        </font>
        <border outline="0">
          <left style="medium">
            <color indexed="64"/>
          </left>
        </border>
      </ndxf>
    </rcc>
    <rcc rId="0" sId="7" dxf="1" numFmtId="11">
      <nc r="B1">
        <v>105821</v>
      </nc>
      <ndxf>
        <font>
          <sz val="10"/>
          <color auto="1"/>
          <name val="Arial"/>
          <scheme val="none"/>
        </font>
        <numFmt numFmtId="10" formatCode="&quot;$&quot;#,##0_);[Red]\(&quot;$&quot;#,##0\)"/>
      </ndxf>
    </rcc>
    <rcc rId="0" sId="7" dxf="1" numFmtId="11">
      <nc r="C1">
        <v>79664</v>
      </nc>
      <ndxf>
        <font>
          <sz val="10"/>
          <color auto="1"/>
          <name val="Arial"/>
          <scheme val="none"/>
        </font>
        <numFmt numFmtId="10" formatCode="&quot;$&quot;#,##0_);[Red]\(&quot;$&quot;#,##0\)"/>
      </ndxf>
    </rcc>
    <rcc rId="0" sId="7" dxf="1">
      <nc r="D1">
        <f>C1-B1</f>
      </nc>
      <ndxf>
        <font>
          <sz val="10"/>
          <color auto="1"/>
          <name val="Arial"/>
          <scheme val="none"/>
        </font>
        <numFmt numFmtId="10" formatCode="&quot;$&quot;#,##0_);[Red]\(&quot;$&quot;#,##0\)"/>
      </ndxf>
    </rcc>
    <rcc rId="0" sId="7" s="1" dxf="1">
      <nc r="E1">
        <f>D1/B1</f>
      </nc>
      <ndxf>
        <font>
          <sz val="10"/>
          <color auto="1"/>
          <name val="Arial"/>
          <scheme val="none"/>
        </font>
        <numFmt numFmtId="13" formatCode="0%"/>
      </ndxf>
    </rcc>
    <rcc rId="0" sId="7" dxf="1" numFmtId="11">
      <nc r="F1">
        <v>38669</v>
      </nc>
      <ndxf>
        <font>
          <sz val="10"/>
          <color auto="1"/>
          <name val="Arial"/>
          <scheme val="none"/>
        </font>
        <numFmt numFmtId="10" formatCode="&quot;$&quot;#,##0_);[Red]\(&quot;$&quot;#,##0\)"/>
      </ndxf>
    </rcc>
    <rcc rId="0" sId="7" s="1" dxf="1">
      <nc r="G1">
        <f>F1-C1</f>
      </nc>
      <ndxf>
        <font>
          <sz val="10"/>
          <color auto="1"/>
          <name val="Arial"/>
          <scheme val="none"/>
        </font>
        <numFmt numFmtId="10" formatCode="&quot;$&quot;#,##0_);[Red]\(&quot;$&quot;#,##0\)"/>
      </ndxf>
    </rcc>
    <rcc rId="0" sId="7" dxf="1">
      <nc r="H1">
        <f>G1/C1</f>
      </nc>
      <ndxf>
        <font>
          <sz val="10"/>
          <color auto="1"/>
          <name val="Arial"/>
          <scheme val="none"/>
        </font>
        <numFmt numFmtId="13" formatCode="0%"/>
      </ndxf>
    </rcc>
    <rcc rId="0" sId="7" dxf="1" numFmtId="4">
      <nc r="I1">
        <v>56782</v>
      </nc>
      <ndxf>
        <numFmt numFmtId="3" formatCode="#,##0"/>
      </ndxf>
    </rcc>
    <rcc rId="0" sId="7" dxf="1">
      <nc r="J1">
        <f>I1/B1</f>
      </nc>
      <ndxf>
        <numFmt numFmtId="164" formatCode="0.0%"/>
      </ndxf>
    </rcc>
    <rcc rId="0" sId="7" dxf="1">
      <nc r="K1" t="inlineStr">
        <is>
          <t>**</t>
        </is>
      </nc>
      <ndxf>
        <font>
          <sz val="10"/>
          <color auto="1"/>
          <name val="Arial"/>
          <scheme val="none"/>
        </font>
      </ndxf>
    </rcc>
    <rcc rId="0" sId="7" dxf="1">
      <nc r="L1">
        <f>I1/C1</f>
      </nc>
      <ndxf>
        <numFmt numFmtId="164" formatCode="0.0%"/>
      </ndxf>
    </rcc>
    <rcc rId="0" sId="7">
      <nc r="M1">
        <v>42060</v>
      </nc>
    </rcc>
    <rcc rId="0" sId="7">
      <nc r="N1">
        <v>23722</v>
      </nc>
    </rcc>
    <rcc rId="0" sId="7" dxf="1">
      <nc r="O1">
        <f>N1/M1-1</f>
      </nc>
      <ndxf>
        <numFmt numFmtId="14" formatCode="0.00%"/>
      </ndxf>
    </rcc>
  </rrc>
  <rrc rId="37308" sId="7" ref="A1:XFD1" action="deleteRow">
    <undo index="0" exp="ref" ref3D="1" v="1" dr="C1" r="C44" sId="8"/>
    <undo index="0" exp="ref" ref3D="1" v="1" dr="B1" r="B44" sId="8"/>
    <undo index="0" exp="area" dr="N1:N19" r="N20" sId="7"/>
    <undo index="0" exp="area" dr="M1:M19" r="M20" sId="7"/>
    <undo index="0" exp="area" dr="F1:F19" r="F20" sId="7"/>
    <undo index="0" exp="area" dr="C1:C19" r="C20" sId="7"/>
    <undo index="0" exp="area" dr="B1:B19" r="B20" sId="7"/>
    <rfmt sheetId="7" xfDxf="1" sqref="A1:XFD1" start="0" length="0"/>
    <rcc rId="0" sId="7" dxf="1">
      <nc r="A1" t="inlineStr">
        <is>
          <t>Office of Planning</t>
        </is>
      </nc>
      <ndxf>
        <font>
          <sz val="10"/>
          <color auto="1"/>
          <name val="Arial"/>
          <scheme val="none"/>
        </font>
        <border outline="0">
          <left style="medium">
            <color indexed="64"/>
          </left>
        </border>
      </ndxf>
    </rcc>
    <rcc rId="0" sId="7" dxf="1" numFmtId="11">
      <nc r="B1">
        <v>8472</v>
      </nc>
      <ndxf>
        <font>
          <sz val="10"/>
          <color auto="1"/>
          <name val="Arial"/>
          <scheme val="none"/>
        </font>
        <numFmt numFmtId="10" formatCode="&quot;$&quot;#,##0_);[Red]\(&quot;$&quot;#,##0\)"/>
      </ndxf>
    </rcc>
    <rcc rId="0" sId="7" dxf="1" numFmtId="11">
      <nc r="C1">
        <v>9873</v>
      </nc>
      <ndxf>
        <font>
          <sz val="10"/>
          <color auto="1"/>
          <name val="Arial"/>
          <scheme val="none"/>
        </font>
        <numFmt numFmtId="10" formatCode="&quot;$&quot;#,##0_);[Red]\(&quot;$&quot;#,##0\)"/>
      </ndxf>
    </rcc>
    <rcc rId="0" sId="7" dxf="1">
      <nc r="D1">
        <f>C1-B1</f>
      </nc>
      <ndxf>
        <font>
          <sz val="10"/>
          <color auto="1"/>
          <name val="Arial"/>
          <scheme val="none"/>
        </font>
        <numFmt numFmtId="10" formatCode="&quot;$&quot;#,##0_);[Red]\(&quot;$&quot;#,##0\)"/>
      </ndxf>
    </rcc>
    <rcc rId="0" sId="7" s="1" dxf="1">
      <nc r="E1">
        <f>D1/B1</f>
      </nc>
      <ndxf>
        <font>
          <sz val="10"/>
          <color auto="1"/>
          <name val="Arial"/>
          <scheme val="none"/>
        </font>
        <numFmt numFmtId="13" formatCode="0%"/>
      </ndxf>
    </rcc>
    <rcc rId="0" sId="7" dxf="1" numFmtId="11">
      <nc r="F1">
        <v>9166</v>
      </nc>
      <ndxf>
        <font>
          <sz val="10"/>
          <color auto="1"/>
          <name val="Arial"/>
          <scheme val="none"/>
        </font>
        <numFmt numFmtId="10" formatCode="&quot;$&quot;#,##0_);[Red]\(&quot;$&quot;#,##0\)"/>
      </ndxf>
    </rcc>
    <rcc rId="0" sId="7" s="1" dxf="1">
      <nc r="G1">
        <f>F1-C1</f>
      </nc>
      <ndxf>
        <font>
          <sz val="10"/>
          <color auto="1"/>
          <name val="Arial"/>
          <scheme val="none"/>
        </font>
        <numFmt numFmtId="10" formatCode="&quot;$&quot;#,##0_);[Red]\(&quot;$&quot;#,##0\)"/>
      </ndxf>
    </rcc>
    <rcc rId="0" sId="7" dxf="1">
      <nc r="H1">
        <f>G1/C1</f>
      </nc>
      <ndxf>
        <font>
          <sz val="10"/>
          <color auto="1"/>
          <name val="Arial"/>
          <scheme val="none"/>
        </font>
        <numFmt numFmtId="13" formatCode="0%"/>
      </ndxf>
    </rcc>
    <rcc rId="0" sId="7" dxf="1" numFmtId="4">
      <nc r="I1">
        <v>9229</v>
      </nc>
      <ndxf>
        <numFmt numFmtId="3" formatCode="#,##0"/>
      </ndxf>
    </rcc>
    <rcc rId="0" sId="7" dxf="1">
      <nc r="J1">
        <f>I1/B1</f>
      </nc>
      <ndxf>
        <numFmt numFmtId="164" formatCode="0.0%"/>
      </ndxf>
    </rcc>
    <rcc rId="0" sId="7" dxf="1">
      <nc r="K1" t="inlineStr">
        <is>
          <t>*</t>
        </is>
      </nc>
      <ndxf>
        <font>
          <sz val="10"/>
          <color auto="1"/>
          <name val="Arial"/>
          <scheme val="none"/>
        </font>
      </ndxf>
    </rcc>
    <rcc rId="0" sId="7" dxf="1">
      <nc r="L1">
        <f>I1/C1</f>
      </nc>
      <ndxf>
        <numFmt numFmtId="164" formatCode="0.0%"/>
      </ndxf>
    </rcc>
    <rcc rId="0" sId="7">
      <nc r="M1">
        <v>8191</v>
      </nc>
    </rcc>
    <rcc rId="0" sId="7">
      <nc r="N1">
        <v>7642</v>
      </nc>
    </rcc>
    <rcc rId="0" sId="7" dxf="1">
      <nc r="O1">
        <f>N1/M1-1</f>
      </nc>
      <ndxf>
        <numFmt numFmtId="14" formatCode="0.00%"/>
      </ndxf>
    </rcc>
  </rrc>
  <rrc rId="37309" sId="7" ref="A1:XFD1" action="deleteRow">
    <undo index="0" exp="ref" ref3D="1" v="1" dr="C1" r="C45" sId="8"/>
    <undo index="0" exp="ref" ref3D="1" v="1" dr="B1" r="B45" sId="8"/>
    <undo index="0" exp="area" dr="N1:N18" r="N19" sId="7"/>
    <undo index="0" exp="area" dr="M1:M18" r="M19" sId="7"/>
    <undo index="0" exp="area" dr="F1:F18" r="F19" sId="7"/>
    <undo index="0" exp="area" dr="C1:C18" r="C19" sId="7"/>
    <undo index="0" exp="area" dr="B1:B18" r="B19" sId="7"/>
    <rfmt sheetId="7" xfDxf="1" sqref="A1:XFD1" start="0" length="0"/>
    <rcc rId="0" sId="7" dxf="1">
      <nc r="A1" t="inlineStr">
        <is>
          <t xml:space="preserve">Office of Small and Local Business Development*   </t>
        </is>
      </nc>
      <ndxf>
        <font>
          <sz val="10"/>
          <color auto="1"/>
          <name val="Arial"/>
          <scheme val="none"/>
        </font>
        <border outline="0">
          <left style="medium">
            <color indexed="64"/>
          </left>
        </border>
      </ndxf>
    </rcc>
    <rcc rId="0" sId="7" dxf="1" numFmtId="11">
      <nc r="B1">
        <v>4493</v>
      </nc>
      <ndxf>
        <font>
          <sz val="10"/>
          <color auto="1"/>
          <name val="Arial"/>
          <scheme val="none"/>
        </font>
        <numFmt numFmtId="10" formatCode="&quot;$&quot;#,##0_);[Red]\(&quot;$&quot;#,##0\)"/>
      </ndxf>
    </rcc>
    <rcc rId="0" sId="7" dxf="1" numFmtId="11">
      <nc r="C1">
        <v>3426</v>
      </nc>
      <ndxf>
        <font>
          <sz val="10"/>
          <color auto="1"/>
          <name val="Arial"/>
          <scheme val="none"/>
        </font>
        <numFmt numFmtId="10" formatCode="&quot;$&quot;#,##0_);[Red]\(&quot;$&quot;#,##0\)"/>
      </ndxf>
    </rcc>
    <rcc rId="0" sId="7" dxf="1">
      <nc r="D1">
        <f>C1-B1</f>
      </nc>
      <ndxf>
        <font>
          <sz val="10"/>
          <color auto="1"/>
          <name val="Arial"/>
          <scheme val="none"/>
        </font>
        <numFmt numFmtId="10" formatCode="&quot;$&quot;#,##0_);[Red]\(&quot;$&quot;#,##0\)"/>
      </ndxf>
    </rcc>
    <rcc rId="0" sId="7" s="1" dxf="1">
      <nc r="E1">
        <f>D1/B1</f>
      </nc>
      <ndxf>
        <font>
          <sz val="10"/>
          <color auto="1"/>
          <name val="Arial"/>
          <scheme val="none"/>
        </font>
        <numFmt numFmtId="13" formatCode="0%"/>
      </ndxf>
    </rcc>
    <rcc rId="0" sId="7" dxf="1" numFmtId="11">
      <nc r="F1">
        <v>2996</v>
      </nc>
      <ndxf>
        <font>
          <sz val="10"/>
          <color auto="1"/>
          <name val="Arial"/>
          <scheme val="none"/>
        </font>
        <numFmt numFmtId="10" formatCode="&quot;$&quot;#,##0_);[Red]\(&quot;$&quot;#,##0\)"/>
      </ndxf>
    </rcc>
    <rcc rId="0" sId="7" s="1" dxf="1">
      <nc r="G1">
        <f>F1-C1</f>
      </nc>
      <ndxf>
        <font>
          <sz val="10"/>
          <color auto="1"/>
          <name val="Arial"/>
          <scheme val="none"/>
        </font>
        <numFmt numFmtId="10" formatCode="&quot;$&quot;#,##0_);[Red]\(&quot;$&quot;#,##0\)"/>
      </ndxf>
    </rcc>
    <rcc rId="0" sId="7" dxf="1">
      <nc r="H1">
        <f>G1/C1</f>
      </nc>
      <ndxf>
        <font>
          <sz val="10"/>
          <color auto="1"/>
          <name val="Arial"/>
          <scheme val="none"/>
        </font>
        <numFmt numFmtId="13" formatCode="0%"/>
      </ndxf>
    </rcc>
    <rcc rId="0" sId="7" dxf="1" numFmtId="4">
      <nc r="I1">
        <v>2888</v>
      </nc>
      <ndxf>
        <numFmt numFmtId="3" formatCode="#,##0"/>
      </ndxf>
    </rcc>
    <rcc rId="0" sId="7" dxf="1">
      <nc r="J1">
        <f>I1/B1</f>
      </nc>
      <ndxf>
        <numFmt numFmtId="164" formatCode="0.0%"/>
      </ndxf>
    </rcc>
    <rcc rId="0" sId="7" dxf="1">
      <nc r="K1" t="inlineStr">
        <is>
          <t>**</t>
        </is>
      </nc>
      <ndxf>
        <font>
          <sz val="10"/>
          <color auto="1"/>
          <name val="Arial"/>
          <scheme val="none"/>
        </font>
      </ndxf>
    </rcc>
    <rcc rId="0" sId="7" dxf="1">
      <nc r="L1">
        <f>I1/C1</f>
      </nc>
      <ndxf>
        <numFmt numFmtId="164" formatCode="0.0%"/>
      </ndxf>
    </rcc>
    <rcc rId="0" sId="7">
      <nc r="M1">
        <v>2685</v>
      </nc>
    </rcc>
    <rcc rId="0" sId="7">
      <nc r="N1">
        <v>2521</v>
      </nc>
    </rcc>
    <rcc rId="0" sId="7" dxf="1">
      <nc r="O1">
        <f>N1/M1-1</f>
      </nc>
      <ndxf>
        <numFmt numFmtId="14" formatCode="0.00%"/>
      </ndxf>
    </rcc>
  </rrc>
  <rrc rId="37310" sId="7" ref="A1:XFD1" action="deleteRow">
    <undo index="0" exp="ref" ref3D="1" v="1" dr="C1" r="C46" sId="8"/>
    <undo index="0" exp="ref" ref3D="1" v="1" dr="B1" r="B46" sId="8"/>
    <undo index="0" exp="area" dr="N1:N17" r="N18" sId="7"/>
    <undo index="0" exp="area" dr="M1:M17" r="M18" sId="7"/>
    <undo index="0" exp="area" dr="F1:F17" r="F18" sId="7"/>
    <undo index="0" exp="area" dr="C1:C17" r="C18" sId="7"/>
    <undo index="0" exp="area" dr="B1:B17" r="B18" sId="7"/>
    <rfmt sheetId="7" xfDxf="1" sqref="A1:XFD1" start="0" length="0"/>
    <rcc rId="0" sId="7" dxf="1">
      <nc r="A1" t="inlineStr">
        <is>
          <t>Office of Motion Picture &amp; Television Development*</t>
        </is>
      </nc>
      <ndxf>
        <font>
          <sz val="10"/>
          <color auto="1"/>
          <name val="Arial"/>
          <scheme val="none"/>
        </font>
        <border outline="0">
          <left style="medium">
            <color indexed="64"/>
          </left>
        </border>
      </ndxf>
    </rcc>
    <rcc rId="0" sId="7" dxf="1" numFmtId="11">
      <nc r="B1">
        <v>841</v>
      </nc>
      <ndxf>
        <font>
          <sz val="10"/>
          <color auto="1"/>
          <name val="Arial"/>
          <scheme val="none"/>
        </font>
        <numFmt numFmtId="10" formatCode="&quot;$&quot;#,##0_);[Red]\(&quot;$&quot;#,##0\)"/>
      </ndxf>
    </rcc>
    <rcc rId="0" sId="7" dxf="1" numFmtId="11">
      <nc r="C1">
        <v>652</v>
      </nc>
      <ndxf>
        <font>
          <sz val="10"/>
          <color auto="1"/>
          <name val="Arial"/>
          <scheme val="none"/>
        </font>
        <numFmt numFmtId="10" formatCode="&quot;$&quot;#,##0_);[Red]\(&quot;$&quot;#,##0\)"/>
      </ndxf>
    </rcc>
    <rcc rId="0" sId="7" dxf="1">
      <nc r="D1">
        <f>C1-B1</f>
      </nc>
      <ndxf>
        <font>
          <sz val="10"/>
          <color auto="1"/>
          <name val="Arial"/>
          <scheme val="none"/>
        </font>
        <numFmt numFmtId="10" formatCode="&quot;$&quot;#,##0_);[Red]\(&quot;$&quot;#,##0\)"/>
      </ndxf>
    </rcc>
    <rcc rId="0" sId="7" s="1" dxf="1">
      <nc r="E1">
        <f>D1/B1</f>
      </nc>
      <ndxf>
        <font>
          <sz val="10"/>
          <color auto="1"/>
          <name val="Arial"/>
          <scheme val="none"/>
        </font>
        <numFmt numFmtId="13" formatCode="0%"/>
      </ndxf>
    </rcc>
    <rcc rId="0" sId="7" dxf="1" numFmtId="11">
      <nc r="F1">
        <v>636</v>
      </nc>
      <ndxf>
        <font>
          <sz val="10"/>
          <color auto="1"/>
          <name val="Arial"/>
          <scheme val="none"/>
        </font>
        <numFmt numFmtId="10" formatCode="&quot;$&quot;#,##0_);[Red]\(&quot;$&quot;#,##0\)"/>
      </ndxf>
    </rcc>
    <rcc rId="0" sId="7" s="1" dxf="1">
      <nc r="G1">
        <f>F1-C1</f>
      </nc>
      <ndxf>
        <font>
          <sz val="10"/>
          <color auto="1"/>
          <name val="Arial"/>
          <scheme val="none"/>
        </font>
        <numFmt numFmtId="10" formatCode="&quot;$&quot;#,##0_);[Red]\(&quot;$&quot;#,##0\)"/>
      </ndxf>
    </rcc>
    <rcc rId="0" sId="7" dxf="1">
      <nc r="H1">
        <f>G1/C1</f>
      </nc>
      <ndxf>
        <font>
          <sz val="10"/>
          <color auto="1"/>
          <name val="Arial"/>
          <scheme val="none"/>
        </font>
        <numFmt numFmtId="13" formatCode="0%"/>
      </ndxf>
    </rcc>
    <rcc rId="0" sId="7" dxf="1" numFmtId="4">
      <nc r="I1">
        <v>636</v>
      </nc>
      <ndxf>
        <numFmt numFmtId="3" formatCode="#,##0"/>
      </ndxf>
    </rcc>
    <rcc rId="0" sId="7" dxf="1">
      <nc r="J1">
        <f>I1/B1</f>
      </nc>
      <ndxf>
        <numFmt numFmtId="164" formatCode="0.0%"/>
      </ndxf>
    </rcc>
    <rcc rId="0" sId="7" dxf="1">
      <nc r="K1" t="inlineStr">
        <is>
          <t>**</t>
        </is>
      </nc>
      <ndxf>
        <font>
          <sz val="10"/>
          <color auto="1"/>
          <name val="Arial"/>
          <scheme val="none"/>
        </font>
      </ndxf>
    </rcc>
    <rcc rId="0" sId="7" dxf="1">
      <nc r="L1">
        <f>I1/C1</f>
      </nc>
      <ndxf>
        <numFmt numFmtId="164" formatCode="0.0%"/>
      </ndxf>
    </rcc>
    <rcc rId="0" sId="7">
      <nc r="M1">
        <v>636</v>
      </nc>
    </rcc>
    <rcc rId="0" sId="7">
      <nc r="N1">
        <v>602</v>
      </nc>
    </rcc>
    <rcc rId="0" sId="7" dxf="1">
      <nc r="O1">
        <f>N1/M1-1</f>
      </nc>
      <ndxf>
        <numFmt numFmtId="14" formatCode="0.00%"/>
      </ndxf>
    </rcc>
  </rrc>
  <rrc rId="37311" sId="7" ref="A1:XFD1" action="deleteRow">
    <undo index="0" exp="ref" ref3D="1" v="1" dr="C1" r="C47" sId="8"/>
    <undo index="0" exp="ref" ref3D="1" v="1" dr="B1" r="B47" sId="8"/>
    <undo index="0" exp="area" dr="N1:N16" r="N17" sId="7"/>
    <undo index="0" exp="area" dr="M1:M16" r="M17" sId="7"/>
    <undo index="0" exp="area" dr="F1:F16" r="F17" sId="7"/>
    <undo index="0" exp="area" dr="C1:C16" r="C17" sId="7"/>
    <undo index="0" exp="area" dr="B1:B16" r="B17" sId="7"/>
    <rfmt sheetId="7" xfDxf="1" sqref="A1:XFD1" start="0" length="0"/>
    <rcc rId="0" sId="7" dxf="1">
      <nc r="A1" t="inlineStr">
        <is>
          <t>Office of Zoning</t>
        </is>
      </nc>
      <ndxf>
        <font>
          <sz val="10"/>
          <color auto="1"/>
          <name val="Arial"/>
          <scheme val="none"/>
        </font>
        <border outline="0">
          <left style="medium">
            <color indexed="64"/>
          </left>
        </border>
      </ndxf>
    </rcc>
    <rcc rId="0" sId="7" dxf="1" numFmtId="11">
      <nc r="B1">
        <v>3094</v>
      </nc>
      <ndxf>
        <font>
          <sz val="10"/>
          <color auto="1"/>
          <name val="Arial"/>
          <scheme val="none"/>
        </font>
        <numFmt numFmtId="10" formatCode="&quot;$&quot;#,##0_);[Red]\(&quot;$&quot;#,##0\)"/>
      </ndxf>
    </rcc>
    <rcc rId="0" sId="7" dxf="1" numFmtId="11">
      <nc r="C1">
        <v>3137</v>
      </nc>
      <ndxf>
        <font>
          <sz val="10"/>
          <color auto="1"/>
          <name val="Arial"/>
          <scheme val="none"/>
        </font>
        <numFmt numFmtId="10" formatCode="&quot;$&quot;#,##0_);[Red]\(&quot;$&quot;#,##0\)"/>
      </ndxf>
    </rcc>
    <rcc rId="0" sId="7" dxf="1">
      <nc r="D1">
        <f>C1-B1</f>
      </nc>
      <ndxf>
        <font>
          <sz val="10"/>
          <color auto="1"/>
          <name val="Arial"/>
          <scheme val="none"/>
        </font>
        <numFmt numFmtId="10" formatCode="&quot;$&quot;#,##0_);[Red]\(&quot;$&quot;#,##0\)"/>
      </ndxf>
    </rcc>
    <rcc rId="0" sId="7" s="1" dxf="1">
      <nc r="E1">
        <f>D1/B1</f>
      </nc>
      <ndxf>
        <font>
          <sz val="10"/>
          <color auto="1"/>
          <name val="Arial"/>
          <scheme val="none"/>
        </font>
        <numFmt numFmtId="13" formatCode="0%"/>
      </ndxf>
    </rcc>
    <rcc rId="0" sId="7" dxf="1" numFmtId="11">
      <nc r="F1">
        <v>3136</v>
      </nc>
      <ndxf>
        <font>
          <sz val="10"/>
          <color auto="1"/>
          <name val="Arial"/>
          <scheme val="none"/>
        </font>
        <numFmt numFmtId="10" formatCode="&quot;$&quot;#,##0_);[Red]\(&quot;$&quot;#,##0\)"/>
      </ndxf>
    </rcc>
    <rcc rId="0" sId="7" s="1" dxf="1">
      <nc r="G1">
        <f>F1-C1</f>
      </nc>
      <ndxf>
        <font>
          <sz val="10"/>
          <color auto="1"/>
          <name val="Arial"/>
          <scheme val="none"/>
        </font>
        <numFmt numFmtId="10" formatCode="&quot;$&quot;#,##0_);[Red]\(&quot;$&quot;#,##0\)"/>
      </ndxf>
    </rcc>
    <rcc rId="0" sId="7" dxf="1">
      <nc r="H1">
        <f>G1/C1</f>
      </nc>
      <ndxf>
        <font>
          <sz val="10"/>
          <color auto="1"/>
          <name val="Arial"/>
          <scheme val="none"/>
        </font>
        <numFmt numFmtId="13" formatCode="0%"/>
      </ndxf>
    </rcc>
    <rcc rId="0" sId="7" dxf="1" numFmtId="4">
      <nc r="I1">
        <v>3197</v>
      </nc>
      <ndxf>
        <numFmt numFmtId="3" formatCode="#,##0"/>
      </ndxf>
    </rcc>
    <rcc rId="0" sId="7" dxf="1">
      <nc r="J1">
        <f>I1/B1</f>
      </nc>
      <ndxf>
        <numFmt numFmtId="164" formatCode="0.0%"/>
      </ndxf>
    </rcc>
    <rcc rId="0" sId="7" dxf="1">
      <nc r="K1" t="inlineStr">
        <is>
          <t>*</t>
        </is>
      </nc>
      <ndxf>
        <font>
          <sz val="10"/>
          <color auto="1"/>
          <name val="Arial"/>
          <scheme val="none"/>
        </font>
      </ndxf>
    </rcc>
    <rcc rId="0" sId="7" dxf="1">
      <nc r="L1">
        <f>I1/C1</f>
      </nc>
      <ndxf>
        <numFmt numFmtId="164" formatCode="0.0%"/>
      </ndxf>
    </rcc>
    <rcc rId="0" sId="7">
      <nc r="M1">
        <v>3197</v>
      </nc>
    </rcc>
    <rcc rId="0" sId="7">
      <nc r="N1">
        <v>2681</v>
      </nc>
    </rcc>
    <rcc rId="0" sId="7" dxf="1">
      <nc r="O1">
        <f>N1/M1-1</f>
      </nc>
      <ndxf>
        <numFmt numFmtId="14" formatCode="0.00%"/>
      </ndxf>
    </rcc>
  </rrc>
  <rrc rId="37312" sId="7" ref="A1:XFD1" action="deleteRow">
    <undo index="0" exp="ref" ref3D="1" v="1" dr="C1" r="C48" sId="8"/>
    <undo index="0" exp="ref" ref3D="1" v="1" dr="B1" r="B48" sId="8"/>
    <undo index="0" exp="area" dr="N1:N15" r="N16" sId="7"/>
    <undo index="0" exp="area" dr="M1:M15" r="M16" sId="7"/>
    <undo index="0" exp="area" dr="F1:F15" r="F16" sId="7"/>
    <undo index="0" exp="area" dr="C1:C15" r="C16" sId="7"/>
    <undo index="0" exp="area" dr="B1:B15" r="B16" sId="7"/>
    <rfmt sheetId="7" xfDxf="1" sqref="A1:XFD1" start="0" length="0"/>
    <rcc rId="0" sId="7" dxf="1">
      <nc r="A1" t="inlineStr">
        <is>
          <t xml:space="preserve">Department of Housing and Community Development  </t>
        </is>
      </nc>
      <ndxf>
        <font>
          <sz val="10"/>
          <color auto="1"/>
          <name val="Arial"/>
          <scheme val="none"/>
        </font>
        <border outline="0">
          <left style="medium">
            <color indexed="64"/>
          </left>
        </border>
      </ndxf>
    </rcc>
    <rcc rId="0" sId="7" dxf="1" numFmtId="11">
      <nc r="B1">
        <v>89427</v>
      </nc>
      <ndxf>
        <font>
          <sz val="10"/>
          <color auto="1"/>
          <name val="Arial"/>
          <scheme val="none"/>
        </font>
        <numFmt numFmtId="10" formatCode="&quot;$&quot;#,##0_);[Red]\(&quot;$&quot;#,##0\)"/>
      </ndxf>
    </rcc>
    <rcc rId="0" sId="7" dxf="1" numFmtId="11">
      <nc r="C1">
        <v>79727</v>
      </nc>
      <ndxf>
        <font>
          <sz val="10"/>
          <color auto="1"/>
          <name val="Arial"/>
          <scheme val="none"/>
        </font>
        <numFmt numFmtId="10" formatCode="&quot;$&quot;#,##0_);[Red]\(&quot;$&quot;#,##0\)"/>
      </ndxf>
    </rcc>
    <rcc rId="0" sId="7" dxf="1">
      <nc r="D1">
        <f>C1-B1</f>
      </nc>
      <ndxf>
        <font>
          <sz val="10"/>
          <color auto="1"/>
          <name val="Arial"/>
          <scheme val="none"/>
        </font>
        <numFmt numFmtId="10" formatCode="&quot;$&quot;#,##0_);[Red]\(&quot;$&quot;#,##0\)"/>
      </ndxf>
    </rcc>
    <rcc rId="0" sId="7" s="1" dxf="1">
      <nc r="E1">
        <f>D1/B1</f>
      </nc>
      <ndxf>
        <font>
          <sz val="10"/>
          <color auto="1"/>
          <name val="Arial"/>
          <scheme val="none"/>
        </font>
        <numFmt numFmtId="13" formatCode="0%"/>
      </ndxf>
    </rcc>
    <rcc rId="0" sId="7" dxf="1" numFmtId="11">
      <nc r="F1">
        <v>88345</v>
      </nc>
      <ndxf>
        <font>
          <sz val="10"/>
          <color auto="1"/>
          <name val="Arial"/>
          <scheme val="none"/>
        </font>
        <numFmt numFmtId="10" formatCode="&quot;$&quot;#,##0_);[Red]\(&quot;$&quot;#,##0\)"/>
      </ndxf>
    </rcc>
    <rcc rId="0" sId="7" s="1" dxf="1">
      <nc r="G1">
        <f>F1-C1</f>
      </nc>
      <ndxf>
        <font>
          <sz val="10"/>
          <color auto="1"/>
          <name val="Arial"/>
          <scheme val="none"/>
        </font>
        <numFmt numFmtId="10" formatCode="&quot;$&quot;#,##0_);[Red]\(&quot;$&quot;#,##0\)"/>
      </ndxf>
    </rcc>
    <rcc rId="0" sId="7" dxf="1">
      <nc r="H1">
        <f>G1/C1</f>
      </nc>
      <ndxf>
        <font>
          <sz val="10"/>
          <color auto="1"/>
          <name val="Arial"/>
          <scheme val="none"/>
        </font>
        <numFmt numFmtId="13" formatCode="0%"/>
      </ndxf>
    </rcc>
    <rcc rId="0" sId="7" dxf="1" numFmtId="4">
      <nc r="I1">
        <v>91592</v>
      </nc>
      <ndxf>
        <numFmt numFmtId="3" formatCode="#,##0"/>
      </ndxf>
    </rcc>
    <rcc rId="0" sId="7" dxf="1">
      <nc r="J1">
        <f>I1/B1</f>
      </nc>
      <ndxf>
        <numFmt numFmtId="164" formatCode="0.0%"/>
      </ndxf>
    </rcc>
    <rcc rId="0" sId="7" dxf="1">
      <nc r="K1" t="inlineStr">
        <is>
          <t>**</t>
        </is>
      </nc>
      <ndxf>
        <font>
          <sz val="10"/>
          <color auto="1"/>
          <name val="Arial"/>
          <scheme val="none"/>
        </font>
      </ndxf>
    </rcc>
    <rcc rId="0" sId="7" dxf="1">
      <nc r="L1">
        <f>I1/C1</f>
      </nc>
      <ndxf>
        <numFmt numFmtId="164" formatCode="0.0%"/>
      </ndxf>
    </rcc>
    <rcc rId="0" sId="7">
      <nc r="M1">
        <v>91591</v>
      </nc>
    </rcc>
    <rcc rId="0" sId="7">
      <nc r="N1">
        <v>127491</v>
      </nc>
    </rcc>
    <rcc rId="0" sId="7" dxf="1">
      <nc r="O1">
        <f>N1/M1-1</f>
      </nc>
      <ndxf>
        <numFmt numFmtId="14" formatCode="0.00%"/>
      </ndxf>
    </rcc>
  </rrc>
  <rrc rId="37313" sId="7" ref="A1:XFD1" action="deleteRow">
    <undo index="0" exp="ref" ref3D="1" v="1" dr="C1" r="C49" sId="8"/>
    <undo index="0" exp="ref" ref3D="1" v="1" dr="B1" r="B49" sId="8"/>
    <undo index="0" exp="area" dr="N1:N14" r="N15" sId="7"/>
    <undo index="0" exp="area" dr="M1:M14" r="M15" sId="7"/>
    <undo index="0" exp="area" dr="F1:F14" r="F15" sId="7"/>
    <undo index="0" exp="area" dr="C1:C14" r="C15" sId="7"/>
    <undo index="0" exp="area" dr="B1:B14" r="B15" sId="7"/>
    <rfmt sheetId="7" xfDxf="1" sqref="A1:XFD1" start="0" length="0"/>
    <rcc rId="0" sId="7" dxf="1">
      <nc r="A1" t="inlineStr">
        <is>
          <t>DC Housing Authority Subsidy</t>
        </is>
      </nc>
      <ndxf>
        <font>
          <sz val="10"/>
          <color auto="1"/>
          <name val="Arial"/>
          <scheme val="none"/>
        </font>
        <border outline="0">
          <left style="medium">
            <color indexed="64"/>
          </left>
        </border>
      </ndxf>
    </rcc>
    <rcc rId="0" sId="7" dxf="1" numFmtId="11">
      <nc r="B1">
        <v>30983</v>
      </nc>
      <ndxf>
        <font>
          <sz val="10"/>
          <color auto="1"/>
          <name val="Arial"/>
          <scheme val="none"/>
        </font>
        <numFmt numFmtId="10" formatCode="&quot;$&quot;#,##0_);[Red]\(&quot;$&quot;#,##0\)"/>
      </ndxf>
    </rcc>
    <rcc rId="0" sId="7" dxf="1" numFmtId="11">
      <nc r="C1">
        <v>30983</v>
      </nc>
      <ndxf>
        <font>
          <sz val="10"/>
          <color auto="1"/>
          <name val="Arial"/>
          <scheme val="none"/>
        </font>
        <numFmt numFmtId="10" formatCode="&quot;$&quot;#,##0_);[Red]\(&quot;$&quot;#,##0\)"/>
      </ndxf>
    </rcc>
    <rcc rId="0" sId="7" dxf="1">
      <nc r="D1">
        <f>C1-B1</f>
      </nc>
      <ndxf>
        <font>
          <sz val="10"/>
          <color auto="1"/>
          <name val="Arial"/>
          <scheme val="none"/>
        </font>
        <numFmt numFmtId="10" formatCode="&quot;$&quot;#,##0_);[Red]\(&quot;$&quot;#,##0\)"/>
      </ndxf>
    </rcc>
    <rcc rId="0" sId="7" s="1" dxf="1">
      <nc r="E1">
        <f>D1/B1</f>
      </nc>
      <ndxf>
        <font>
          <sz val="10"/>
          <color auto="1"/>
          <name val="Arial"/>
          <scheme val="none"/>
        </font>
        <numFmt numFmtId="13" formatCode="0%"/>
      </ndxf>
    </rcc>
    <rcc rId="0" sId="7" dxf="1" numFmtId="11">
      <nc r="F1">
        <v>25103</v>
      </nc>
      <ndxf>
        <font>
          <sz val="10"/>
          <color auto="1"/>
          <name val="Arial"/>
          <scheme val="none"/>
        </font>
        <numFmt numFmtId="10" formatCode="&quot;$&quot;#,##0_);[Red]\(&quot;$&quot;#,##0\)"/>
      </ndxf>
    </rcc>
    <rcc rId="0" sId="7" s="1" dxf="1">
      <nc r="G1">
        <f>F1-C1</f>
      </nc>
      <ndxf>
        <font>
          <sz val="10"/>
          <color auto="1"/>
          <name val="Arial"/>
          <scheme val="none"/>
        </font>
        <numFmt numFmtId="10" formatCode="&quot;$&quot;#,##0_);[Red]\(&quot;$&quot;#,##0\)"/>
      </ndxf>
    </rcc>
    <rcc rId="0" sId="7" dxf="1">
      <nc r="H1">
        <f>G1/C1</f>
      </nc>
      <ndxf>
        <font>
          <sz val="10"/>
          <color auto="1"/>
          <name val="Arial"/>
          <scheme val="none"/>
        </font>
        <numFmt numFmtId="13" formatCode="0%"/>
      </ndxf>
    </rcc>
    <rcc rId="0" sId="7" dxf="1" numFmtId="4">
      <nc r="I1">
        <v>27103</v>
      </nc>
      <ndxf>
        <numFmt numFmtId="3" formatCode="#,##0"/>
      </ndxf>
    </rcc>
    <rcc rId="0" sId="7" dxf="1">
      <nc r="J1">
        <f>I1/B1</f>
      </nc>
      <ndxf>
        <numFmt numFmtId="164" formatCode="0.0%"/>
      </ndxf>
    </rcc>
    <rcc rId="0" sId="7" dxf="1">
      <nc r="L1">
        <f>I1/C1</f>
      </nc>
      <ndxf>
        <numFmt numFmtId="164" formatCode="0.0%"/>
      </ndxf>
    </rcc>
    <rcc rId="0" sId="7">
      <nc r="M1">
        <v>25103</v>
      </nc>
    </rcc>
    <rcc rId="0" sId="7">
      <nc r="N1">
        <v>24823</v>
      </nc>
    </rcc>
    <rcc rId="0" sId="7" dxf="1">
      <nc r="O1">
        <f>N1/M1-1</f>
      </nc>
      <ndxf>
        <numFmt numFmtId="14" formatCode="0.00%"/>
      </ndxf>
    </rcc>
  </rrc>
  <rrc rId="37314" sId="7" ref="A1:XFD1" action="deleteRow">
    <undo index="0" exp="ref" ref3D="1" v="1" dr="C1" r="C50" sId="8"/>
    <undo index="0" exp="ref" ref3D="1" v="1" dr="B1" r="B50" sId="8"/>
    <undo index="0" exp="area" dr="N1:N13" r="N14" sId="7"/>
    <undo index="0" exp="area" dr="M1:M13" r="M14" sId="7"/>
    <undo index="0" exp="area" dr="F1:F13" r="F14" sId="7"/>
    <undo index="0" exp="area" dr="C1:C13" r="C14" sId="7"/>
    <undo index="0" exp="area" dr="B1:B13" r="B14" sId="7"/>
    <rfmt sheetId="7" xfDxf="1" sqref="A1:XFD1" start="0" length="0"/>
    <rcc rId="0" sId="7" dxf="1">
      <nc r="A1" t="inlineStr">
        <is>
          <t>Department of Employment Services</t>
        </is>
      </nc>
      <ndxf>
        <font>
          <sz val="10"/>
          <color auto="1"/>
          <name val="Arial"/>
          <scheme val="none"/>
        </font>
        <border outline="0">
          <left style="medium">
            <color indexed="64"/>
          </left>
        </border>
      </ndxf>
    </rcc>
    <rcc rId="0" sId="7" dxf="1" numFmtId="11">
      <nc r="B1">
        <v>141395</v>
      </nc>
      <ndxf>
        <font>
          <sz val="10"/>
          <color auto="1"/>
          <name val="Arial"/>
          <scheme val="none"/>
        </font>
        <numFmt numFmtId="10" formatCode="&quot;$&quot;#,##0_);[Red]\(&quot;$&quot;#,##0\)"/>
      </ndxf>
    </rcc>
    <rcc rId="0" sId="7" dxf="1" numFmtId="11">
      <nc r="C1">
        <v>128071</v>
      </nc>
      <ndxf>
        <font>
          <sz val="10"/>
          <color auto="1"/>
          <name val="Arial"/>
          <scheme val="none"/>
        </font>
        <numFmt numFmtId="10" formatCode="&quot;$&quot;#,##0_);[Red]\(&quot;$&quot;#,##0\)"/>
      </ndxf>
    </rcc>
    <rcc rId="0" sId="7" dxf="1">
      <nc r="D1">
        <f>C1-B1</f>
      </nc>
      <ndxf>
        <font>
          <sz val="10"/>
          <color auto="1"/>
          <name val="Arial"/>
          <scheme val="none"/>
        </font>
        <numFmt numFmtId="10" formatCode="&quot;$&quot;#,##0_);[Red]\(&quot;$&quot;#,##0\)"/>
      </ndxf>
    </rcc>
    <rcc rId="0" sId="7" s="1" dxf="1">
      <nc r="E1">
        <f>D1/B1</f>
      </nc>
      <ndxf>
        <font>
          <sz val="10"/>
          <color auto="1"/>
          <name val="Arial"/>
          <scheme val="none"/>
        </font>
        <numFmt numFmtId="13" formatCode="0%"/>
      </ndxf>
    </rcc>
    <rcc rId="0" sId="7" dxf="1" numFmtId="11">
      <nc r="F1">
        <v>156325</v>
      </nc>
      <ndxf>
        <font>
          <sz val="10"/>
          <color auto="1"/>
          <name val="Arial"/>
          <scheme val="none"/>
        </font>
        <numFmt numFmtId="10" formatCode="&quot;$&quot;#,##0_);[Red]\(&quot;$&quot;#,##0\)"/>
      </ndxf>
    </rcc>
    <rcc rId="0" sId="7" s="1" dxf="1">
      <nc r="G1">
        <f>F1-C1</f>
      </nc>
      <ndxf>
        <font>
          <sz val="10"/>
          <color auto="1"/>
          <name val="Arial"/>
          <scheme val="none"/>
        </font>
        <numFmt numFmtId="10" formatCode="&quot;$&quot;#,##0_);[Red]\(&quot;$&quot;#,##0\)"/>
      </ndxf>
    </rcc>
    <rcc rId="0" sId="7" dxf="1">
      <nc r="H1">
        <f>G1/C1</f>
      </nc>
      <ndxf>
        <font>
          <sz val="10"/>
          <color auto="1"/>
          <name val="Arial"/>
          <scheme val="none"/>
        </font>
        <numFmt numFmtId="13" formatCode="0%"/>
      </ndxf>
    </rcc>
    <rcc rId="0" sId="7" dxf="1" numFmtId="4">
      <nc r="I1">
        <v>144126</v>
      </nc>
      <ndxf>
        <numFmt numFmtId="3" formatCode="#,##0"/>
      </ndxf>
    </rcc>
    <rcc rId="0" sId="7" dxf="1">
      <nc r="J1">
        <f>I1/B1</f>
      </nc>
      <ndxf>
        <numFmt numFmtId="164" formatCode="0.0%"/>
      </ndxf>
    </rcc>
    <rcc rId="0" sId="7" dxf="1">
      <nc r="K1" t="inlineStr">
        <is>
          <t>*</t>
        </is>
      </nc>
      <ndxf>
        <font>
          <sz val="10"/>
          <color auto="1"/>
          <name val="Arial"/>
          <scheme val="none"/>
        </font>
      </ndxf>
    </rcc>
    <rcc rId="0" sId="7" dxf="1">
      <nc r="L1">
        <f>I1/C1</f>
      </nc>
      <ndxf>
        <numFmt numFmtId="164" formatCode="0.0%"/>
        <border outline="0">
          <bottom style="medium">
            <color indexed="64"/>
          </bottom>
        </border>
      </ndxf>
    </rcc>
    <rcc rId="0" sId="7">
      <nc r="M1">
        <v>141439</v>
      </nc>
    </rcc>
    <rcc rId="0" sId="7">
      <nc r="N1">
        <v>121650</v>
      </nc>
    </rcc>
    <rcc rId="0" sId="7" dxf="1">
      <nc r="O1">
        <f>N1/M1-1</f>
      </nc>
      <ndxf>
        <numFmt numFmtId="14" formatCode="0.00%"/>
      </ndxf>
    </rcc>
  </rrc>
  <rrc rId="37315" sId="7" ref="A1:XFD1" action="deleteRow">
    <undo index="0" exp="ref" ref3D="1" v="1" dr="C1" r="C51" sId="8"/>
    <undo index="0" exp="ref" ref3D="1" v="1" dr="B1" r="B51" sId="8"/>
    <undo index="0" exp="area" dr="N1:N12" r="N13" sId="7"/>
    <undo index="0" exp="area" dr="M1:M12" r="M13" sId="7"/>
    <undo index="0" exp="area" dr="F1:F12" r="F13" sId="7"/>
    <undo index="0" exp="area" dr="C1:C12" r="C13" sId="7"/>
    <undo index="0" exp="area" dr="B1:B12" r="B13" sId="7"/>
    <rfmt sheetId="7" xfDxf="1" sqref="A1:XFD1" start="0" length="0"/>
    <rcc rId="0" sId="7" dxf="1">
      <nc r="A1" t="inlineStr">
        <is>
          <t xml:space="preserve">Board of Real Property Assessments and Appeals </t>
        </is>
      </nc>
      <ndxf>
        <font>
          <sz val="10"/>
          <color auto="1"/>
          <name val="Arial"/>
          <scheme val="none"/>
        </font>
        <border outline="0">
          <left style="medium">
            <color indexed="64"/>
          </left>
        </border>
      </ndxf>
    </rcc>
    <rcc rId="0" sId="7" dxf="1" numFmtId="11">
      <nc r="B1">
        <v>693</v>
      </nc>
      <ndxf>
        <font>
          <sz val="10"/>
          <color auto="1"/>
          <name val="Arial"/>
          <scheme val="none"/>
        </font>
        <numFmt numFmtId="10" formatCode="&quot;$&quot;#,##0_);[Red]\(&quot;$&quot;#,##0\)"/>
      </ndxf>
    </rcc>
    <rcc rId="0" sId="7" dxf="1" numFmtId="11">
      <nc r="C1">
        <v>708</v>
      </nc>
      <ndxf>
        <font>
          <sz val="10"/>
          <color auto="1"/>
          <name val="Arial"/>
          <scheme val="none"/>
        </font>
        <numFmt numFmtId="10" formatCode="&quot;$&quot;#,##0_);[Red]\(&quot;$&quot;#,##0\)"/>
      </ndxf>
    </rcc>
    <rcc rId="0" sId="7" dxf="1">
      <nc r="D1">
        <f>C1-B1</f>
      </nc>
      <ndxf>
        <font>
          <sz val="10"/>
          <color auto="1"/>
          <name val="Arial"/>
          <scheme val="none"/>
        </font>
        <numFmt numFmtId="10" formatCode="&quot;$&quot;#,##0_);[Red]\(&quot;$&quot;#,##0\)"/>
      </ndxf>
    </rcc>
    <rcc rId="0" sId="7" s="1" dxf="1">
      <nc r="E1">
        <f>D1/B1</f>
      </nc>
      <ndxf>
        <font>
          <sz val="10"/>
          <color auto="1"/>
          <name val="Arial"/>
          <scheme val="none"/>
        </font>
        <numFmt numFmtId="13" formatCode="0%"/>
      </ndxf>
    </rcc>
    <rcc rId="0" sId="7" dxf="1" numFmtId="11">
      <nc r="F1">
        <v>698</v>
      </nc>
      <ndxf>
        <font>
          <sz val="10"/>
          <color auto="1"/>
          <name val="Arial"/>
          <scheme val="none"/>
        </font>
        <numFmt numFmtId="10" formatCode="&quot;$&quot;#,##0_);[Red]\(&quot;$&quot;#,##0\)"/>
      </ndxf>
    </rcc>
    <rcc rId="0" sId="7" s="1" dxf="1">
      <nc r="G1">
        <f>F1-C1</f>
      </nc>
      <ndxf>
        <font>
          <sz val="10"/>
          <color auto="1"/>
          <name val="Arial"/>
          <scheme val="none"/>
        </font>
        <numFmt numFmtId="10" formatCode="&quot;$&quot;#,##0_);[Red]\(&quot;$&quot;#,##0\)"/>
      </ndxf>
    </rcc>
    <rcc rId="0" sId="7" dxf="1">
      <nc r="H1">
        <f>G1/C1</f>
      </nc>
      <ndxf>
        <font>
          <sz val="10"/>
          <color auto="1"/>
          <name val="Arial"/>
          <scheme val="none"/>
        </font>
        <numFmt numFmtId="13" formatCode="0%"/>
      </ndxf>
    </rcc>
    <rcc rId="0" sId="7" dxf="1" numFmtId="4">
      <nc r="I1">
        <v>698</v>
      </nc>
      <ndxf>
        <numFmt numFmtId="3" formatCode="#,##0"/>
      </ndxf>
    </rcc>
    <rcc rId="0" sId="7" dxf="1">
      <nc r="J1">
        <f>I1/B1</f>
      </nc>
      <ndxf>
        <numFmt numFmtId="164" formatCode="0.0%"/>
      </ndxf>
    </rcc>
    <rcc rId="0" sId="7" dxf="1">
      <nc r="K1" t="inlineStr">
        <is>
          <t>*</t>
        </is>
      </nc>
      <ndxf>
        <font>
          <sz val="10"/>
          <color auto="1"/>
          <name val="Arial"/>
          <scheme val="none"/>
        </font>
      </ndxf>
    </rcc>
    <rcc rId="0" sId="7" dxf="1">
      <nc r="L1">
        <f>I1/C1</f>
      </nc>
      <ndxf>
        <numFmt numFmtId="164" formatCode="0.0%"/>
      </ndxf>
    </rcc>
    <rcc rId="0" sId="7">
      <nc r="M1">
        <v>698</v>
      </nc>
    </rcc>
    <rcc rId="0" sId="7">
      <nc r="N1">
        <v>734</v>
      </nc>
    </rcc>
    <rcc rId="0" sId="7" dxf="1">
      <nc r="O1">
        <f>N1/M1-1</f>
      </nc>
      <ndxf>
        <numFmt numFmtId="14" formatCode="0.00%"/>
      </ndxf>
    </rcc>
  </rrc>
  <rrc rId="37316" sId="7" ref="A1:XFD1" action="deleteRow">
    <undo index="0" exp="ref" ref3D="1" v="1" dr="C1" r="C52" sId="8"/>
    <undo index="0" exp="ref" ref3D="1" v="1" dr="B1" r="B52" sId="8"/>
    <undo index="0" exp="area" dr="N1:N11" r="N12" sId="7"/>
    <undo index="0" exp="area" dr="M1:M11" r="M12" sId="7"/>
    <undo index="0" exp="area" dr="F1:F11" r="F12" sId="7"/>
    <undo index="0" exp="area" dr="C1:C11" r="C12" sId="7"/>
    <undo index="0" exp="area" dr="B1:B11" r="B12" sId="7"/>
    <rfmt sheetId="7" xfDxf="1" sqref="A1:XFD1" start="0" length="0"/>
    <rcc rId="0" sId="7" dxf="1">
      <nc r="A1" t="inlineStr">
        <is>
          <t>Department of Consumer and Regulatory Affairs</t>
        </is>
      </nc>
      <ndxf>
        <font>
          <sz val="10"/>
          <color auto="1"/>
          <name val="Arial"/>
          <scheme val="none"/>
        </font>
      </ndxf>
    </rcc>
    <rcc rId="0" sId="7" dxf="1" numFmtId="11">
      <nc r="B1">
        <v>37395</v>
      </nc>
      <ndxf>
        <font>
          <sz val="10"/>
          <color auto="1"/>
          <name val="Arial"/>
          <scheme val="none"/>
        </font>
        <numFmt numFmtId="10" formatCode="&quot;$&quot;#,##0_);[Red]\(&quot;$&quot;#,##0\)"/>
      </ndxf>
    </rcc>
    <rcc rId="0" sId="7" dxf="1" numFmtId="11">
      <nc r="C1">
        <v>36938</v>
      </nc>
      <ndxf>
        <font>
          <sz val="10"/>
          <color auto="1"/>
          <name val="Arial"/>
          <scheme val="none"/>
        </font>
        <numFmt numFmtId="10" formatCode="&quot;$&quot;#,##0_);[Red]\(&quot;$&quot;#,##0\)"/>
      </ndxf>
    </rcc>
    <rcc rId="0" sId="7" dxf="1">
      <nc r="D1">
        <f>C1-B1</f>
      </nc>
      <ndxf>
        <font>
          <sz val="10"/>
          <color auto="1"/>
          <name val="Arial"/>
          <scheme val="none"/>
        </font>
        <numFmt numFmtId="10" formatCode="&quot;$&quot;#,##0_);[Red]\(&quot;$&quot;#,##0\)"/>
      </ndxf>
    </rcc>
    <rcc rId="0" sId="7" s="1" dxf="1">
      <nc r="E1">
        <f>D1/B1</f>
      </nc>
      <ndxf>
        <font>
          <sz val="10"/>
          <color auto="1"/>
          <name val="Arial"/>
          <scheme val="none"/>
        </font>
        <numFmt numFmtId="13" formatCode="0%"/>
      </ndxf>
    </rcc>
    <rcc rId="0" sId="7" dxf="1" numFmtId="11">
      <nc r="F1">
        <v>9999</v>
      </nc>
      <ndxf>
        <font>
          <sz val="10"/>
          <color auto="1"/>
          <name val="Arial"/>
          <scheme val="none"/>
        </font>
        <numFmt numFmtId="10" formatCode="&quot;$&quot;#,##0_);[Red]\(&quot;$&quot;#,##0\)"/>
      </ndxf>
    </rcc>
    <rcc rId="0" sId="7" s="1" dxf="1">
      <nc r="G1">
        <f>F1-C1</f>
      </nc>
      <ndxf>
        <font>
          <sz val="10"/>
          <color auto="1"/>
          <name val="Arial"/>
          <scheme val="none"/>
        </font>
        <numFmt numFmtId="10" formatCode="&quot;$&quot;#,##0_);[Red]\(&quot;$&quot;#,##0\)"/>
      </ndxf>
    </rcc>
    <rcc rId="0" sId="7" dxf="1">
      <nc r="H1">
        <f>G1/C1</f>
      </nc>
      <ndxf>
        <font>
          <sz val="10"/>
          <color auto="1"/>
          <name val="Arial"/>
          <scheme val="none"/>
        </font>
        <numFmt numFmtId="13" formatCode="0%"/>
      </ndxf>
    </rcc>
    <rcc rId="0" sId="7" dxf="1" numFmtId="4">
      <nc r="I1">
        <v>36729</v>
      </nc>
      <ndxf>
        <numFmt numFmtId="3" formatCode="#,##0"/>
      </ndxf>
    </rcc>
    <rcc rId="0" sId="7" dxf="1">
      <nc r="J1">
        <f>I1/B1</f>
      </nc>
      <ndxf>
        <numFmt numFmtId="164" formatCode="0.0%"/>
      </ndxf>
    </rcc>
    <rcc rId="0" sId="7" dxf="1">
      <nc r="K1" t="inlineStr">
        <is>
          <t>*</t>
        </is>
      </nc>
      <ndxf>
        <font>
          <sz val="10"/>
          <color auto="1"/>
          <name val="Arial"/>
          <scheme val="none"/>
        </font>
      </ndxf>
    </rcc>
    <rcc rId="0" sId="7" dxf="1">
      <nc r="L1">
        <f>I1/C1</f>
      </nc>
      <ndxf>
        <numFmt numFmtId="164" formatCode="0.0%"/>
      </ndxf>
    </rcc>
    <rcc rId="0" sId="7">
      <nc r="M1">
        <v>35133</v>
      </nc>
    </rcc>
    <rcc rId="0" sId="7">
      <nc r="N1">
        <v>25592</v>
      </nc>
    </rcc>
    <rcc rId="0" sId="7" dxf="1">
      <nc r="O1">
        <f>N1/M1-1</f>
      </nc>
      <ndxf>
        <numFmt numFmtId="14" formatCode="0.00%"/>
      </ndxf>
    </rcc>
  </rrc>
  <rrc rId="37317" sId="7" ref="A1:XFD1" action="deleteRow">
    <undo index="0" exp="ref" ref3D="1" v="1" dr="C1" r="C53" sId="8"/>
    <undo index="0" exp="ref" ref3D="1" v="1" dr="B1" r="B53" sId="8"/>
    <undo index="0" exp="area" dr="N1:N10" r="N11" sId="7"/>
    <undo index="0" exp="area" dr="M1:M10" r="M11" sId="7"/>
    <undo index="0" exp="area" dr="F1:F10" r="F11" sId="7"/>
    <undo index="0" exp="area" dr="C1:C10" r="C11" sId="7"/>
    <undo index="0" exp="area" dr="B1:B10" r="B11" sId="7"/>
    <rfmt sheetId="7" xfDxf="1" sqref="A1:XFD1" start="0" length="0"/>
    <rcc rId="0" sId="7" dxf="1">
      <nc r="A1" t="inlineStr">
        <is>
          <t>Office of the Tenant Advocate***</t>
        </is>
      </nc>
      <ndxf>
        <font>
          <sz val="10"/>
          <color auto="1"/>
          <name val="Arial"/>
          <scheme val="none"/>
        </font>
      </ndxf>
    </rcc>
    <rcc rId="0" sId="7" dxf="1" numFmtId="11">
      <nc r="B1">
        <v>1523</v>
      </nc>
      <ndxf>
        <font>
          <sz val="10"/>
          <color auto="1"/>
          <name val="Arial"/>
          <scheme val="none"/>
        </font>
        <numFmt numFmtId="10" formatCode="&quot;$&quot;#,##0_);[Red]\(&quot;$&quot;#,##0\)"/>
      </ndxf>
    </rcc>
    <rcc rId="0" sId="7" dxf="1" numFmtId="11">
      <nc r="C1">
        <v>2530</v>
      </nc>
      <ndxf>
        <font>
          <sz val="10"/>
          <color auto="1"/>
          <name val="Arial"/>
          <scheme val="none"/>
        </font>
        <numFmt numFmtId="10" formatCode="&quot;$&quot;#,##0_);[Red]\(&quot;$&quot;#,##0\)"/>
      </ndxf>
    </rcc>
    <rcc rId="0" sId="7" dxf="1">
      <nc r="D1">
        <f>C1-B1</f>
      </nc>
      <ndxf>
        <font>
          <sz val="10"/>
          <color auto="1"/>
          <name val="Arial"/>
          <scheme val="none"/>
        </font>
        <numFmt numFmtId="10" formatCode="&quot;$&quot;#,##0_);[Red]\(&quot;$&quot;#,##0\)"/>
      </ndxf>
    </rcc>
    <rcc rId="0" sId="7" s="1" dxf="1">
      <nc r="E1">
        <f>D1/B1</f>
      </nc>
      <ndxf>
        <font>
          <sz val="10"/>
          <color auto="1"/>
          <name val="Arial"/>
          <scheme val="none"/>
        </font>
        <numFmt numFmtId="13" formatCode="0%"/>
      </ndxf>
    </rcc>
    <rcc rId="0" sId="7" dxf="1" numFmtId="11">
      <nc r="F1">
        <v>3647</v>
      </nc>
      <ndxf>
        <font>
          <sz val="10"/>
          <color auto="1"/>
          <name val="Arial"/>
          <scheme val="none"/>
        </font>
        <numFmt numFmtId="10" formatCode="&quot;$&quot;#,##0_);[Red]\(&quot;$&quot;#,##0\)"/>
      </ndxf>
    </rcc>
    <rcc rId="0" sId="7" s="1" dxf="1">
      <nc r="G1">
        <f>F1-C1</f>
      </nc>
      <ndxf>
        <font>
          <sz val="10"/>
          <color auto="1"/>
          <name val="Arial"/>
          <scheme val="none"/>
        </font>
        <numFmt numFmtId="10" formatCode="&quot;$&quot;#,##0_);[Red]\(&quot;$&quot;#,##0\)"/>
      </ndxf>
    </rcc>
    <rcc rId="0" sId="7" dxf="1">
      <nc r="H1">
        <f>G1/C1</f>
      </nc>
      <ndxf>
        <font>
          <sz val="10"/>
          <color auto="1"/>
          <name val="Arial"/>
          <scheme val="none"/>
        </font>
        <numFmt numFmtId="13" formatCode="0%"/>
      </ndxf>
    </rcc>
    <rcc rId="0" sId="7" dxf="1" numFmtId="4">
      <nc r="I1">
        <v>3745</v>
      </nc>
      <ndxf>
        <numFmt numFmtId="3" formatCode="#,##0"/>
      </ndxf>
    </rcc>
    <rcc rId="0" sId="7" dxf="1">
      <nc r="J1">
        <f>I1/B1</f>
      </nc>
      <ndxf>
        <numFmt numFmtId="164" formatCode="0.0%"/>
      </ndxf>
    </rcc>
    <rcc rId="0" sId="7" dxf="1">
      <nc r="K1" t="inlineStr">
        <is>
          <t>***</t>
        </is>
      </nc>
      <ndxf>
        <font>
          <sz val="10"/>
          <color auto="1"/>
          <name val="Arial"/>
          <scheme val="none"/>
        </font>
      </ndxf>
    </rcc>
    <rcc rId="0" sId="7" dxf="1">
      <nc r="L1">
        <f>I1/C1</f>
      </nc>
      <ndxf>
        <numFmt numFmtId="164" formatCode="0.0%"/>
      </ndxf>
    </rcc>
    <rcc rId="0" sId="7">
      <nc r="M1">
        <v>3567</v>
      </nc>
    </rcc>
    <rcc rId="0" sId="7">
      <nc r="N1">
        <v>1570</v>
      </nc>
    </rcc>
    <rcc rId="0" sId="7" dxf="1">
      <nc r="O1">
        <f>N1/M1-1</f>
      </nc>
      <ndxf>
        <numFmt numFmtId="14" formatCode="0.00%"/>
      </ndxf>
    </rcc>
  </rrc>
  <rrc rId="37318" sId="7" ref="A1:XFD1" action="deleteRow">
    <undo index="0" exp="ref" ref3D="1" v="1" dr="C1" r="C54" sId="8"/>
    <undo index="0" exp="ref" ref3D="1" v="1" dr="B1" r="B54" sId="8"/>
    <undo index="0" exp="area" dr="N1:N9" r="N10" sId="7"/>
    <undo index="0" exp="area" dr="M1:M9" r="M10" sId="7"/>
    <undo index="0" exp="area" dr="F1:F9" r="F10" sId="7"/>
    <undo index="0" exp="area" dr="C1:C9" r="C10" sId="7"/>
    <undo index="0" exp="area" dr="B1:B9" r="B10" sId="7"/>
    <rfmt sheetId="7" xfDxf="1" sqref="A1:XFD1" start="0" length="0"/>
    <rcc rId="0" sId="7" dxf="1">
      <nc r="A1" t="inlineStr">
        <is>
          <t>Commission of the Arts and Humanities</t>
        </is>
      </nc>
      <ndxf>
        <font>
          <sz val="10"/>
          <color auto="1"/>
          <name val="Arial"/>
          <scheme val="none"/>
        </font>
      </ndxf>
    </rcc>
    <rcc rId="0" sId="7" dxf="1" numFmtId="11">
      <nc r="B1">
        <v>10483</v>
      </nc>
      <ndxf>
        <font>
          <sz val="10"/>
          <color auto="1"/>
          <name val="Arial"/>
          <scheme val="none"/>
        </font>
        <numFmt numFmtId="10" formatCode="&quot;$&quot;#,##0_);[Red]\(&quot;$&quot;#,##0\)"/>
      </ndxf>
    </rcc>
    <rcc rId="0" sId="7" dxf="1" numFmtId="11">
      <nc r="C1">
        <v>14227</v>
      </nc>
      <ndxf>
        <font>
          <sz val="10"/>
          <color auto="1"/>
          <name val="Arial"/>
          <scheme val="none"/>
        </font>
        <numFmt numFmtId="10" formatCode="&quot;$&quot;#,##0_);[Red]\(&quot;$&quot;#,##0\)"/>
      </ndxf>
    </rcc>
    <rcc rId="0" sId="7" dxf="1">
      <nc r="D1">
        <f>C1-B1</f>
      </nc>
      <ndxf>
        <font>
          <sz val="10"/>
          <color auto="1"/>
          <name val="Arial"/>
          <scheme val="none"/>
        </font>
        <numFmt numFmtId="10" formatCode="&quot;$&quot;#,##0_);[Red]\(&quot;$&quot;#,##0\)"/>
      </ndxf>
    </rcc>
    <rcc rId="0" sId="7" s="1" dxf="1">
      <nc r="E1">
        <f>D1/B1</f>
      </nc>
      <ndxf>
        <font>
          <sz val="10"/>
          <color auto="1"/>
          <name val="Arial"/>
          <scheme val="none"/>
        </font>
        <numFmt numFmtId="13" formatCode="0%"/>
      </ndxf>
    </rcc>
    <rcc rId="0" sId="7" dxf="1" numFmtId="11">
      <nc r="F1">
        <v>7353</v>
      </nc>
      <ndxf>
        <font>
          <sz val="10"/>
          <color auto="1"/>
          <name val="Arial"/>
          <scheme val="none"/>
        </font>
        <numFmt numFmtId="10" formatCode="&quot;$&quot;#,##0_);[Red]\(&quot;$&quot;#,##0\)"/>
      </ndxf>
    </rcc>
    <rcc rId="0" sId="7" s="1" dxf="1">
      <nc r="G1">
        <f>F1-C1</f>
      </nc>
      <ndxf>
        <font>
          <sz val="10"/>
          <color auto="1"/>
          <name val="Arial"/>
          <scheme val="none"/>
        </font>
        <numFmt numFmtId="10" formatCode="&quot;$&quot;#,##0_);[Red]\(&quot;$&quot;#,##0\)"/>
      </ndxf>
    </rcc>
    <rcc rId="0" sId="7" dxf="1">
      <nc r="H1">
        <f>G1/C1</f>
      </nc>
      <ndxf>
        <font>
          <sz val="10"/>
          <color auto="1"/>
          <name val="Arial"/>
          <scheme val="none"/>
        </font>
        <numFmt numFmtId="13" formatCode="0%"/>
      </ndxf>
    </rcc>
    <rcc rId="0" sId="7" dxf="1" numFmtId="4">
      <nc r="I1">
        <v>12392</v>
      </nc>
      <ndxf>
        <numFmt numFmtId="3" formatCode="#,##0"/>
      </ndxf>
    </rcc>
    <rcc rId="0" sId="7" dxf="1">
      <nc r="J1">
        <f>I1/B1</f>
      </nc>
      <ndxf>
        <numFmt numFmtId="164" formatCode="0.0%"/>
      </ndxf>
    </rcc>
    <rcc rId="0" sId="7" dxf="1">
      <nc r="K1" t="inlineStr">
        <is>
          <t>***</t>
        </is>
      </nc>
      <ndxf>
        <font>
          <sz val="10"/>
          <color auto="1"/>
          <name val="Arial"/>
          <scheme val="none"/>
        </font>
      </ndxf>
    </rcc>
    <rcc rId="0" sId="7" dxf="1">
      <nc r="L1">
        <f>I1/C1</f>
      </nc>
      <ndxf>
        <numFmt numFmtId="164" formatCode="0.0%"/>
      </ndxf>
    </rcc>
    <rcc rId="0" sId="7">
      <nc r="M1">
        <v>6578</v>
      </nc>
    </rcc>
    <rcc rId="0" sId="7">
      <nc r="N1">
        <v>5877</v>
      </nc>
    </rcc>
    <rcc rId="0" sId="7" dxf="1">
      <nc r="O1">
        <f>N1/M1-1</f>
      </nc>
      <ndxf>
        <numFmt numFmtId="14" formatCode="0.00%"/>
      </ndxf>
    </rcc>
  </rrc>
  <rrc rId="37319" sId="7" ref="A1:XFD1" action="deleteRow">
    <undo index="0" exp="ref" ref3D="1" v="1" dr="C1" r="C55" sId="8"/>
    <undo index="0" exp="ref" ref3D="1" v="1" dr="B1" r="B55" sId="8"/>
    <undo index="0" exp="area" dr="N1:N8" r="N9" sId="7"/>
    <undo index="0" exp="area" dr="M1:M8" r="M9" sId="7"/>
    <undo index="0" exp="area" dr="F1:F8" r="F9" sId="7"/>
    <undo index="0" exp="area" dr="C1:C8" r="C9" sId="7"/>
    <undo index="0" exp="area" dr="B1:B8" r="B9" sId="7"/>
    <rfmt sheetId="7" xfDxf="1" sqref="A1:XFD1" start="0" length="0"/>
    <rcc rId="0" sId="7" dxf="1">
      <nc r="A1" t="inlineStr">
        <is>
          <t>Alcoholic Beverage Regulation Administration</t>
        </is>
      </nc>
      <ndxf>
        <font>
          <sz val="10"/>
          <color auto="1"/>
          <name val="Arial"/>
          <scheme val="none"/>
        </font>
      </ndxf>
    </rcc>
    <rcc rId="0" sId="7" dxf="1" numFmtId="11">
      <nc r="B1">
        <v>5276</v>
      </nc>
      <ndxf>
        <font>
          <sz val="10"/>
          <color auto="1"/>
          <name val="Arial"/>
          <scheme val="none"/>
        </font>
        <numFmt numFmtId="10" formatCode="&quot;$&quot;#,##0_);[Red]\(&quot;$&quot;#,##0\)"/>
      </ndxf>
    </rcc>
    <rcc rId="0" sId="7" dxf="1" numFmtId="11">
      <nc r="C1">
        <v>6441</v>
      </nc>
      <ndxf>
        <font>
          <sz val="10"/>
          <color auto="1"/>
          <name val="Arial"/>
          <scheme val="none"/>
        </font>
        <numFmt numFmtId="10" formatCode="&quot;$&quot;#,##0_);[Red]\(&quot;$&quot;#,##0\)"/>
      </ndxf>
    </rcc>
    <rcc rId="0" sId="7" dxf="1">
      <nc r="D1">
        <f>C1-B1</f>
      </nc>
      <ndxf>
        <font>
          <sz val="10"/>
          <color auto="1"/>
          <name val="Arial"/>
          <scheme val="none"/>
        </font>
        <numFmt numFmtId="10" formatCode="&quot;$&quot;#,##0_);[Red]\(&quot;$&quot;#,##0\)"/>
      </ndxf>
    </rcc>
    <rcc rId="0" sId="7" s="1" dxf="1">
      <nc r="E1">
        <f>D1/B1</f>
      </nc>
      <ndxf>
        <font>
          <sz val="10"/>
          <color auto="1"/>
          <name val="Arial"/>
          <scheme val="none"/>
        </font>
        <numFmt numFmtId="13" formatCode="0%"/>
      </ndxf>
    </rcc>
    <rcc rId="0" sId="7" dxf="1" numFmtId="11">
      <nc r="F1">
        <v>5506</v>
      </nc>
      <ndxf>
        <font>
          <sz val="10"/>
          <color auto="1"/>
          <name val="Arial"/>
          <scheme val="none"/>
        </font>
        <numFmt numFmtId="10" formatCode="&quot;$&quot;#,##0_);[Red]\(&quot;$&quot;#,##0\)"/>
      </ndxf>
    </rcc>
    <rcc rId="0" sId="7" s="1" dxf="1">
      <nc r="G1">
        <f>F1-C1</f>
      </nc>
      <ndxf>
        <font>
          <sz val="10"/>
          <color auto="1"/>
          <name val="Arial"/>
          <scheme val="none"/>
        </font>
        <numFmt numFmtId="10" formatCode="&quot;$&quot;#,##0_);[Red]\(&quot;$&quot;#,##0\)"/>
      </ndxf>
    </rcc>
    <rcc rId="0" sId="7" dxf="1">
      <nc r="H1">
        <f>G1/C1</f>
      </nc>
      <ndxf>
        <font>
          <sz val="10"/>
          <color auto="1"/>
          <name val="Arial"/>
          <scheme val="none"/>
        </font>
        <numFmt numFmtId="13" formatCode="0%"/>
      </ndxf>
    </rcc>
    <rcc rId="0" sId="7" dxf="1" numFmtId="4">
      <nc r="I1">
        <v>10348</v>
      </nc>
      <ndxf>
        <numFmt numFmtId="3" formatCode="#,##0"/>
      </ndxf>
    </rcc>
    <rcc rId="0" sId="7" dxf="1">
      <nc r="J1">
        <f>I1/B1</f>
      </nc>
      <ndxf>
        <numFmt numFmtId="164" formatCode="0.0%"/>
      </ndxf>
    </rcc>
    <rcc rId="0" sId="7" dxf="1">
      <nc r="K1" t="inlineStr">
        <is>
          <t>**</t>
        </is>
      </nc>
      <ndxf>
        <font>
          <sz val="10"/>
          <color auto="1"/>
          <name val="Arial"/>
          <scheme val="none"/>
        </font>
      </ndxf>
    </rcc>
    <rcc rId="0" sId="7" dxf="1">
      <nc r="L1">
        <f>I1/C1</f>
      </nc>
      <ndxf>
        <numFmt numFmtId="164" formatCode="0.0%"/>
      </ndxf>
    </rcc>
    <rcc rId="0" sId="7">
      <nc r="M1">
        <v>5886</v>
      </nc>
    </rcc>
    <rcc rId="0" sId="7">
      <nc r="N1">
        <v>5194</v>
      </nc>
    </rcc>
    <rcc rId="0" sId="7" dxf="1">
      <nc r="O1">
        <f>N1/M1-1</f>
      </nc>
      <ndxf>
        <numFmt numFmtId="14" formatCode="0.00%"/>
      </ndxf>
    </rcc>
  </rrc>
  <rrc rId="37320" sId="7" ref="A1:XFD1" action="deleteRow">
    <undo index="0" exp="ref" ref3D="1" v="1" dr="C1" r="C56" sId="8"/>
    <undo index="0" exp="ref" ref3D="1" v="1" dr="B1" r="B56" sId="8"/>
    <undo index="0" exp="area" dr="N1:N7" r="N8" sId="7"/>
    <undo index="0" exp="area" dr="M1:M7" r="M8" sId="7"/>
    <undo index="0" exp="area" dr="F1:F7" r="F8" sId="7"/>
    <undo index="0" exp="area" dr="C1:C7" r="C8" sId="7"/>
    <undo index="0" exp="area" dr="B1:B7" r="B8" sId="7"/>
    <rfmt sheetId="7" xfDxf="1" sqref="A1:XFD1" start="0" length="0"/>
    <rcc rId="0" sId="7" dxf="1">
      <nc r="A1" t="inlineStr">
        <is>
          <t>Public Service Commission</t>
        </is>
      </nc>
      <ndxf>
        <font>
          <sz val="10"/>
          <color auto="1"/>
          <name val="Arial"/>
          <scheme val="none"/>
        </font>
      </ndxf>
    </rcc>
    <rcc rId="0" sId="7" dxf="1" numFmtId="11">
      <nc r="B1">
        <v>8695</v>
      </nc>
      <ndxf>
        <font>
          <sz val="10"/>
          <color auto="1"/>
          <name val="Arial"/>
          <scheme val="none"/>
        </font>
        <numFmt numFmtId="10" formatCode="&quot;$&quot;#,##0_);[Red]\(&quot;$&quot;#,##0\)"/>
      </ndxf>
    </rcc>
    <rcc rId="0" sId="7" dxf="1" numFmtId="11">
      <nc r="C1">
        <v>9972</v>
      </nc>
      <ndxf>
        <font>
          <sz val="10"/>
          <color auto="1"/>
          <name val="Arial"/>
          <scheme val="none"/>
        </font>
        <numFmt numFmtId="10" formatCode="&quot;$&quot;#,##0_);[Red]\(&quot;$&quot;#,##0\)"/>
      </ndxf>
    </rcc>
    <rcc rId="0" sId="7" dxf="1">
      <nc r="D1">
        <f>C1-B1</f>
      </nc>
      <ndxf>
        <font>
          <sz val="10"/>
          <color auto="1"/>
          <name val="Arial"/>
          <scheme val="none"/>
        </font>
        <numFmt numFmtId="10" formatCode="&quot;$&quot;#,##0_);[Red]\(&quot;$&quot;#,##0\)"/>
      </ndxf>
    </rcc>
    <rcc rId="0" sId="7" s="1" dxf="1">
      <nc r="E1">
        <f>D1/B1</f>
      </nc>
      <ndxf>
        <font>
          <sz val="10"/>
          <color auto="1"/>
          <name val="Arial"/>
          <scheme val="none"/>
        </font>
        <numFmt numFmtId="13" formatCode="0%"/>
      </ndxf>
    </rcc>
    <rcc rId="0" sId="7" dxf="1" numFmtId="11">
      <nc r="F1">
        <v>10111</v>
      </nc>
      <ndxf>
        <font>
          <sz val="10"/>
          <color auto="1"/>
          <name val="Arial"/>
          <scheme val="none"/>
        </font>
        <numFmt numFmtId="10" formatCode="&quot;$&quot;#,##0_);[Red]\(&quot;$&quot;#,##0\)"/>
      </ndxf>
    </rcc>
    <rcc rId="0" sId="7" s="1" dxf="1">
      <nc r="G1">
        <f>F1-C1</f>
      </nc>
      <ndxf>
        <font>
          <sz val="10"/>
          <color auto="1"/>
          <name val="Arial"/>
          <scheme val="none"/>
        </font>
        <numFmt numFmtId="10" formatCode="&quot;$&quot;#,##0_);[Red]\(&quot;$&quot;#,##0\)"/>
      </ndxf>
    </rcc>
    <rcc rId="0" sId="7" dxf="1">
      <nc r="H1">
        <f>G1/C1</f>
      </nc>
      <ndxf>
        <font>
          <sz val="10"/>
          <color auto="1"/>
          <name val="Arial"/>
          <scheme val="none"/>
        </font>
        <numFmt numFmtId="13" formatCode="0%"/>
      </ndxf>
    </rcc>
    <rcc rId="0" sId="7" dxf="1" numFmtId="4">
      <nc r="I1">
        <v>10112</v>
      </nc>
      <ndxf>
        <numFmt numFmtId="3" formatCode="#,##0"/>
      </ndxf>
    </rcc>
    <rcc rId="0" sId="7" dxf="1">
      <nc r="J1">
        <f>I1/B1</f>
      </nc>
      <ndxf>
        <numFmt numFmtId="164" formatCode="0.0%"/>
      </ndxf>
    </rcc>
    <rcc rId="0" sId="7" dxf="1">
      <nc r="K1" t="inlineStr">
        <is>
          <t>**</t>
        </is>
      </nc>
      <ndxf>
        <font>
          <sz val="10"/>
          <color auto="1"/>
          <name val="Arial"/>
          <scheme val="none"/>
        </font>
      </ndxf>
    </rcc>
    <rcc rId="0" sId="7" dxf="1">
      <nc r="L1">
        <f>I1/C1</f>
      </nc>
      <ndxf>
        <numFmt numFmtId="164" formatCode="0.0%"/>
      </ndxf>
    </rcc>
    <rcc rId="0" sId="7">
      <nc r="M1">
        <v>10111</v>
      </nc>
    </rcc>
    <rcc rId="0" sId="7">
      <nc r="N1">
        <v>9971</v>
      </nc>
    </rcc>
    <rcc rId="0" sId="7" dxf="1">
      <nc r="O1">
        <f>N1/M1-1</f>
      </nc>
      <ndxf>
        <numFmt numFmtId="14" formatCode="0.00%"/>
      </ndxf>
    </rcc>
  </rrc>
  <rrc rId="37321" sId="7" ref="A1:XFD1" action="deleteRow">
    <undo index="0" exp="ref" ref3D="1" v="1" dr="C1" r="C57" sId="8"/>
    <undo index="0" exp="ref" ref3D="1" v="1" dr="B1" r="B57" sId="8"/>
    <undo index="0" exp="area" dr="N1:N6" r="N7" sId="7"/>
    <undo index="0" exp="area" dr="M1:M6" r="M7" sId="7"/>
    <undo index="0" exp="area" dr="F1:F6" r="F7" sId="7"/>
    <undo index="0" exp="area" dr="C1:C6" r="C7" sId="7"/>
    <undo index="0" exp="area" dr="B1:B6" r="B7" sId="7"/>
    <rfmt sheetId="7" xfDxf="1" sqref="A1:XFD1" start="0" length="0"/>
    <rcc rId="0" sId="7" dxf="1">
      <nc r="A1" t="inlineStr">
        <is>
          <t>Office of the People's Counsel</t>
        </is>
      </nc>
      <ndxf>
        <font>
          <sz val="10"/>
          <color auto="1"/>
          <name val="Arial"/>
          <scheme val="none"/>
        </font>
      </ndxf>
    </rcc>
    <rcc rId="0" sId="7" dxf="1" numFmtId="11">
      <nc r="B1">
        <v>4865</v>
      </nc>
      <ndxf>
        <font>
          <sz val="10"/>
          <color auto="1"/>
          <name val="Arial"/>
          <scheme val="none"/>
        </font>
        <numFmt numFmtId="10" formatCode="&quot;$&quot;#,##0_);[Red]\(&quot;$&quot;#,##0\)"/>
      </ndxf>
    </rcc>
    <rcc rId="0" sId="7" dxf="1" numFmtId="11">
      <nc r="C1">
        <v>5025</v>
      </nc>
      <ndxf>
        <font>
          <sz val="10"/>
          <color auto="1"/>
          <name val="Arial"/>
          <scheme val="none"/>
        </font>
        <numFmt numFmtId="10" formatCode="&quot;$&quot;#,##0_);[Red]\(&quot;$&quot;#,##0\)"/>
      </ndxf>
    </rcc>
    <rcc rId="0" sId="7" dxf="1">
      <nc r="D1">
        <f>C1-B1</f>
      </nc>
      <ndxf>
        <font>
          <sz val="10"/>
          <color auto="1"/>
          <name val="Arial"/>
          <scheme val="none"/>
        </font>
        <numFmt numFmtId="10" formatCode="&quot;$&quot;#,##0_);[Red]\(&quot;$&quot;#,##0\)"/>
      </ndxf>
    </rcc>
    <rcc rId="0" sId="7" s="1" dxf="1">
      <nc r="E1">
        <f>D1/B1</f>
      </nc>
      <ndxf>
        <font>
          <sz val="10"/>
          <color auto="1"/>
          <name val="Arial"/>
          <scheme val="none"/>
        </font>
        <numFmt numFmtId="13" formatCode="0%"/>
      </ndxf>
    </rcc>
    <rcc rId="0" sId="7" dxf="1" numFmtId="11">
      <nc r="F1">
        <v>5136</v>
      </nc>
      <ndxf>
        <font>
          <sz val="10"/>
          <color auto="1"/>
          <name val="Arial"/>
          <scheme val="none"/>
        </font>
        <numFmt numFmtId="10" formatCode="&quot;$&quot;#,##0_);[Red]\(&quot;$&quot;#,##0\)"/>
      </ndxf>
    </rcc>
    <rcc rId="0" sId="7" s="1" dxf="1">
      <nc r="G1">
        <f>F1-C1</f>
      </nc>
      <ndxf>
        <font>
          <sz val="10"/>
          <color auto="1"/>
          <name val="Arial"/>
          <scheme val="none"/>
        </font>
        <numFmt numFmtId="10" formatCode="&quot;$&quot;#,##0_);[Red]\(&quot;$&quot;#,##0\)"/>
      </ndxf>
    </rcc>
    <rcc rId="0" sId="7" dxf="1">
      <nc r="H1">
        <f>G1/C1</f>
      </nc>
      <ndxf>
        <font>
          <sz val="10"/>
          <color auto="1"/>
          <name val="Arial"/>
          <scheme val="none"/>
        </font>
        <numFmt numFmtId="13" formatCode="0%"/>
      </ndxf>
    </rcc>
    <rcc rId="0" sId="7" dxf="1" numFmtId="4">
      <nc r="I1">
        <v>5136</v>
      </nc>
      <ndxf>
        <numFmt numFmtId="3" formatCode="#,##0"/>
      </ndxf>
    </rcc>
    <rcc rId="0" sId="7" dxf="1">
      <nc r="J1">
        <f>I1/B1</f>
      </nc>
      <ndxf>
        <numFmt numFmtId="164" formatCode="0.0%"/>
      </ndxf>
    </rcc>
    <rcc rId="0" sId="7" dxf="1">
      <nc r="K1" t="inlineStr">
        <is>
          <t>*</t>
        </is>
      </nc>
      <ndxf>
        <font>
          <sz val="10"/>
          <color auto="1"/>
          <name val="Arial"/>
          <scheme val="none"/>
        </font>
      </ndxf>
    </rcc>
    <rcc rId="0" sId="7" dxf="1">
      <nc r="L1">
        <f>I1/C1</f>
      </nc>
      <ndxf>
        <numFmt numFmtId="164" formatCode="0.0%"/>
      </ndxf>
    </rcc>
    <rcc rId="0" sId="7">
      <nc r="M1">
        <v>5136</v>
      </nc>
    </rcc>
    <rcc rId="0" sId="7">
      <nc r="N1">
        <v>5229</v>
      </nc>
    </rcc>
    <rcc rId="0" sId="7" dxf="1">
      <nc r="O1">
        <f>N1/M1-1</f>
      </nc>
      <ndxf>
        <numFmt numFmtId="14" formatCode="0.00%"/>
      </ndxf>
    </rcc>
  </rrc>
  <rrc rId="37322" sId="7" ref="A1:XFD1" action="deleteRow">
    <undo index="0" exp="ref" ref3D="1" v="1" dr="C1" r="C58" sId="8"/>
    <undo index="0" exp="ref" ref3D="1" v="1" dr="B1" r="B58" sId="8"/>
    <undo index="0" exp="area" dr="N1:N5" r="N6" sId="7"/>
    <undo index="0" exp="area" dr="M1:M5" r="M6" sId="7"/>
    <undo index="0" exp="area" dr="F1:F5" r="F6" sId="7"/>
    <undo index="0" exp="area" dr="C1:C5" r="C6" sId="7"/>
    <undo index="0" exp="area" dr="B1:B5" r="B6" sId="7"/>
    <rfmt sheetId="7" xfDxf="1" sqref="A1:XFD1" start="0" length="0"/>
    <rcc rId="0" sId="7" dxf="1">
      <nc r="A1" t="inlineStr">
        <is>
          <t>Department of Insurance, Securities and Banking</t>
        </is>
      </nc>
      <ndxf>
        <font>
          <sz val="10"/>
          <color auto="1"/>
          <name val="Arial"/>
          <scheme val="none"/>
        </font>
      </ndxf>
    </rcc>
    <rcc rId="0" sId="7" dxf="1" numFmtId="11">
      <nc r="B1">
        <v>14651</v>
      </nc>
      <ndxf>
        <font>
          <sz val="10"/>
          <color auto="1"/>
          <name val="Arial"/>
          <scheme val="none"/>
        </font>
        <numFmt numFmtId="10" formatCode="&quot;$&quot;#,##0_);[Red]\(&quot;$&quot;#,##0\)"/>
      </ndxf>
    </rcc>
    <rcc rId="0" sId="7" dxf="1" numFmtId="11">
      <nc r="C1">
        <v>16319</v>
      </nc>
      <ndxf>
        <font>
          <sz val="10"/>
          <color auto="1"/>
          <name val="Arial"/>
          <scheme val="none"/>
        </font>
        <numFmt numFmtId="10" formatCode="&quot;$&quot;#,##0_);[Red]\(&quot;$&quot;#,##0\)"/>
      </ndxf>
    </rcc>
    <rcc rId="0" sId="7" dxf="1">
      <nc r="D1">
        <f>C1-B1</f>
      </nc>
      <ndxf>
        <font>
          <sz val="10"/>
          <color auto="1"/>
          <name val="Arial"/>
          <scheme val="none"/>
        </font>
        <numFmt numFmtId="10" formatCode="&quot;$&quot;#,##0_);[Red]\(&quot;$&quot;#,##0\)"/>
      </ndxf>
    </rcc>
    <rcc rId="0" sId="7" s="1" dxf="1">
      <nc r="E1">
        <f>D1/B1</f>
      </nc>
      <ndxf>
        <font>
          <sz val="10"/>
          <color auto="1"/>
          <name val="Arial"/>
          <scheme val="none"/>
        </font>
        <numFmt numFmtId="13" formatCode="0%"/>
      </ndxf>
    </rcc>
    <rcc rId="0" sId="7" dxf="1" numFmtId="11">
      <nc r="F1">
        <v>16327</v>
      </nc>
      <ndxf>
        <font>
          <sz val="10"/>
          <color auto="1"/>
          <name val="Arial"/>
          <scheme val="none"/>
        </font>
        <numFmt numFmtId="10" formatCode="&quot;$&quot;#,##0_);[Red]\(&quot;$&quot;#,##0\)"/>
      </ndxf>
    </rcc>
    <rcc rId="0" sId="7" s="1" dxf="1">
      <nc r="G1">
        <f>F1-C1</f>
      </nc>
      <ndxf>
        <font>
          <sz val="10"/>
          <color auto="1"/>
          <name val="Arial"/>
          <scheme val="none"/>
        </font>
        <numFmt numFmtId="10" formatCode="&quot;$&quot;#,##0_);[Red]\(&quot;$&quot;#,##0\)"/>
      </ndxf>
    </rcc>
    <rcc rId="0" sId="7" dxf="1">
      <nc r="H1">
        <f>G1/C1</f>
      </nc>
      <ndxf>
        <font>
          <sz val="10"/>
          <color auto="1"/>
          <name val="Arial"/>
          <scheme val="none"/>
        </font>
        <numFmt numFmtId="13" formatCode="0%"/>
      </ndxf>
    </rcc>
    <rcc rId="0" sId="7" dxf="1" numFmtId="4">
      <nc r="I1">
        <v>16327</v>
      </nc>
      <ndxf>
        <numFmt numFmtId="3" formatCode="#,##0"/>
      </ndxf>
    </rcc>
    <rcc rId="0" sId="7" dxf="1">
      <nc r="J1">
        <f>I1/B1</f>
      </nc>
      <ndxf>
        <numFmt numFmtId="164" formatCode="0.0%"/>
      </ndxf>
    </rcc>
    <rcc rId="0" sId="7" dxf="1">
      <nc r="K1" t="inlineStr">
        <is>
          <t>*</t>
        </is>
      </nc>
      <ndxf>
        <font>
          <sz val="10"/>
          <color auto="1"/>
          <name val="Arial"/>
          <scheme val="none"/>
        </font>
      </ndxf>
    </rcc>
    <rcc rId="0" sId="7" dxf="1">
      <nc r="L1">
        <f>I1/C1</f>
      </nc>
      <ndxf>
        <numFmt numFmtId="164" formatCode="0.0%"/>
      </ndxf>
    </rcc>
    <rcc rId="0" sId="7">
      <nc r="M1">
        <v>16327</v>
      </nc>
    </rcc>
    <rcc rId="0" sId="7">
      <nc r="N1">
        <v>16674</v>
      </nc>
    </rcc>
    <rcc rId="0" sId="7" dxf="1">
      <nc r="O1">
        <f>N1/M1-1</f>
      </nc>
      <ndxf>
        <numFmt numFmtId="14" formatCode="0.00%"/>
      </ndxf>
    </rcc>
  </rrc>
  <rrc rId="37323" sId="7" ref="A1:XFD1" action="deleteRow">
    <undo index="0" exp="ref" ref3D="1" v="1" dr="C1" r="C59" sId="8"/>
    <undo index="0" exp="ref" ref3D="1" v="1" dr="B1" r="B59" sId="8"/>
    <undo index="0" exp="area" dr="N1:N4" r="N5" sId="7"/>
    <undo index="0" exp="area" dr="M1:M4" r="M5" sId="7"/>
    <undo index="0" exp="area" dr="F1:F4" r="F5" sId="7"/>
    <undo index="0" exp="area" dr="C1:C4" r="C5" sId="7"/>
    <undo index="0" exp="area" dr="B1:B4" r="B5" sId="7"/>
    <rfmt sheetId="7" xfDxf="1" sqref="A1:XFD1" start="0" length="0"/>
    <rcc rId="0" sId="7" dxf="1">
      <nc r="A1" t="inlineStr">
        <is>
          <t>Office of Cable Television and Telecommunications</t>
        </is>
      </nc>
      <ndxf>
        <font>
          <sz val="10"/>
          <color auto="1"/>
          <name val="Arial"/>
          <scheme val="none"/>
        </font>
      </ndxf>
    </rcc>
    <rcc rId="0" sId="7" dxf="1" numFmtId="11">
      <nc r="B1">
        <v>6942</v>
      </nc>
      <ndxf>
        <font>
          <sz val="10"/>
          <color auto="1"/>
          <name val="Arial"/>
          <scheme val="none"/>
        </font>
        <numFmt numFmtId="10" formatCode="&quot;$&quot;#,##0_);[Red]\(&quot;$&quot;#,##0\)"/>
      </ndxf>
    </rcc>
    <rcc rId="0" sId="7" dxf="1" numFmtId="11">
      <nc r="C1">
        <v>7089</v>
      </nc>
      <ndxf>
        <font>
          <sz val="10"/>
          <color auto="1"/>
          <name val="Arial"/>
          <scheme val="none"/>
        </font>
        <numFmt numFmtId="10" formatCode="&quot;$&quot;#,##0_);[Red]\(&quot;$&quot;#,##0\)"/>
      </ndxf>
    </rcc>
    <rcc rId="0" sId="7" dxf="1">
      <nc r="D1">
        <f>C1-B1</f>
      </nc>
      <ndxf>
        <font>
          <sz val="10"/>
          <color auto="1"/>
          <name val="Arial"/>
          <scheme val="none"/>
        </font>
        <numFmt numFmtId="10" formatCode="&quot;$&quot;#,##0_);[Red]\(&quot;$&quot;#,##0\)"/>
      </ndxf>
    </rcc>
    <rcc rId="0" sId="7" s="1" dxf="1">
      <nc r="E1">
        <f>D1/B1</f>
      </nc>
      <ndxf>
        <font>
          <sz val="10"/>
          <color auto="1"/>
          <name val="Arial"/>
          <scheme val="none"/>
        </font>
        <numFmt numFmtId="13" formatCode="0%"/>
      </ndxf>
    </rcc>
    <rcc rId="0" sId="7" dxf="1" numFmtId="11">
      <nc r="F1">
        <v>9419</v>
      </nc>
      <ndxf>
        <font>
          <sz val="10"/>
          <color auto="1"/>
          <name val="Arial"/>
          <scheme val="none"/>
        </font>
        <numFmt numFmtId="10" formatCode="&quot;$&quot;#,##0_);[Red]\(&quot;$&quot;#,##0\)"/>
      </ndxf>
    </rcc>
    <rcc rId="0" sId="7" s="1" dxf="1">
      <nc r="G1">
        <f>F1-C1</f>
      </nc>
      <ndxf>
        <font>
          <sz val="10"/>
          <color auto="1"/>
          <name val="Arial"/>
          <scheme val="none"/>
        </font>
        <numFmt numFmtId="10" formatCode="&quot;$&quot;#,##0_);[Red]\(&quot;$&quot;#,##0\)"/>
      </ndxf>
    </rcc>
    <rcc rId="0" sId="7" dxf="1">
      <nc r="H1">
        <f>G1/C1</f>
      </nc>
      <ndxf>
        <font>
          <sz val="10"/>
          <color auto="1"/>
          <name val="Arial"/>
          <scheme val="none"/>
        </font>
        <numFmt numFmtId="13" formatCode="0%"/>
      </ndxf>
    </rcc>
    <rcc rId="0" sId="7" dxf="1" numFmtId="4">
      <nc r="I1">
        <v>9419</v>
      </nc>
      <ndxf>
        <numFmt numFmtId="3" formatCode="#,##0"/>
      </ndxf>
    </rcc>
    <rcc rId="0" sId="7" dxf="1">
      <nc r="J1">
        <f>I1/B1</f>
      </nc>
      <ndxf>
        <numFmt numFmtId="164" formatCode="0.0%"/>
      </ndxf>
    </rcc>
    <rcc rId="0" sId="7" dxf="1">
      <nc r="K1" t="inlineStr">
        <is>
          <t>*</t>
        </is>
      </nc>
      <ndxf>
        <font>
          <sz val="10"/>
          <color auto="1"/>
          <name val="Arial"/>
          <scheme val="none"/>
        </font>
      </ndxf>
    </rcc>
    <rcc rId="0" sId="7" dxf="1">
      <nc r="L1">
        <f>I1/C1</f>
      </nc>
      <ndxf>
        <numFmt numFmtId="164" formatCode="0.0%"/>
      </ndxf>
    </rcc>
    <rcc rId="0" sId="7">
      <nc r="M1">
        <v>8477</v>
      </nc>
    </rcc>
    <rcc rId="0" sId="7">
      <nc r="N1">
        <v>7631</v>
      </nc>
    </rcc>
    <rcc rId="0" sId="7" dxf="1">
      <nc r="O1">
        <f>N1/M1-1</f>
      </nc>
      <ndxf>
        <numFmt numFmtId="14" formatCode="0.00%"/>
      </ndxf>
    </rcc>
  </rrc>
  <rrc rId="37324" sId="7" ref="A1:XFD1" action="deleteRow">
    <undo index="0" exp="ref" ref3D="1" v="1" dr="C1" r="C60" sId="8"/>
    <undo index="0" exp="ref" ref3D="1" v="1" dr="B1" r="B60" sId="8"/>
    <undo index="0" exp="area" dr="N1:N3" r="N4" sId="7"/>
    <undo index="0" exp="area" dr="M1:M3" r="M4" sId="7"/>
    <undo index="0" exp="area" dr="F1:F3" r="F4" sId="7"/>
    <undo index="0" exp="area" dr="C1:C3" r="C4" sId="7"/>
    <undo index="0" exp="area" dr="B1:B3" r="B4" sId="7"/>
    <rfmt sheetId="7" xfDxf="1" sqref="A1:XFD1" start="0" length="0"/>
    <rcc rId="0" sId="7" dxf="1">
      <nc r="A1" t="inlineStr">
        <is>
          <t>Housing Production Trust Fund****</t>
        </is>
      </nc>
      <ndxf>
        <font>
          <sz val="10"/>
          <color auto="1"/>
          <name val="Arial"/>
          <scheme val="none"/>
        </font>
      </ndxf>
    </rcc>
    <rcc rId="0" sId="7" dxf="1" numFmtId="11">
      <nc r="B1">
        <v>70589</v>
      </nc>
      <ndxf>
        <font>
          <sz val="10"/>
          <color auto="1"/>
          <name val="Arial"/>
          <scheme val="none"/>
        </font>
        <numFmt numFmtId="10" formatCode="&quot;$&quot;#,##0_);[Red]\(&quot;$&quot;#,##0\)"/>
      </ndxf>
    </rcc>
    <rcc rId="0" sId="7" dxf="1" numFmtId="11">
      <nc r="C1">
        <v>32775</v>
      </nc>
      <ndxf>
        <font>
          <sz val="10"/>
          <color auto="1"/>
          <name val="Arial"/>
          <scheme val="none"/>
        </font>
        <numFmt numFmtId="10" formatCode="&quot;$&quot;#,##0_);[Red]\(&quot;$&quot;#,##0\)"/>
      </ndxf>
    </rcc>
    <rcc rId="0" sId="7" dxf="1">
      <nc r="D1">
        <f>C1-B1</f>
      </nc>
      <ndxf>
        <font>
          <sz val="10"/>
          <color auto="1"/>
          <name val="Arial"/>
          <scheme val="none"/>
        </font>
        <numFmt numFmtId="10" formatCode="&quot;$&quot;#,##0_);[Red]\(&quot;$&quot;#,##0\)"/>
      </ndxf>
    </rcc>
    <rcc rId="0" sId="7" s="1" dxf="1">
      <nc r="E1">
        <f>D1/B1</f>
      </nc>
      <ndxf>
        <font>
          <sz val="10"/>
          <color auto="1"/>
          <name val="Arial"/>
          <scheme val="none"/>
        </font>
        <numFmt numFmtId="13" formatCode="0%"/>
      </ndxf>
    </rcc>
    <rcc rId="0" sId="7" dxf="1" numFmtId="11">
      <nc r="F1">
        <v>11900</v>
      </nc>
      <ndxf>
        <font>
          <sz val="10"/>
          <color auto="1"/>
          <name val="Arial"/>
          <scheme val="none"/>
        </font>
        <numFmt numFmtId="10" formatCode="&quot;$&quot;#,##0_);[Red]\(&quot;$&quot;#,##0\)"/>
      </ndxf>
    </rcc>
    <rcc rId="0" sId="7" s="1" dxf="1">
      <nc r="G1">
        <f>F1-C1</f>
      </nc>
      <ndxf>
        <font>
          <sz val="10"/>
          <color auto="1"/>
          <name val="Arial"/>
          <scheme val="none"/>
        </font>
        <numFmt numFmtId="10" formatCode="&quot;$&quot;#,##0_);[Red]\(&quot;$&quot;#,##0\)"/>
      </ndxf>
    </rcc>
    <rcc rId="0" sId="7" dxf="1">
      <nc r="H1">
        <f>G1/C1</f>
      </nc>
      <ndxf>
        <font>
          <sz val="10"/>
          <color auto="1"/>
          <name val="Arial"/>
          <scheme val="none"/>
        </font>
        <numFmt numFmtId="13" formatCode="0%"/>
      </ndxf>
    </rcc>
    <rcc rId="0" sId="7" dxf="1" numFmtId="4">
      <nc r="I1">
        <v>0</v>
      </nc>
      <ndxf>
        <numFmt numFmtId="3" formatCode="#,##0"/>
      </ndxf>
    </rcc>
    <rcc rId="0" sId="7" dxf="1">
      <nc r="J1">
        <f>I1/B1</f>
      </nc>
      <ndxf>
        <numFmt numFmtId="13" formatCode="0%"/>
      </ndxf>
    </rcc>
    <rcc rId="0" sId="7" dxf="1">
      <nc r="L1">
        <f>I1/C1</f>
      </nc>
      <ndxf>
        <numFmt numFmtId="13" formatCode="0%"/>
      </ndxf>
    </rcc>
    <rcc rId="0" sId="7">
      <nc r="M1">
        <v>13039</v>
      </nc>
    </rcc>
    <rcc rId="0" sId="7">
      <nc r="N1">
        <v>14384</v>
      </nc>
    </rcc>
    <rcc rId="0" sId="7" dxf="1">
      <nc r="O1">
        <f>N1/M1-1</f>
      </nc>
      <ndxf>
        <numFmt numFmtId="14" formatCode="0.00%"/>
      </ndxf>
    </rcc>
  </rrc>
  <rrc rId="37325" sId="7" ref="A1:XFD1" action="deleteRow">
    <undo index="0" exp="area" dr="N1:N2" r="N3" sId="7"/>
    <undo index="0" exp="area" dr="M1:M2" r="M3" sId="7"/>
    <undo index="0" exp="area" dr="F1:F2" r="F3" sId="7"/>
    <undo index="0" exp="area" dr="C1:C2" r="C3" sId="7"/>
    <undo index="0" exp="area" dr="B1:B2" r="B3" sId="7"/>
    <rfmt sheetId="7" xfDxf="1" sqref="A1:XFD1" start="0" length="0"/>
    <rcc rId="0" sId="7" dxf="1">
      <nc r="A1" t="inlineStr">
        <is>
          <t>Business Improvement District Transfer</t>
        </is>
      </nc>
      <ndxf/>
    </rcc>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1" sqref="E1" start="0" length="0">
      <dxf>
        <font>
          <sz val="10"/>
          <color auto="1"/>
          <name val="Arial"/>
          <scheme val="none"/>
        </font>
        <numFmt numFmtId="13" formatCode="0%"/>
      </dxf>
    </rfmt>
    <rfmt sheetId="7" sqref="F1" start="0" length="0">
      <dxf>
        <font>
          <sz val="10"/>
          <color auto="1"/>
          <name val="Arial"/>
          <scheme val="none"/>
        </font>
        <numFmt numFmtId="10" formatCode="&quot;$&quot;#,##0_);[Red]\(&quot;$&quot;#,##0\)"/>
      </dxf>
    </rfmt>
    <rfmt sheetId="7" s="1"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fmt sheetId="7" sqref="I1" start="0" length="0">
      <dxf>
        <numFmt numFmtId="3" formatCode="#,##0"/>
      </dxf>
    </rfmt>
    <rfmt sheetId="7" sqref="J1" start="0" length="0">
      <dxf>
        <numFmt numFmtId="13" formatCode="0%"/>
      </dxf>
    </rfmt>
    <rfmt sheetId="7" sqref="L1" start="0" length="0">
      <dxf>
        <numFmt numFmtId="13" formatCode="0%"/>
      </dxf>
    </rfmt>
    <rcc rId="0" sId="7">
      <nc r="M1">
        <v>23000</v>
      </nc>
    </rcc>
    <rcc rId="0" sId="7">
      <nc r="N1">
        <v>23000</v>
      </nc>
    </rcc>
    <rcc rId="0" sId="7" dxf="1">
      <nc r="O1">
        <f>N1/M1-1</f>
      </nc>
      <ndxf>
        <numFmt numFmtId="14" formatCode="0.00%"/>
      </ndxf>
    </rcc>
  </rrc>
  <rrc rId="37326" sId="7" ref="A1:XFD1" action="deleteRow">
    <undo index="0" exp="ref" ref3D="1" v="1" dr="C1" r="C61" sId="8"/>
    <undo index="0" exp="ref" ref3D="1" v="1" dr="B1" r="B61" sId="8"/>
    <undo index="0" exp="area" dr="N1" r="N2" sId="7"/>
    <undo index="0" exp="area" dr="M1" r="M2" sId="7"/>
    <undo index="0" exp="area" dr="F1" r="F2" sId="7"/>
    <undo index="0" exp="area" dr="C1" r="C2" sId="7"/>
    <undo index="0" exp="area" dr="B1" r="B2" sId="7"/>
    <rfmt sheetId="7" xfDxf="1" sqref="A1:XFD1" start="0" length="0">
      <dxf>
        <border outline="0">
          <bottom style="medium">
            <color indexed="64"/>
          </bottom>
        </border>
      </dxf>
    </rfmt>
    <rcc rId="0" sId="7" dxf="1">
      <nc r="A1" t="inlineStr">
        <is>
          <t>DC Sports Commission Subsidy</t>
        </is>
      </nc>
      <ndxf>
        <font>
          <sz val="10"/>
          <color auto="1"/>
          <name val="Arial"/>
          <scheme val="none"/>
        </font>
      </ndxf>
    </rcc>
    <rcc rId="0" sId="7" dxf="1" numFmtId="11">
      <nc r="B1">
        <v>0</v>
      </nc>
      <ndxf>
        <font>
          <sz val="10"/>
          <color auto="1"/>
          <name val="Arial"/>
          <scheme val="none"/>
        </font>
        <numFmt numFmtId="10" formatCode="&quot;$&quot;#,##0_);[Red]\(&quot;$&quot;#,##0\)"/>
      </ndxf>
    </rcc>
    <rcc rId="0" sId="7" dxf="1" numFmtId="11">
      <nc r="C1">
        <v>2500</v>
      </nc>
      <ndxf>
        <font>
          <sz val="10"/>
          <color auto="1"/>
          <name val="Arial"/>
          <scheme val="none"/>
        </font>
        <numFmt numFmtId="10" formatCode="&quot;$&quot;#,##0_);[Red]\(&quot;$&quot;#,##0\)"/>
      </ndxf>
    </rcc>
    <rcc rId="0" sId="7" dxf="1">
      <nc r="D1">
        <f>C1-B1</f>
      </nc>
      <ndxf>
        <font>
          <sz val="10"/>
          <color auto="1"/>
          <name val="Arial"/>
          <scheme val="none"/>
        </font>
        <numFmt numFmtId="10" formatCode="&quot;$&quot;#,##0_);[Red]\(&quot;$&quot;#,##0\)"/>
      </ndxf>
    </rcc>
    <rcc rId="0" sId="7" dxf="1">
      <nc r="E1" t="inlineStr">
        <is>
          <t>—</t>
        </is>
      </nc>
      <ndxf>
        <font>
          <sz val="10"/>
          <color auto="1"/>
          <name val="Arial"/>
          <scheme val="none"/>
        </font>
        <numFmt numFmtId="164" formatCode="0.0%"/>
        <alignment horizontal="right" vertical="top" readingOrder="0"/>
      </ndxf>
    </rcc>
    <rcc rId="0" sId="7" dxf="1" numFmtId="11">
      <nc r="F1">
        <v>0</v>
      </nc>
      <ndxf>
        <font>
          <sz val="10"/>
          <color auto="1"/>
          <name val="Arial"/>
          <scheme val="none"/>
        </font>
        <numFmt numFmtId="10" formatCode="&quot;$&quot;#,##0_);[Red]\(&quot;$&quot;#,##0\)"/>
      </ndxf>
    </rcc>
    <rcc rId="0" sId="7" s="1" dxf="1">
      <nc r="G1">
        <f>F1-C1</f>
      </nc>
      <ndxf>
        <font>
          <sz val="10"/>
          <color auto="1"/>
          <name val="Arial"/>
          <scheme val="none"/>
        </font>
        <numFmt numFmtId="10" formatCode="&quot;$&quot;#,##0_);[Red]\(&quot;$&quot;#,##0\)"/>
      </ndxf>
    </rcc>
    <rcc rId="0" sId="7" dxf="1">
      <nc r="H1">
        <f>G1/C1</f>
      </nc>
      <ndxf>
        <font>
          <sz val="10"/>
          <color auto="1"/>
          <name val="Arial"/>
          <scheme val="none"/>
        </font>
        <numFmt numFmtId="13" formatCode="0%"/>
      </ndxf>
    </rcc>
    <rcc rId="0" sId="7">
      <nc r="I1">
        <v>0</v>
      </nc>
    </rcc>
    <rcc rId="0" sId="7" dxf="1">
      <nc r="J1">
        <f>I1/B1</f>
      </nc>
      <ndxf>
        <border outline="0">
          <bottom/>
        </border>
      </ndxf>
    </rcc>
    <rcc rId="0" sId="7" dxf="1">
      <nc r="L1">
        <f>I1/C1</f>
      </nc>
      <ndxf>
        <numFmt numFmtId="13" formatCode="0%"/>
      </ndxf>
    </rcc>
    <rcc rId="0" sId="7">
      <nc r="M1">
        <v>0</v>
      </nc>
    </rcc>
    <rcc rId="0" sId="7">
      <nc r="N1">
        <v>0</v>
      </nc>
    </rcc>
    <rcc rId="0" sId="7" dxf="1">
      <nc r="O1">
        <f>N1/M1-1</f>
      </nc>
      <ndxf>
        <numFmt numFmtId="14" formatCode="0.00%"/>
        <border outline="0">
          <bottom/>
        </border>
      </ndxf>
    </rcc>
  </rrc>
  <rrc rId="37327" sId="7" ref="A1:XFD1" action="deleteRow">
    <undo index="9" exp="ref" v="1" dr="N1" r="N129" sId="7"/>
    <undo index="9" exp="ref" v="1" dr="M1" r="M129" sId="7"/>
    <undo index="5" exp="ref" dr="G1" r="G129" sId="7"/>
    <undo index="5" exp="ref" dr="F1" r="F129" sId="7"/>
    <undo index="5" exp="ref" dr="D1" r="D129" sId="7"/>
    <undo index="5" exp="ref" dr="C1" r="C129" sId="7"/>
    <undo index="5" exp="ref" dr="B1" r="B129" sId="7"/>
    <rfmt sheetId="7" xfDxf="1" sqref="A1:XFD1" start="0" length="0"/>
    <rcc rId="0" sId="7" dxf="1">
      <nc r="A1" t="inlineStr">
        <is>
          <t>Subtotal: Economic Development &amp; Regulation</t>
        </is>
      </nc>
      <ndxf>
        <font>
          <b/>
          <sz val="10"/>
          <color auto="1"/>
          <name val="Arial"/>
          <scheme val="none"/>
        </font>
      </ndxf>
    </rcc>
    <rcc rId="0" sId="7" dxf="1">
      <nc r="B1">
        <f>SUM(#REF!)</f>
      </nc>
      <ndxf>
        <font>
          <b/>
          <sz val="10"/>
          <color auto="1"/>
          <name val="Arial"/>
          <scheme val="none"/>
        </font>
        <numFmt numFmtId="10" formatCode="&quot;$&quot;#,##0_);[Red]\(&quot;$&quot;#,##0\)"/>
      </ndxf>
    </rcc>
    <rcc rId="0" sId="7" dxf="1">
      <nc r="C1">
        <f>SUM(#REF!)</f>
      </nc>
      <ndxf>
        <font>
          <b/>
          <sz val="10"/>
          <color auto="1"/>
          <name val="Arial"/>
          <scheme val="none"/>
        </font>
        <numFmt numFmtId="10" formatCode="&quot;$&quot;#,##0_);[Red]\(&quot;$&quot;#,##0\)"/>
      </ndxf>
    </rcc>
    <rcc rId="0" sId="7" dxf="1">
      <nc r="D1">
        <f>C1-B1</f>
      </nc>
      <ndxf>
        <font>
          <sz val="10"/>
          <color auto="1"/>
          <name val="Arial"/>
          <scheme val="none"/>
        </font>
        <numFmt numFmtId="10" formatCode="&quot;$&quot;#,##0_);[Red]\(&quot;$&quot;#,##0\)"/>
      </ndxf>
    </rcc>
    <rcc rId="0" sId="7" s="1" dxf="1">
      <nc r="E1">
        <f>D1/B1</f>
      </nc>
      <ndxf>
        <font>
          <sz val="10"/>
          <color auto="1"/>
          <name val="Arial"/>
          <scheme val="none"/>
        </font>
        <numFmt numFmtId="13" formatCode="0%"/>
      </ndxf>
    </rcc>
    <rcc rId="0" sId="7" dxf="1">
      <nc r="F1">
        <f>SUM(#REF!)</f>
      </nc>
      <ndxf>
        <font>
          <b/>
          <sz val="10"/>
          <color auto="1"/>
          <name val="Arial"/>
          <scheme val="none"/>
        </font>
        <numFmt numFmtId="10" formatCode="&quot;$&quot;#,##0_);[Red]\(&quot;$&quot;#,##0\)"/>
      </ndxf>
    </rcc>
    <rcc rId="0" sId="7" s="1" dxf="1">
      <nc r="G1">
        <f>F1-C1</f>
      </nc>
      <ndxf>
        <font>
          <sz val="10"/>
          <color auto="1"/>
          <name val="Arial"/>
          <scheme val="none"/>
        </font>
        <numFmt numFmtId="10" formatCode="&quot;$&quot;#,##0_);[Red]\(&quot;$&quot;#,##0\)"/>
      </ndxf>
    </rcc>
    <rcc rId="0" sId="7" dxf="1">
      <nc r="H1">
        <f>G1/C1</f>
      </nc>
      <ndxf>
        <font>
          <sz val="10"/>
          <color auto="1"/>
          <name val="Arial"/>
          <scheme val="none"/>
        </font>
        <numFmt numFmtId="13" formatCode="0%"/>
      </ndxf>
    </rcc>
    <rcc rId="0" sId="7" dxf="1" numFmtId="4">
      <nc r="I1">
        <v>475360</v>
      </nc>
      <ndxf>
        <numFmt numFmtId="3" formatCode="#,##0"/>
      </ndxf>
    </rcc>
    <rcc rId="0" sId="7" dxf="1">
      <nc r="J1">
        <f>I1/B1</f>
      </nc>
      <ndxf>
        <numFmt numFmtId="164" formatCode="0.0%"/>
      </ndxf>
    </rcc>
    <rcc rId="0" sId="7" dxf="1">
      <nc r="L1">
        <f>I1/C1</f>
      </nc>
      <ndxf>
        <numFmt numFmtId="164" formatCode="0.0%"/>
      </ndxf>
    </rcc>
    <rcc rId="0" sId="7" dxf="1">
      <nc r="M1">
        <f>SUM(#REF!)</f>
      </nc>
      <ndxf>
        <font>
          <b/>
          <sz val="10"/>
          <color auto="1"/>
          <name val="Arial"/>
          <scheme val="none"/>
        </font>
      </ndxf>
    </rcc>
    <rcc rId="0" sId="7" dxf="1">
      <nc r="N1">
        <f>SUM(#REF!)</f>
      </nc>
      <ndxf>
        <font>
          <b/>
          <sz val="10"/>
          <color auto="1"/>
          <name val="Arial"/>
          <scheme val="none"/>
        </font>
      </ndxf>
    </rcc>
    <rcc rId="0" sId="7" dxf="1">
      <nc r="O1">
        <f>N1/M1-1</f>
      </nc>
      <ndxf>
        <numFmt numFmtId="14" formatCode="0.00%"/>
      </ndxf>
    </rcc>
  </rrc>
  <rrc rId="37328" sId="7" ref="A1:XFD1" action="deleteRow">
    <rfmt sheetId="7" xfDxf="1" sqref="A1:XFD1" start="0" length="0"/>
    <rfmt sheetId="7" sqref="A1" start="0" length="0">
      <dxf>
        <font>
          <b/>
          <sz val="10"/>
          <color auto="1"/>
          <name val="Arial"/>
          <scheme val="none"/>
        </font>
      </dxf>
    </rfmt>
    <rfmt sheetId="7" sqref="B1" start="0" length="0">
      <dxf>
        <font>
          <b/>
          <sz val="10"/>
          <color auto="1"/>
          <name val="Arial"/>
          <scheme val="none"/>
        </font>
        <numFmt numFmtId="10" formatCode="&quot;$&quot;#,##0_);[Red]\(&quot;$&quot;#,##0\)"/>
      </dxf>
    </rfmt>
    <rfmt sheetId="7" sqref="C1" start="0" length="0">
      <dxf>
        <font>
          <b/>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1" sqref="E1" start="0" length="0">
      <dxf>
        <font>
          <b/>
          <sz val="10"/>
          <color auto="1"/>
          <name val="Arial"/>
          <scheme val="none"/>
        </font>
        <numFmt numFmtId="13" formatCode="0%"/>
      </dxf>
    </rfmt>
    <rfmt sheetId="7" sqref="F1" start="0" length="0">
      <dxf>
        <font>
          <b/>
          <sz val="10"/>
          <color auto="1"/>
          <name val="Arial"/>
          <scheme val="none"/>
        </font>
        <numFmt numFmtId="10" formatCode="&quot;$&quot;#,##0_);[Red]\(&quot;$&quot;#,##0\)"/>
      </dxf>
    </rfmt>
    <rfmt sheetId="7" s="1"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329" sId="7" ref="A1:XFD1" action="deleteRow">
    <rfmt sheetId="7" xfDxf="1" sqref="A1:XFD1" start="0" length="0"/>
    <rcc rId="0" sId="7" dxf="1">
      <nc r="A1" t="inlineStr">
        <is>
          <t>Notes for Economic Development &amp; Regulation:</t>
        </is>
      </nc>
      <ndxf>
        <font>
          <i/>
          <sz val="10"/>
          <color auto="1"/>
          <name val="Arial"/>
          <scheme val="none"/>
        </font>
      </ndxf>
    </rcc>
    <rfmt sheetId="7" sqref="B1" start="0" length="0">
      <dxf>
        <font>
          <b/>
          <sz val="10"/>
          <color auto="1"/>
          <name val="Arial"/>
          <scheme val="none"/>
        </font>
        <numFmt numFmtId="10" formatCode="&quot;$&quot;#,##0_);[Red]\(&quot;$&quot;#,##0\)"/>
      </dxf>
    </rfmt>
    <rfmt sheetId="7" sqref="C1" start="0" length="0">
      <dxf>
        <font>
          <b/>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1" sqref="E1" start="0" length="0">
      <dxf>
        <font>
          <sz val="10"/>
          <color auto="1"/>
          <name val="Arial"/>
          <scheme val="none"/>
        </font>
        <numFmt numFmtId="13" formatCode="0%"/>
      </dxf>
    </rfmt>
    <rfmt sheetId="7" sqref="F1" start="0" length="0">
      <dxf>
        <font>
          <b/>
          <sz val="10"/>
          <color auto="1"/>
          <name val="Arial"/>
          <scheme val="none"/>
        </font>
        <numFmt numFmtId="10" formatCode="&quot;$&quot;#,##0_);[Red]\(&quot;$&quot;#,##0\)"/>
      </dxf>
    </rfmt>
    <rfmt sheetId="7" s="1"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330" sId="7" ref="A1:XFD1" action="deleteRow">
    <rfmt sheetId="7" xfDxf="1" sqref="A1:XFD1" start="0" length="0"/>
    <rcc rId="0" sId="7" dxf="1">
      <nc r="A1" t="inlineStr">
        <is>
          <t>* Prior to FY 2003, these three agencies were budgeted together under the Deputy Mayor for Planning and Economic Development.</t>
        </is>
      </nc>
      <ndxf>
        <font>
          <i/>
          <sz val="10"/>
          <color auto="1"/>
          <name val="Arial"/>
          <scheme val="none"/>
        </font>
      </ndxf>
    </rcc>
    <rfmt sheetId="7" sqref="B1" start="0" length="0">
      <dxf>
        <font>
          <b/>
          <sz val="10"/>
          <color auto="1"/>
          <name val="Arial"/>
          <scheme val="none"/>
        </font>
        <numFmt numFmtId="10" formatCode="&quot;$&quot;#,##0_);[Red]\(&quot;$&quot;#,##0\)"/>
      </dxf>
    </rfmt>
    <rfmt sheetId="7" sqref="C1" start="0" length="0">
      <dxf>
        <font>
          <b/>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qref="F1" start="0" length="0">
      <dxf>
        <font>
          <b/>
          <sz val="10"/>
          <color auto="1"/>
          <name val="Arial"/>
          <scheme val="none"/>
        </font>
        <numFmt numFmtId="10" formatCode="&quot;$&quot;#,##0_);[Red]\(&quot;$&quot;#,##0\)"/>
      </dxf>
    </rfmt>
    <rfmt sheetId="7" s="1"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331" sId="7" ref="A1:XFD1" action="deleteRow">
    <rfmt sheetId="7" xfDxf="1" sqref="A1:XFD1" start="0" length="0"/>
    <rcc rId="0" sId="7" dxf="1">
      <nc r="A1" t="inlineStr">
        <is>
          <t>** This agency was removed in 2005.</t>
        </is>
      </nc>
      <ndxf>
        <font>
          <i/>
          <sz val="10"/>
          <color auto="1"/>
          <name val="Arial"/>
          <scheme val="none"/>
        </font>
      </ndxf>
    </rcc>
    <rfmt sheetId="7" sqref="B1" start="0" length="0">
      <dxf>
        <font>
          <b/>
          <sz val="10"/>
          <color auto="1"/>
          <name val="Arial"/>
          <scheme val="none"/>
        </font>
        <numFmt numFmtId="10" formatCode="&quot;$&quot;#,##0_);[Red]\(&quot;$&quot;#,##0\)"/>
      </dxf>
    </rfmt>
    <rfmt sheetId="7" sqref="C1" start="0" length="0">
      <dxf>
        <font>
          <b/>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1" sqref="E1" start="0" length="0">
      <dxf>
        <font>
          <sz val="10"/>
          <color auto="1"/>
          <name val="Arial"/>
          <scheme val="none"/>
        </font>
        <numFmt numFmtId="13" formatCode="0%"/>
      </dxf>
    </rfmt>
    <rfmt sheetId="7" sqref="F1" start="0" length="0">
      <dxf>
        <font>
          <b/>
          <sz val="10"/>
          <color auto="1"/>
          <name val="Arial"/>
          <scheme val="none"/>
        </font>
        <numFmt numFmtId="10" formatCode="&quot;$&quot;#,##0_);[Red]\(&quot;$&quot;#,##0\)"/>
      </dxf>
    </rfmt>
    <rfmt sheetId="7" s="1"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332" sId="7" ref="A1:XFD1" action="deleteRow">
    <rfmt sheetId="7" xfDxf="1" sqref="A1:XFD1" start="0" length="0"/>
    <rcc rId="0" sId="7" dxf="1">
      <nc r="A1" t="inlineStr">
        <is>
          <t>*** This agency was established in the FY 2008 budget.</t>
        </is>
      </nc>
      <ndxf>
        <font>
          <i/>
          <sz val="10"/>
          <color auto="1"/>
          <name val="Arial"/>
          <scheme val="none"/>
        </font>
      </ndxf>
    </rcc>
    <rfmt sheetId="7" sqref="B1" start="0" length="0">
      <dxf>
        <font>
          <b/>
          <sz val="10"/>
          <color auto="1"/>
          <name val="Arial"/>
          <scheme val="none"/>
        </font>
        <numFmt numFmtId="10" formatCode="&quot;$&quot;#,##0_);[Red]\(&quot;$&quot;#,##0\)"/>
      </dxf>
    </rfmt>
    <rfmt sheetId="7" sqref="C1" start="0" length="0">
      <dxf>
        <font>
          <b/>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1" sqref="E1" start="0" length="0">
      <dxf>
        <font>
          <sz val="10"/>
          <color auto="1"/>
          <name val="Arial"/>
          <scheme val="none"/>
        </font>
        <numFmt numFmtId="13" formatCode="0%"/>
      </dxf>
    </rfmt>
    <rfmt sheetId="7" sqref="F1" start="0" length="0">
      <dxf>
        <font>
          <b/>
          <sz val="10"/>
          <color auto="1"/>
          <name val="Arial"/>
          <scheme val="none"/>
        </font>
        <numFmt numFmtId="10" formatCode="&quot;$&quot;#,##0_);[Red]\(&quot;$&quot;#,##0\)"/>
      </dxf>
    </rfmt>
    <rfmt sheetId="7" s="1"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fmt sheetId="7" sqref="J1" start="0" length="0">
      <dxf>
        <border outline="0">
          <bottom style="medium">
            <color indexed="64"/>
          </bottom>
        </border>
      </dxf>
    </rfmt>
  </rrc>
  <rrc rId="37333" sId="7" ref="A1:XFD1" action="deleteRow">
    <rfmt sheetId="7" xfDxf="1" sqref="A1:XFD1" start="0" length="0"/>
    <rcc rId="0" sId="7" dxf="1">
      <nc r="A1" t="inlineStr">
        <is>
          <t>**** Prior to FY 2007, HPTF was part of the budget of the Deputy Mayor for Planning and Economic Development.</t>
        </is>
      </nc>
      <ndxf>
        <font>
          <i/>
          <sz val="10"/>
          <color auto="1"/>
          <name val="Arial"/>
          <scheme val="none"/>
        </font>
      </ndxf>
    </rcc>
    <rfmt sheetId="7" sqref="B1" start="0" length="0">
      <dxf>
        <font>
          <b/>
          <sz val="10"/>
          <color auto="1"/>
          <name val="Arial"/>
          <scheme val="none"/>
        </font>
        <numFmt numFmtId="10" formatCode="&quot;$&quot;#,##0_);[Red]\(&quot;$&quot;#,##0\)"/>
      </dxf>
    </rfmt>
    <rfmt sheetId="7" sqref="C1" start="0" length="0">
      <dxf>
        <font>
          <b/>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qref="E1" start="0" length="0">
      <dxf>
        <font>
          <sz val="10"/>
          <color auto="1"/>
          <name val="Arial"/>
          <scheme val="none"/>
        </font>
        <numFmt numFmtId="164" formatCode="0.0%"/>
        <alignment horizontal="right" vertical="top" readingOrder="0"/>
      </dxf>
    </rfmt>
    <rfmt sheetId="7" sqref="F1" start="0" length="0">
      <dxf>
        <font>
          <b/>
          <sz val="10"/>
          <color auto="1"/>
          <name val="Arial"/>
          <scheme val="none"/>
        </font>
        <numFmt numFmtId="10" formatCode="&quot;$&quot;#,##0_);[Red]\(&quot;$&quot;#,##0\)"/>
      </dxf>
    </rfmt>
    <rfmt sheetId="7" s="1"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334" sId="7" ref="A1:XFD1" action="deleteRow">
    <rfmt sheetId="7" xfDxf="1" sqref="A1:XFD1" start="0" length="0"/>
    <rfmt sheetId="7" sqref="A1" start="0" length="0">
      <dxf>
        <font>
          <i/>
          <sz val="10"/>
          <color auto="1"/>
          <name val="Arial"/>
          <scheme val="none"/>
        </font>
      </dxf>
    </rfmt>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1" sqref="E1" start="0" length="0">
      <dxf>
        <font>
          <sz val="10"/>
          <color auto="1"/>
          <name val="Arial"/>
          <scheme val="none"/>
        </font>
        <numFmt numFmtId="13" formatCode="0%"/>
      </dxf>
    </rfmt>
    <rfmt sheetId="7" sqref="F1" start="0" length="0">
      <dxf>
        <font>
          <sz val="10"/>
          <color auto="1"/>
          <name val="Arial"/>
          <scheme val="none"/>
        </font>
        <numFmt numFmtId="10" formatCode="&quot;$&quot;#,##0_);[Red]\(&quot;$&quot;#,##0\)"/>
      </dxf>
    </rfmt>
    <rfmt sheetId="7" s="1"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335" sId="7" ref="A1:XFD1" action="deleteRow">
    <rfmt sheetId="7" xfDxf="1" sqref="A1:XFD1" start="0" length="0">
      <dxf>
        <fill>
          <patternFill patternType="solid">
            <bgColor theme="0" tint="-0.249977111117893"/>
          </patternFill>
        </fill>
        <border outline="0">
          <bottom style="medium">
            <color indexed="64"/>
          </bottom>
        </border>
      </dxf>
    </rfmt>
    <rcc rId="0" sId="7" dxf="1">
      <nc r="A1" t="inlineStr">
        <is>
          <t>Public Safety &amp; Justice</t>
        </is>
      </nc>
      <ndxf>
        <font>
          <b/>
          <sz val="10"/>
          <color auto="1"/>
          <name val="Arial"/>
          <scheme val="none"/>
        </font>
      </ndxf>
    </rcc>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1" sqref="E1" start="0" length="0">
      <dxf>
        <font>
          <sz val="10"/>
          <color auto="1"/>
          <name val="Arial"/>
          <scheme val="none"/>
        </font>
        <numFmt numFmtId="13" formatCode="0%"/>
      </dxf>
    </rfmt>
    <rfmt sheetId="7" sqref="F1" start="0" length="0">
      <dxf>
        <font>
          <sz val="10"/>
          <color auto="1"/>
          <name val="Arial"/>
          <scheme val="none"/>
        </font>
        <numFmt numFmtId="10" formatCode="&quot;$&quot;#,##0_);[Red]\(&quot;$&quot;#,##0\)"/>
      </dxf>
    </rfmt>
    <rfmt sheetId="7" s="1"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336" sId="7" ref="A1:XFD1" action="deleteRow">
    <undo index="0" exp="ref" ref3D="1" v="1" dr="C1" r="C71" sId="8"/>
    <undo index="0" exp="ref" ref3D="1" v="1" dr="B1" r="B71" sId="8"/>
    <undo index="0" exp="area" dr="N1:N19" r="N20" sId="7"/>
    <undo index="0" exp="area" dr="M1:M19" r="M20" sId="7"/>
    <undo index="0" exp="area" dr="F1:F19" r="F20" sId="7"/>
    <undo index="0" exp="area" dr="C1:C19" r="C20" sId="7"/>
    <undo index="0" exp="area" dr="B1:B19" r="B20" sId="7"/>
    <rfmt sheetId="7" xfDxf="1" sqref="A1:XFD1" start="0" length="0"/>
    <rcc rId="0" sId="7" dxf="1">
      <nc r="A1" t="inlineStr">
        <is>
          <t>Metropolitan Police Department</t>
        </is>
      </nc>
      <ndxf>
        <font>
          <sz val="10"/>
          <color auto="1"/>
          <name val="Arial"/>
          <scheme val="none"/>
        </font>
        <border outline="0">
          <left style="medium">
            <color indexed="64"/>
          </left>
        </border>
      </ndxf>
    </rcc>
    <rcc rId="0" sId="7" dxf="1" numFmtId="11">
      <nc r="B1">
        <v>486394</v>
      </nc>
      <ndxf>
        <font>
          <sz val="10"/>
          <color auto="1"/>
          <name val="Arial"/>
          <scheme val="none"/>
        </font>
        <numFmt numFmtId="10" formatCode="&quot;$&quot;#,##0_);[Red]\(&quot;$&quot;#,##0\)"/>
      </ndxf>
    </rcc>
    <rcc rId="0" sId="7" dxf="1" numFmtId="11">
      <nc r="C1">
        <v>478071</v>
      </nc>
      <ndxf>
        <font>
          <sz val="10"/>
          <color auto="1"/>
          <name val="Arial"/>
          <scheme val="none"/>
        </font>
        <numFmt numFmtId="10" formatCode="&quot;$&quot;#,##0_);[Red]\(&quot;$&quot;#,##0\)"/>
      </ndxf>
    </rcc>
    <rcc rId="0" sId="7" dxf="1">
      <nc r="D1">
        <f>C1-B1</f>
      </nc>
      <ndxf>
        <font>
          <sz val="10"/>
          <color auto="1"/>
          <name val="Arial"/>
          <scheme val="none"/>
        </font>
        <numFmt numFmtId="10" formatCode="&quot;$&quot;#,##0_);[Red]\(&quot;$&quot;#,##0\)"/>
      </ndxf>
    </rcc>
    <rcc rId="0" sId="7" s="1" dxf="1">
      <nc r="E1">
        <f>D1/B1</f>
      </nc>
      <ndxf>
        <font>
          <sz val="10"/>
          <color auto="1"/>
          <name val="Arial"/>
          <scheme val="none"/>
        </font>
        <numFmt numFmtId="13" formatCode="0%"/>
      </ndxf>
    </rcc>
    <rcc rId="0" sId="7" dxf="1" numFmtId="11">
      <nc r="F1">
        <v>503878</v>
      </nc>
      <ndxf>
        <font>
          <sz val="10"/>
          <color auto="1"/>
          <name val="Arial"/>
          <scheme val="none"/>
        </font>
        <numFmt numFmtId="10" formatCode="&quot;$&quot;#,##0_);[Red]\(&quot;$&quot;#,##0\)"/>
      </ndxf>
    </rcc>
    <rcc rId="0" sId="7" s="1" dxf="1">
      <nc r="G1">
        <f>F1-C1</f>
      </nc>
      <ndxf>
        <font>
          <sz val="10"/>
          <color auto="1"/>
          <name val="Arial"/>
          <scheme val="none"/>
        </font>
        <numFmt numFmtId="10" formatCode="&quot;$&quot;#,##0_);[Red]\(&quot;$&quot;#,##0\)"/>
      </ndxf>
    </rcc>
    <rcc rId="0" sId="7" dxf="1">
      <nc r="H1">
        <f>G1/C1</f>
      </nc>
      <ndxf>
        <font>
          <sz val="10"/>
          <color auto="1"/>
          <name val="Arial"/>
          <scheme val="none"/>
        </font>
        <numFmt numFmtId="13" formatCode="0%"/>
      </ndxf>
    </rcc>
    <rcc rId="0" sId="7" dxf="1" numFmtId="4">
      <nc r="I1">
        <v>523263</v>
      </nc>
      <ndxf>
        <numFmt numFmtId="3" formatCode="#,##0"/>
      </ndxf>
    </rcc>
    <rcc rId="0" sId="7" dxf="1">
      <nc r="J1">
        <f>I1/B1</f>
      </nc>
      <ndxf>
        <numFmt numFmtId="164" formatCode="0.0%"/>
      </ndxf>
    </rcc>
    <rcc rId="0" sId="7" dxf="1">
      <nc r="K1" t="inlineStr">
        <is>
          <t>*</t>
        </is>
      </nc>
      <ndxf>
        <font>
          <sz val="10"/>
          <color auto="1"/>
          <name val="Arial"/>
          <scheme val="none"/>
        </font>
      </ndxf>
    </rcc>
    <rcc rId="0" sId="7" dxf="1">
      <nc r="L1">
        <f>I1/C1</f>
      </nc>
      <ndxf>
        <numFmt numFmtId="164" formatCode="0.0%"/>
      </ndxf>
    </rcc>
    <rcc rId="0" sId="7">
      <nc r="M1">
        <v>510651</v>
      </nc>
    </rcc>
    <rcc rId="0" sId="7">
      <nc r="N1">
        <v>479886</v>
      </nc>
    </rcc>
    <rcc rId="0" sId="7" dxf="1">
      <nc r="O1">
        <f>N1/M1-1</f>
      </nc>
      <ndxf>
        <numFmt numFmtId="14" formatCode="0.00%"/>
      </ndxf>
    </rcc>
  </rrc>
  <rrc rId="37337" sId="7" ref="A1:XFD1" action="deleteRow">
    <undo index="0" exp="ref" ref3D="1" v="1" dr="C1" r="C72" sId="8"/>
    <undo index="0" exp="ref" ref3D="1" v="1" dr="B1" r="B72" sId="8"/>
    <undo index="0" exp="area" dr="N1:N18" r="N19" sId="7"/>
    <undo index="0" exp="area" dr="M1:M18" r="M19" sId="7"/>
    <undo index="0" exp="area" dr="F1:F18" r="F19" sId="7"/>
    <undo index="0" exp="area" dr="C1:C18" r="C19" sId="7"/>
    <undo index="0" exp="area" dr="B1:B18" r="B19" sId="7"/>
    <rfmt sheetId="7" xfDxf="1" sqref="A1:XFD1" start="0" length="0"/>
    <rcc rId="0" sId="7" dxf="1">
      <nc r="A1" t="inlineStr">
        <is>
          <t>Fire and Emergency Medical Services Department</t>
        </is>
      </nc>
      <ndxf>
        <font>
          <sz val="10"/>
          <color auto="1"/>
          <name val="Arial"/>
          <scheme val="none"/>
        </font>
        <border outline="0">
          <left style="medium">
            <color indexed="64"/>
          </left>
        </border>
      </ndxf>
    </rcc>
    <rcc rId="0" sId="7" dxf="1" numFmtId="11">
      <nc r="B1">
        <v>188977</v>
      </nc>
      <ndxf>
        <font>
          <sz val="10"/>
          <color auto="1"/>
          <name val="Arial"/>
          <scheme val="none"/>
        </font>
        <numFmt numFmtId="10" formatCode="&quot;$&quot;#,##0_);[Red]\(&quot;$&quot;#,##0\)"/>
      </ndxf>
    </rcc>
    <rcc rId="0" sId="7" dxf="1" numFmtId="11">
      <nc r="C1">
        <v>184289</v>
      </nc>
      <ndxf>
        <font>
          <sz val="10"/>
          <color auto="1"/>
          <name val="Arial"/>
          <scheme val="none"/>
        </font>
        <numFmt numFmtId="10" formatCode="&quot;$&quot;#,##0_);[Red]\(&quot;$&quot;#,##0\)"/>
      </ndxf>
    </rcc>
    <rcc rId="0" sId="7" dxf="1">
      <nc r="D1">
        <f>C1-B1</f>
      </nc>
      <ndxf>
        <font>
          <sz val="10"/>
          <color auto="1"/>
          <name val="Arial"/>
          <scheme val="none"/>
        </font>
        <numFmt numFmtId="10" formatCode="&quot;$&quot;#,##0_);[Red]\(&quot;$&quot;#,##0\)"/>
      </ndxf>
    </rcc>
    <rcc rId="0" sId="7" s="1" dxf="1">
      <nc r="E1">
        <f>D1/B1</f>
      </nc>
      <ndxf>
        <font>
          <sz val="10"/>
          <color auto="1"/>
          <name val="Arial"/>
          <scheme val="none"/>
        </font>
        <numFmt numFmtId="13" formatCode="0%"/>
      </ndxf>
    </rcc>
    <rcc rId="0" sId="7" dxf="1" numFmtId="11">
      <nc r="F1">
        <v>193526</v>
      </nc>
      <ndxf>
        <font>
          <sz val="10"/>
          <color auto="1"/>
          <name val="Arial"/>
          <scheme val="none"/>
        </font>
        <numFmt numFmtId="10" formatCode="&quot;$&quot;#,##0_);[Red]\(&quot;$&quot;#,##0\)"/>
      </ndxf>
    </rcc>
    <rcc rId="0" sId="7" s="1" dxf="1">
      <nc r="G1">
        <f>F1-C1</f>
      </nc>
      <ndxf>
        <font>
          <sz val="10"/>
          <color auto="1"/>
          <name val="Arial"/>
          <scheme val="none"/>
        </font>
        <numFmt numFmtId="10" formatCode="&quot;$&quot;#,##0_);[Red]\(&quot;$&quot;#,##0\)"/>
      </ndxf>
    </rcc>
    <rcc rId="0" sId="7" dxf="1">
      <nc r="H1">
        <f>G1/C1</f>
      </nc>
      <ndxf>
        <font>
          <sz val="10"/>
          <color auto="1"/>
          <name val="Arial"/>
          <scheme val="none"/>
        </font>
        <numFmt numFmtId="13" formatCode="0%"/>
      </ndxf>
    </rcc>
    <rcc rId="0" sId="7" dxf="1" numFmtId="4">
      <nc r="I1">
        <v>190979</v>
      </nc>
      <ndxf>
        <numFmt numFmtId="3" formatCode="#,##0"/>
      </ndxf>
    </rcc>
    <rcc rId="0" sId="7" dxf="1">
      <nc r="J1">
        <f>I1/B1</f>
      </nc>
      <ndxf>
        <numFmt numFmtId="164" formatCode="0.0%"/>
      </ndxf>
    </rcc>
    <rcc rId="0" sId="7" dxf="1">
      <nc r="K1" t="inlineStr">
        <is>
          <t>*</t>
        </is>
      </nc>
      <ndxf>
        <font>
          <sz val="10"/>
          <color auto="1"/>
          <name val="Arial"/>
          <scheme val="none"/>
        </font>
      </ndxf>
    </rcc>
    <rcc rId="0" sId="7" dxf="1">
      <nc r="L1">
        <f>I1/C1</f>
      </nc>
      <ndxf>
        <numFmt numFmtId="164" formatCode="0.0%"/>
      </ndxf>
    </rcc>
    <rcc rId="0" sId="7">
      <nc r="M1">
        <v>189455</v>
      </nc>
    </rcc>
    <rcc rId="0" sId="7">
      <nc r="N1">
        <v>194055</v>
      </nc>
    </rcc>
    <rcc rId="0" sId="7" dxf="1">
      <nc r="O1">
        <f>N1/M1-1</f>
      </nc>
      <ndxf>
        <numFmt numFmtId="14" formatCode="0.00%"/>
      </ndxf>
    </rcc>
  </rrc>
  <rrc rId="37338" sId="7" ref="A1:XFD1" action="deleteRow">
    <undo index="0" exp="ref" ref3D="1" v="1" dr="C1" r="C73" sId="8"/>
    <undo index="0" exp="ref" ref3D="1" v="1" dr="B1" r="B73" sId="8"/>
    <undo index="0" exp="area" dr="N1:N17" r="N18" sId="7"/>
    <undo index="0" exp="area" dr="M1:M17" r="M18" sId="7"/>
    <undo index="0" exp="area" dr="F1:F17" r="F18" sId="7"/>
    <undo index="0" exp="area" dr="C1:C17" r="C18" sId="7"/>
    <undo index="0" exp="area" dr="B1:B17" r="B18" sId="7"/>
    <rfmt sheetId="7" xfDxf="1" sqref="A1:XFD1" start="0" length="0"/>
    <rcc rId="0" sId="7" dxf="1">
      <nc r="A1" t="inlineStr">
        <is>
          <t>Police Officers' and Fire Fighters' Retirement</t>
        </is>
      </nc>
      <ndxf>
        <font>
          <sz val="10"/>
          <color auto="1"/>
          <name val="Arial"/>
          <scheme val="none"/>
        </font>
        <border outline="0">
          <left style="medium">
            <color indexed="64"/>
          </left>
        </border>
      </ndxf>
    </rcc>
    <rcc rId="0" sId="7" dxf="1" numFmtId="11">
      <nc r="B1">
        <v>137000</v>
      </nc>
      <ndxf>
        <font>
          <sz val="10"/>
          <color auto="1"/>
          <name val="Arial"/>
          <scheme val="none"/>
        </font>
        <numFmt numFmtId="10" formatCode="&quot;$&quot;#,##0_);[Red]\(&quot;$&quot;#,##0\)"/>
      </ndxf>
    </rcc>
    <rcc rId="0" sId="7" dxf="1" numFmtId="11">
      <nc r="C1">
        <v>110900</v>
      </nc>
      <ndxf>
        <font>
          <sz val="10"/>
          <color auto="1"/>
          <name val="Arial"/>
          <scheme val="none"/>
        </font>
        <numFmt numFmtId="10" formatCode="&quot;$&quot;#,##0_);[Red]\(&quot;$&quot;#,##0\)"/>
      </ndxf>
    </rcc>
    <rcc rId="0" sId="7" dxf="1">
      <nc r="D1">
        <f>C1-B1</f>
      </nc>
      <ndxf>
        <font>
          <sz val="10"/>
          <color auto="1"/>
          <name val="Arial"/>
          <scheme val="none"/>
        </font>
        <numFmt numFmtId="10" formatCode="&quot;$&quot;#,##0_);[Red]\(&quot;$&quot;#,##0\)"/>
      </ndxf>
    </rcc>
    <rcc rId="0" sId="7" s="1" dxf="1">
      <nc r="E1">
        <f>D1/B1</f>
      </nc>
      <ndxf>
        <font>
          <sz val="10"/>
          <color auto="1"/>
          <name val="Arial"/>
          <scheme val="none"/>
        </font>
        <numFmt numFmtId="13" formatCode="0%"/>
      </ndxf>
    </rcc>
    <rcc rId="0" sId="7" dxf="1" numFmtId="11">
      <nc r="F1">
        <v>132300</v>
      </nc>
      <ndxf>
        <font>
          <sz val="10"/>
          <color auto="1"/>
          <name val="Arial"/>
          <scheme val="none"/>
        </font>
        <numFmt numFmtId="10" formatCode="&quot;$&quot;#,##0_);[Red]\(&quot;$&quot;#,##0\)"/>
      </ndxf>
    </rcc>
    <rcc rId="0" sId="7" s="1" dxf="1">
      <nc r="G1">
        <f>F1-C1</f>
      </nc>
      <ndxf>
        <font>
          <sz val="10"/>
          <color auto="1"/>
          <name val="Arial"/>
          <scheme val="none"/>
        </font>
        <numFmt numFmtId="10" formatCode="&quot;$&quot;#,##0_);[Red]\(&quot;$&quot;#,##0\)"/>
      </ndxf>
    </rcc>
    <rcc rId="0" sId="7" dxf="1">
      <nc r="H1">
        <f>G1/C1</f>
      </nc>
      <ndxf>
        <font>
          <sz val="10"/>
          <color auto="1"/>
          <name val="Arial"/>
          <scheme val="none"/>
        </font>
        <numFmt numFmtId="13" formatCode="0%"/>
      </ndxf>
    </rcc>
    <rcc rId="0" sId="7" dxf="1" numFmtId="4">
      <nc r="I1">
        <v>132300</v>
      </nc>
      <ndxf>
        <numFmt numFmtId="3" formatCode="#,##0"/>
      </ndxf>
    </rcc>
    <rcc rId="0" sId="7" dxf="1">
      <nc r="J1">
        <f>I1/B1</f>
      </nc>
      <ndxf>
        <numFmt numFmtId="164" formatCode="0.0%"/>
      </ndxf>
    </rcc>
    <rcc rId="0" sId="7" dxf="1">
      <nc r="K1" t="inlineStr">
        <is>
          <t>**</t>
        </is>
      </nc>
      <ndxf>
        <font>
          <sz val="10"/>
          <color auto="1"/>
          <name val="Arial"/>
          <scheme val="none"/>
        </font>
      </ndxf>
    </rcc>
    <rcc rId="0" sId="7" dxf="1">
      <nc r="L1">
        <f>I1/C1</f>
      </nc>
      <ndxf>
        <numFmt numFmtId="164" formatCode="0.0%"/>
      </ndxf>
    </rcc>
    <rcc rId="0" sId="7">
      <nc r="M1">
        <v>132975</v>
      </nc>
    </rcc>
    <rcc rId="0" sId="7">
      <nc r="N1">
        <v>127200</v>
      </nc>
    </rcc>
    <rcc rId="0" sId="7" dxf="1">
      <nc r="O1">
        <f>N1/M1-1</f>
      </nc>
      <ndxf>
        <numFmt numFmtId="14" formatCode="0.00%"/>
      </ndxf>
    </rcc>
  </rrc>
  <rrc rId="37339" sId="7" ref="A1:XFD1" action="deleteRow">
    <undo index="0" exp="ref" ref3D="1" v="1" dr="C1" r="C74" sId="8"/>
    <undo index="0" exp="ref" ref3D="1" v="1" dr="B1" r="B74" sId="8"/>
    <undo index="0" exp="area" dr="N1:N16" r="N17" sId="7"/>
    <undo index="0" exp="area" dr="M1:M16" r="M17" sId="7"/>
    <undo index="0" exp="area" dr="F1:F16" r="F17" sId="7"/>
    <undo index="0" exp="area" dr="C1:C16" r="C17" sId="7"/>
    <undo index="0" exp="area" dr="B1:B16" r="B17" sId="7"/>
    <rfmt sheetId="7" xfDxf="1" sqref="A1:XFD1" start="0" length="0"/>
    <rcc rId="0" sId="7" dxf="1">
      <nc r="A1" t="inlineStr">
        <is>
          <t>Department of Corrections</t>
        </is>
      </nc>
      <ndxf>
        <font>
          <sz val="10"/>
          <color auto="1"/>
          <name val="Arial"/>
          <scheme val="none"/>
        </font>
        <border outline="0">
          <left style="medium">
            <color indexed="64"/>
          </left>
        </border>
      </ndxf>
    </rcc>
    <rcc rId="0" sId="7" dxf="1" numFmtId="11">
      <nc r="B1">
        <v>153184</v>
      </nc>
      <ndxf>
        <font>
          <sz val="10"/>
          <color auto="1"/>
          <name val="Arial"/>
          <scheme val="none"/>
        </font>
        <numFmt numFmtId="10" formatCode="&quot;$&quot;#,##0_);[Red]\(&quot;$&quot;#,##0\)"/>
      </ndxf>
    </rcc>
    <rcc rId="0" sId="7" dxf="1" numFmtId="11">
      <nc r="C1">
        <v>149276</v>
      </nc>
      <ndxf>
        <font>
          <sz val="10"/>
          <color auto="1"/>
          <name val="Arial"/>
          <scheme val="none"/>
        </font>
        <numFmt numFmtId="10" formatCode="&quot;$&quot;#,##0_);[Red]\(&quot;$&quot;#,##0\)"/>
      </ndxf>
    </rcc>
    <rcc rId="0" sId="7" dxf="1">
      <nc r="D1">
        <f>C1-B1</f>
      </nc>
      <ndxf>
        <font>
          <sz val="10"/>
          <color auto="1"/>
          <name val="Arial"/>
          <scheme val="none"/>
        </font>
        <numFmt numFmtId="10" formatCode="&quot;$&quot;#,##0_);[Red]\(&quot;$&quot;#,##0\)"/>
      </ndxf>
    </rcc>
    <rcc rId="0" sId="7" s="1" dxf="1">
      <nc r="E1">
        <f>D1/B1</f>
      </nc>
      <ndxf>
        <font>
          <sz val="10"/>
          <color auto="1"/>
          <name val="Arial"/>
          <scheme val="none"/>
        </font>
        <numFmt numFmtId="13" formatCode="0%"/>
      </ndxf>
    </rcc>
    <rcc rId="0" sId="7" dxf="1" numFmtId="11">
      <nc r="F1">
        <v>136848</v>
      </nc>
      <ndxf>
        <font>
          <sz val="10"/>
          <color auto="1"/>
          <name val="Arial"/>
          <scheme val="none"/>
        </font>
        <numFmt numFmtId="10" formatCode="&quot;$&quot;#,##0_);[Red]\(&quot;$&quot;#,##0\)"/>
      </ndxf>
    </rcc>
    <rcc rId="0" sId="7" s="1" dxf="1">
      <nc r="G1">
        <f>F1-C1</f>
      </nc>
      <ndxf>
        <font>
          <sz val="10"/>
          <color auto="1"/>
          <name val="Arial"/>
          <scheme val="none"/>
        </font>
        <numFmt numFmtId="10" formatCode="&quot;$&quot;#,##0_);[Red]\(&quot;$&quot;#,##0\)"/>
      </ndxf>
    </rcc>
    <rcc rId="0" sId="7" dxf="1">
      <nc r="H1">
        <f>G1/C1</f>
      </nc>
      <ndxf>
        <font>
          <sz val="10"/>
          <color auto="1"/>
          <name val="Arial"/>
          <scheme val="none"/>
        </font>
        <numFmt numFmtId="13" formatCode="0%"/>
      </ndxf>
    </rcc>
    <rcc rId="0" sId="7" dxf="1" numFmtId="4">
      <nc r="I1">
        <v>142152</v>
      </nc>
      <ndxf>
        <numFmt numFmtId="3" formatCode="#,##0"/>
      </ndxf>
    </rcc>
    <rcc rId="0" sId="7" dxf="1">
      <nc r="J1">
        <f>I1/B1</f>
      </nc>
      <ndxf>
        <numFmt numFmtId="164" formatCode="0.0%"/>
      </ndxf>
    </rcc>
    <rcc rId="0" sId="7" dxf="1">
      <nc r="K1" t="inlineStr">
        <is>
          <t>*</t>
        </is>
      </nc>
      <ndxf>
        <font>
          <sz val="10"/>
          <color auto="1"/>
          <name val="Arial"/>
          <scheme val="none"/>
        </font>
      </ndxf>
    </rcc>
    <rcc rId="0" sId="7" dxf="1">
      <nc r="L1">
        <f>I1/C1</f>
      </nc>
      <ndxf>
        <numFmt numFmtId="164" formatCode="0.0%"/>
      </ndxf>
    </rcc>
    <rcc rId="0" sId="7">
      <nc r="M1">
        <v>137460</v>
      </nc>
    </rcc>
    <rcc rId="0" sId="7">
      <nc r="N1">
        <v>126231</v>
      </nc>
    </rcc>
    <rcc rId="0" sId="7" dxf="1">
      <nc r="O1">
        <f>N1/M1-1</f>
      </nc>
      <ndxf>
        <numFmt numFmtId="14" formatCode="0.00%"/>
      </ndxf>
    </rcc>
  </rrc>
  <rrc rId="37340" sId="7" ref="A1:XFD1" action="deleteRow">
    <undo index="0" exp="ref" ref3D="1" v="1" dr="C1" r="C75" sId="8"/>
    <undo index="0" exp="ref" ref3D="1" v="1" dr="B1" r="B75" sId="8"/>
    <undo index="0" exp="area" dr="N1:N15" r="N16" sId="7"/>
    <undo index="0" exp="area" dr="M1:M15" r="M16" sId="7"/>
    <undo index="0" exp="area" dr="F1:F15" r="F16" sId="7"/>
    <undo index="0" exp="area" dr="C1:C15" r="C16" sId="7"/>
    <undo index="0" exp="area" dr="B1:B15" r="B16" sId="7"/>
    <rfmt sheetId="7" xfDxf="1" sqref="A1:XFD1" start="0" length="0"/>
    <rcc rId="0" sId="7" dxf="1">
      <nc r="A1" t="inlineStr">
        <is>
          <t>National Guard</t>
        </is>
      </nc>
      <ndxf>
        <font>
          <sz val="10"/>
          <color auto="1"/>
          <name val="Arial"/>
          <scheme val="none"/>
        </font>
        <border outline="0">
          <left style="medium">
            <color indexed="64"/>
          </left>
        </border>
      </ndxf>
    </rcc>
    <rcc rId="0" sId="7" dxf="1" numFmtId="11">
      <nc r="B1">
        <v>4922</v>
      </nc>
      <ndxf>
        <font>
          <sz val="10"/>
          <color auto="1"/>
          <name val="Arial"/>
          <scheme val="none"/>
        </font>
        <numFmt numFmtId="10" formatCode="&quot;$&quot;#,##0_);[Red]\(&quot;$&quot;#,##0\)"/>
      </ndxf>
    </rcc>
    <rcc rId="0" sId="7" dxf="1" numFmtId="11">
      <nc r="C1">
        <v>8358</v>
      </nc>
      <ndxf>
        <font>
          <sz val="10"/>
          <color auto="1"/>
          <name val="Arial"/>
          <scheme val="none"/>
        </font>
        <numFmt numFmtId="10" formatCode="&quot;$&quot;#,##0_);[Red]\(&quot;$&quot;#,##0\)"/>
      </ndxf>
    </rcc>
    <rcc rId="0" sId="7" dxf="1">
      <nc r="D1">
        <f>C1-B1</f>
      </nc>
      <ndxf>
        <font>
          <sz val="10"/>
          <color auto="1"/>
          <name val="Arial"/>
          <scheme val="none"/>
        </font>
        <numFmt numFmtId="10" formatCode="&quot;$&quot;#,##0_);[Red]\(&quot;$&quot;#,##0\)"/>
      </ndxf>
    </rcc>
    <rcc rId="0" sId="7" s="1" dxf="1">
      <nc r="E1">
        <f>D1/B1</f>
      </nc>
      <ndxf>
        <font>
          <sz val="10"/>
          <color auto="1"/>
          <name val="Arial"/>
          <scheme val="none"/>
        </font>
        <numFmt numFmtId="13" formatCode="0%"/>
      </ndxf>
    </rcc>
    <rcc rId="0" sId="7" dxf="1" numFmtId="11">
      <nc r="F1">
        <v>5806</v>
      </nc>
      <ndxf>
        <font>
          <sz val="10"/>
          <color auto="1"/>
          <name val="Arial"/>
          <scheme val="none"/>
        </font>
        <numFmt numFmtId="10" formatCode="&quot;$&quot;#,##0_);[Red]\(&quot;$&quot;#,##0\)"/>
      </ndxf>
    </rcc>
    <rcc rId="0" sId="7" s="1" dxf="1">
      <nc r="G1">
        <f>F1-C1</f>
      </nc>
      <ndxf>
        <font>
          <sz val="10"/>
          <color auto="1"/>
          <name val="Arial"/>
          <scheme val="none"/>
        </font>
        <numFmt numFmtId="10" formatCode="&quot;$&quot;#,##0_);[Red]\(&quot;$&quot;#,##0\)"/>
      </ndxf>
    </rcc>
    <rcc rId="0" sId="7" dxf="1">
      <nc r="H1">
        <f>G1/C1</f>
      </nc>
      <ndxf>
        <font>
          <sz val="10"/>
          <color auto="1"/>
          <name val="Arial"/>
          <scheme val="none"/>
        </font>
        <numFmt numFmtId="13" formatCode="0%"/>
      </ndxf>
    </rcc>
    <rcc rId="0" sId="7" dxf="1" numFmtId="4">
      <nc r="I1">
        <v>7833</v>
      </nc>
      <ndxf>
        <numFmt numFmtId="3" formatCode="#,##0"/>
      </ndxf>
    </rcc>
    <rcc rId="0" sId="7" dxf="1">
      <nc r="J1">
        <f>I1/B1</f>
      </nc>
      <ndxf>
        <numFmt numFmtId="164" formatCode="0.0%"/>
      </ndxf>
    </rcc>
    <rcc rId="0" sId="7" dxf="1">
      <nc r="K1" t="inlineStr">
        <is>
          <t>***</t>
        </is>
      </nc>
      <ndxf>
        <font>
          <sz val="10"/>
          <color auto="1"/>
          <name val="Arial"/>
          <scheme val="none"/>
        </font>
      </ndxf>
    </rcc>
    <rcc rId="0" sId="7" dxf="1">
      <nc r="L1">
        <f>I1/C1</f>
      </nc>
      <ndxf>
        <numFmt numFmtId="164" formatCode="0.0%"/>
      </ndxf>
    </rcc>
    <rcc rId="0" sId="7">
      <nc r="M1">
        <v>7856</v>
      </nc>
    </rcc>
    <rcc rId="0" sId="7">
      <nc r="N1">
        <v>7056</v>
      </nc>
    </rcc>
    <rcc rId="0" sId="7" dxf="1">
      <nc r="O1">
        <f>N1/M1-1</f>
      </nc>
      <ndxf>
        <numFmt numFmtId="14" formatCode="0.00%"/>
      </ndxf>
    </rcc>
  </rrc>
  <rrc rId="37341" sId="7" ref="A1:XFD1" action="deleteRow">
    <undo index="0" exp="ref" ref3D="1" v="1" dr="C1" r="C76" sId="8"/>
    <undo index="0" exp="ref" ref3D="1" v="1" dr="B1" r="B76" sId="8"/>
    <undo index="0" exp="area" dr="N1:N14" r="N15" sId="7"/>
    <undo index="0" exp="area" dr="M1:M14" r="M15" sId="7"/>
    <undo index="0" exp="area" dr="F1:F14" r="F15" sId="7"/>
    <undo index="0" exp="area" dr="C1:C14" r="C15" sId="7"/>
    <undo index="0" exp="area" dr="B1:B14" r="B15" sId="7"/>
    <rfmt sheetId="7" xfDxf="1" sqref="A1:XFD1" start="0" length="0"/>
    <rcc rId="0" sId="7" dxf="1">
      <nc r="A1" t="inlineStr">
        <is>
          <t>Homeland Security and Emergency Management Agency</t>
        </is>
      </nc>
      <ndxf>
        <font>
          <sz val="10"/>
          <color auto="1"/>
          <name val="Arial"/>
          <scheme val="none"/>
        </font>
        <border outline="0">
          <left style="medium">
            <color indexed="64"/>
          </left>
        </border>
      </ndxf>
    </rcc>
    <rcc rId="0" sId="7" dxf="1" numFmtId="11">
      <nc r="B1">
        <v>46898</v>
      </nc>
      <ndxf>
        <font>
          <sz val="10"/>
          <color auto="1"/>
          <name val="Arial"/>
          <scheme val="none"/>
        </font>
        <numFmt numFmtId="10" formatCode="&quot;$&quot;#,##0_);[Red]\(&quot;$&quot;#,##0\)"/>
      </ndxf>
    </rcc>
    <rcc rId="0" sId="7" dxf="1" numFmtId="11">
      <nc r="C1">
        <v>249389</v>
      </nc>
      <ndxf>
        <font>
          <sz val="10"/>
          <color auto="1"/>
          <name val="Arial"/>
          <scheme val="none"/>
        </font>
        <numFmt numFmtId="10" formatCode="&quot;$&quot;#,##0_);[Red]\(&quot;$&quot;#,##0\)"/>
      </ndxf>
    </rcc>
    <rcc rId="0" sId="7" dxf="1">
      <nc r="D1">
        <f>C1-B1</f>
      </nc>
      <ndxf>
        <font>
          <sz val="10"/>
          <color auto="1"/>
          <name val="Arial"/>
          <scheme val="none"/>
        </font>
        <numFmt numFmtId="10" formatCode="&quot;$&quot;#,##0_);[Red]\(&quot;$&quot;#,##0\)"/>
      </ndxf>
    </rcc>
    <rcc rId="0" sId="7" s="1" dxf="1">
      <nc r="E1">
        <f>D1/B1</f>
      </nc>
      <ndxf>
        <font>
          <sz val="10"/>
          <color auto="1"/>
          <name val="Arial"/>
          <scheme val="none"/>
        </font>
        <numFmt numFmtId="13" formatCode="0%"/>
      </ndxf>
    </rcc>
    <rcc rId="0" sId="7" dxf="1" numFmtId="11">
      <nc r="F1">
        <v>239977</v>
      </nc>
      <ndxf>
        <font>
          <sz val="10"/>
          <color auto="1"/>
          <name val="Arial"/>
          <scheme val="none"/>
        </font>
        <numFmt numFmtId="10" formatCode="&quot;$&quot;#,##0_);[Red]\(&quot;$&quot;#,##0\)"/>
      </ndxf>
    </rcc>
    <rcc rId="0" sId="7" s="1" dxf="1">
      <nc r="G1">
        <f>F1-C1</f>
      </nc>
      <ndxf>
        <font>
          <sz val="10"/>
          <color auto="1"/>
          <name val="Arial"/>
          <scheme val="none"/>
        </font>
        <numFmt numFmtId="10" formatCode="&quot;$&quot;#,##0_);[Red]\(&quot;$&quot;#,##0\)"/>
      </ndxf>
    </rcc>
    <rcc rId="0" sId="7" dxf="1">
      <nc r="H1">
        <f>G1/C1</f>
      </nc>
      <ndxf>
        <font>
          <sz val="10"/>
          <color auto="1"/>
          <name val="Arial"/>
          <scheme val="none"/>
        </font>
        <numFmt numFmtId="13" formatCode="0%"/>
      </ndxf>
    </rcc>
    <rcc rId="0" sId="7" dxf="1" numFmtId="4">
      <nc r="I1">
        <v>239593</v>
      </nc>
      <ndxf>
        <numFmt numFmtId="3" formatCode="#,##0"/>
      </ndxf>
    </rcc>
    <rcc rId="0" sId="7" dxf="1">
      <nc r="J1">
        <f>I1/B1</f>
      </nc>
      <ndxf>
        <numFmt numFmtId="164" formatCode="0.0%"/>
      </ndxf>
    </rcc>
    <rcc rId="0" sId="7" dxf="1">
      <nc r="K1" t="inlineStr">
        <is>
          <t>*****</t>
        </is>
      </nc>
      <ndxf>
        <font>
          <sz val="10"/>
          <color auto="1"/>
          <name val="Arial"/>
          <scheme val="none"/>
        </font>
      </ndxf>
    </rcc>
    <rcc rId="0" sId="7" dxf="1">
      <nc r="L1">
        <f>I1/C1</f>
      </nc>
      <ndxf>
        <numFmt numFmtId="164" formatCode="0.0%"/>
      </ndxf>
    </rcc>
    <rcc rId="0" sId="7">
      <nc r="M1">
        <v>239043</v>
      </nc>
    </rcc>
    <rcc rId="0" sId="7">
      <nc r="N1">
        <v>198955</v>
      </nc>
    </rcc>
    <rcc rId="0" sId="7" dxf="1">
      <nc r="O1">
        <f>N1/M1-1</f>
      </nc>
      <ndxf>
        <numFmt numFmtId="14" formatCode="0.00%"/>
      </ndxf>
    </rcc>
  </rrc>
  <rrc rId="37342" sId="7" ref="A1:XFD1" action="deleteRow">
    <undo index="0" exp="ref" ref3D="1" v="1" dr="C1" r="C77" sId="8"/>
    <undo index="0" exp="ref" ref3D="1" v="1" dr="B1" r="B77" sId="8"/>
    <undo index="0" exp="area" dr="N1:N13" r="N14" sId="7"/>
    <undo index="0" exp="area" dr="M1:M13" r="M14" sId="7"/>
    <undo index="0" exp="area" dr="F1:F13" r="F14" sId="7"/>
    <undo index="0" exp="area" dr="C1:C13" r="C14" sId="7"/>
    <undo index="0" exp="area" dr="B1:B13" r="B14" sId="7"/>
    <rfmt sheetId="7" xfDxf="1" sqref="A1:XFD1" start="0" length="0"/>
    <rcc rId="0" sId="7" dxf="1">
      <nc r="A1" t="inlineStr">
        <is>
          <t>Commission on Judicial Disabilities and Tenure</t>
        </is>
      </nc>
      <ndxf>
        <font>
          <sz val="10"/>
          <color auto="1"/>
          <name val="Arial"/>
          <scheme val="none"/>
        </font>
        <border outline="0">
          <left style="medium">
            <color indexed="64"/>
          </left>
        </border>
      </ndxf>
    </rcc>
    <rcc rId="0" sId="7" dxf="1" numFmtId="11">
      <nc r="B1">
        <v>249</v>
      </nc>
      <ndxf>
        <font>
          <sz val="10"/>
          <color auto="1"/>
          <name val="Arial"/>
          <scheme val="none"/>
        </font>
        <numFmt numFmtId="10" formatCode="&quot;$&quot;#,##0_);[Red]\(&quot;$&quot;#,##0\)"/>
      </ndxf>
    </rcc>
    <rcc rId="0" sId="7" dxf="1" numFmtId="11">
      <nc r="C1">
        <v>271</v>
      </nc>
      <ndxf>
        <font>
          <sz val="10"/>
          <color auto="1"/>
          <name val="Arial"/>
          <scheme val="none"/>
        </font>
        <numFmt numFmtId="10" formatCode="&quot;$&quot;#,##0_);[Red]\(&quot;$&quot;#,##0\)"/>
      </ndxf>
    </rcc>
    <rcc rId="0" sId="7" dxf="1">
      <nc r="D1">
        <f>C1-B1</f>
      </nc>
      <ndxf>
        <font>
          <sz val="10"/>
          <color auto="1"/>
          <name val="Arial"/>
          <scheme val="none"/>
        </font>
        <numFmt numFmtId="10" formatCode="&quot;$&quot;#,##0_);[Red]\(&quot;$&quot;#,##0\)"/>
      </ndxf>
    </rcc>
    <rcc rId="0" sId="7" s="1" dxf="1">
      <nc r="E1">
        <f>D1/B1</f>
      </nc>
      <ndxf>
        <font>
          <sz val="10"/>
          <color auto="1"/>
          <name val="Arial"/>
          <scheme val="none"/>
        </font>
        <numFmt numFmtId="13" formatCode="0%"/>
      </ndxf>
    </rcc>
    <rcc rId="0" sId="7" dxf="1" numFmtId="11">
      <nc r="F1">
        <v>267</v>
      </nc>
      <ndxf>
        <font>
          <sz val="10"/>
          <color auto="1"/>
          <name val="Arial"/>
          <scheme val="none"/>
        </font>
        <numFmt numFmtId="10" formatCode="&quot;$&quot;#,##0_);[Red]\(&quot;$&quot;#,##0\)"/>
      </ndxf>
    </rcc>
    <rcc rId="0" sId="7" s="1" dxf="1">
      <nc r="G1">
        <f>F1-C1</f>
      </nc>
      <ndxf>
        <font>
          <sz val="10"/>
          <color auto="1"/>
          <name val="Arial"/>
          <scheme val="none"/>
        </font>
        <numFmt numFmtId="10" formatCode="&quot;$&quot;#,##0_);[Red]\(&quot;$&quot;#,##0\)"/>
      </ndxf>
    </rcc>
    <rcc rId="0" sId="7" dxf="1">
      <nc r="H1">
        <f>G1/C1</f>
      </nc>
      <ndxf>
        <font>
          <sz val="10"/>
          <color auto="1"/>
          <name val="Arial"/>
          <scheme val="none"/>
        </font>
        <numFmt numFmtId="13" formatCode="0%"/>
      </ndxf>
    </rcc>
    <rcc rId="0" sId="7" dxf="1" numFmtId="4">
      <nc r="I1">
        <v>275</v>
      </nc>
      <ndxf>
        <numFmt numFmtId="3" formatCode="#,##0"/>
      </ndxf>
    </rcc>
    <rcc rId="0" sId="7" dxf="1">
      <nc r="J1">
        <f>I1/B1</f>
      </nc>
      <ndxf>
        <numFmt numFmtId="164" formatCode="0.0%"/>
      </ndxf>
    </rcc>
    <rcc rId="0" sId="7" dxf="1">
      <nc r="K1" t="inlineStr">
        <is>
          <t>*</t>
        </is>
      </nc>
      <ndxf>
        <font>
          <sz val="10"/>
          <color auto="1"/>
          <name val="Arial"/>
          <scheme val="none"/>
        </font>
      </ndxf>
    </rcc>
    <rcc rId="0" sId="7" dxf="1">
      <nc r="L1">
        <f>I1/C1</f>
      </nc>
      <ndxf>
        <numFmt numFmtId="164" formatCode="0.0%"/>
      </ndxf>
    </rcc>
    <rcc rId="0" sId="7">
      <nc r="M1">
        <v>295</v>
      </nc>
    </rcc>
    <rcc rId="0" sId="7">
      <nc r="N1">
        <v>295</v>
      </nc>
    </rcc>
    <rcc rId="0" sId="7" dxf="1">
      <nc r="O1">
        <f>N1/M1-1</f>
      </nc>
      <ndxf>
        <numFmt numFmtId="14" formatCode="0.00%"/>
      </ndxf>
    </rcc>
  </rrc>
  <rrc rId="37343" sId="7" ref="A1:XFD1" action="deleteRow">
    <undo index="0" exp="ref" ref3D="1" v="1" dr="C1" r="C78" sId="8"/>
    <undo index="0" exp="ref" ref3D="1" v="1" dr="B1" r="B78" sId="8"/>
    <undo index="0" exp="area" dr="N1:N12" r="N13" sId="7"/>
    <undo index="0" exp="area" dr="M1:M12" r="M13" sId="7"/>
    <undo index="0" exp="area" dr="F1:F12" r="F13" sId="7"/>
    <undo index="0" exp="area" dr="C1:C12" r="C13" sId="7"/>
    <undo index="0" exp="area" dr="B1:B12" r="B13" sId="7"/>
    <rfmt sheetId="7" xfDxf="1" sqref="A1:XFD1" start="0" length="0"/>
    <rcc rId="0" sId="7" dxf="1">
      <nc r="A1" t="inlineStr">
        <is>
          <t>Judicial Nomination Commission</t>
        </is>
      </nc>
      <ndxf>
        <font>
          <sz val="10"/>
          <color auto="1"/>
          <name val="Arial"/>
          <scheme val="none"/>
        </font>
        <border outline="0">
          <left style="medium">
            <color indexed="64"/>
          </left>
        </border>
      </ndxf>
    </rcc>
    <rcc rId="0" sId="7" dxf="1" numFmtId="11">
      <nc r="B1">
        <v>103</v>
      </nc>
      <ndxf>
        <font>
          <sz val="10"/>
          <color auto="1"/>
          <name val="Arial"/>
          <scheme val="none"/>
        </font>
        <numFmt numFmtId="10" formatCode="&quot;$&quot;#,##0_);[Red]\(&quot;$&quot;#,##0\)"/>
      </ndxf>
    </rcc>
    <rcc rId="0" sId="7" dxf="1" numFmtId="11">
      <nc r="C1">
        <v>152</v>
      </nc>
      <ndxf>
        <font>
          <sz val="10"/>
          <color auto="1"/>
          <name val="Arial"/>
          <scheme val="none"/>
        </font>
        <numFmt numFmtId="10" formatCode="&quot;$&quot;#,##0_);[Red]\(&quot;$&quot;#,##0\)"/>
      </ndxf>
    </rcc>
    <rcc rId="0" sId="7" dxf="1">
      <nc r="D1">
        <f>C1-B1</f>
      </nc>
      <ndxf>
        <font>
          <sz val="10"/>
          <color auto="1"/>
          <name val="Arial"/>
          <scheme val="none"/>
        </font>
        <numFmt numFmtId="10" formatCode="&quot;$&quot;#,##0_);[Red]\(&quot;$&quot;#,##0\)"/>
      </ndxf>
    </rcc>
    <rcc rId="0" sId="7" s="1" dxf="1">
      <nc r="E1">
        <f>D1/B1</f>
      </nc>
      <ndxf>
        <font>
          <sz val="10"/>
          <color auto="1"/>
          <name val="Arial"/>
          <scheme val="none"/>
        </font>
        <numFmt numFmtId="13" formatCode="0%"/>
      </ndxf>
    </rcc>
    <rcc rId="0" sId="7" dxf="1" numFmtId="11">
      <nc r="F1">
        <v>182</v>
      </nc>
      <ndxf>
        <font>
          <sz val="10"/>
          <color auto="1"/>
          <name val="Arial"/>
          <scheme val="none"/>
        </font>
        <numFmt numFmtId="10" formatCode="&quot;$&quot;#,##0_);[Red]\(&quot;$&quot;#,##0\)"/>
      </ndxf>
    </rcc>
    <rcc rId="0" sId="7" s="1" dxf="1">
      <nc r="G1">
        <f>F1-C1</f>
      </nc>
      <ndxf>
        <font>
          <sz val="10"/>
          <color auto="1"/>
          <name val="Arial"/>
          <scheme val="none"/>
        </font>
        <numFmt numFmtId="10" formatCode="&quot;$&quot;#,##0_);[Red]\(&quot;$&quot;#,##0\)"/>
      </ndxf>
    </rcc>
    <rcc rId="0" sId="7" dxf="1">
      <nc r="H1">
        <f>G1/C1</f>
      </nc>
      <ndxf>
        <font>
          <sz val="10"/>
          <color auto="1"/>
          <name val="Arial"/>
          <scheme val="none"/>
        </font>
        <numFmt numFmtId="13" formatCode="0%"/>
      </ndxf>
    </rcc>
    <rcc rId="0" sId="7" dxf="1" numFmtId="4">
      <nc r="I1">
        <v>184</v>
      </nc>
      <ndxf>
        <numFmt numFmtId="3" formatCode="#,##0"/>
      </ndxf>
    </rcc>
    <rcc rId="0" sId="7" dxf="1">
      <nc r="J1">
        <f>I1/B1</f>
      </nc>
      <ndxf>
        <numFmt numFmtId="164" formatCode="0.0%"/>
      </ndxf>
    </rcc>
    <rcc rId="0" sId="7" dxf="1">
      <nc r="K1" t="inlineStr">
        <is>
          <t>***</t>
        </is>
      </nc>
      <ndxf>
        <font>
          <sz val="10"/>
          <color auto="1"/>
          <name val="Arial"/>
          <scheme val="none"/>
        </font>
      </ndxf>
    </rcc>
    <rcc rId="0" sId="7" dxf="1">
      <nc r="L1">
        <f>I1/C1</f>
      </nc>
      <ndxf>
        <numFmt numFmtId="164" formatCode="0.0%"/>
      </ndxf>
    </rcc>
    <rcc rId="0" sId="7">
      <nc r="M1">
        <v>205</v>
      </nc>
    </rcc>
    <rcc rId="0" sId="7">
      <nc r="N1">
        <v>205</v>
      </nc>
    </rcc>
    <rcc rId="0" sId="7" dxf="1">
      <nc r="O1">
        <f>N1/M1-1</f>
      </nc>
      <ndxf>
        <numFmt numFmtId="14" formatCode="0.00%"/>
      </ndxf>
    </rcc>
  </rrc>
  <rrc rId="37344" sId="7" ref="A1:XFD1" action="deleteRow">
    <undo index="0" exp="ref" ref3D="1" v="1" dr="C1" r="C79" sId="8"/>
    <undo index="0" exp="ref" ref3D="1" v="1" dr="B1" r="B79" sId="8"/>
    <undo index="0" exp="area" dr="N1:N11" r="N12" sId="7"/>
    <undo index="0" exp="area" dr="M1:M11" r="M12" sId="7"/>
    <undo index="0" exp="area" dr="F1:F11" r="F12" sId="7"/>
    <undo index="0" exp="area" dr="C1:C11" r="C12" sId="7"/>
    <undo index="0" exp="area" dr="B1:B11" r="B12" sId="7"/>
    <rfmt sheetId="7" xfDxf="1" sqref="A1:XFD1" start="0" length="0"/>
    <rcc rId="0" sId="7" dxf="1">
      <nc r="A1" t="inlineStr">
        <is>
          <t>Office of Police Complaints*</t>
        </is>
      </nc>
      <ndxf>
        <font>
          <sz val="10"/>
          <color auto="1"/>
          <name val="Arial"/>
          <scheme val="none"/>
        </font>
        <border outline="0">
          <left style="medium">
            <color indexed="64"/>
          </left>
        </border>
      </ndxf>
    </rcc>
    <rcc rId="0" sId="7" dxf="1" numFmtId="11">
      <nc r="B1">
        <v>2283</v>
      </nc>
      <ndxf>
        <font>
          <sz val="10"/>
          <color auto="1"/>
          <name val="Arial"/>
          <scheme val="none"/>
        </font>
        <numFmt numFmtId="10" formatCode="&quot;$&quot;#,##0_);[Red]\(&quot;$&quot;#,##0\)"/>
      </ndxf>
    </rcc>
    <rcc rId="0" sId="7" dxf="1" numFmtId="11">
      <nc r="C1">
        <v>2618</v>
      </nc>
      <ndxf>
        <font>
          <sz val="10"/>
          <color auto="1"/>
          <name val="Arial"/>
          <scheme val="none"/>
        </font>
        <numFmt numFmtId="10" formatCode="&quot;$&quot;#,##0_);[Red]\(&quot;$&quot;#,##0\)"/>
      </ndxf>
    </rcc>
    <rcc rId="0" sId="7" dxf="1">
      <nc r="D1">
        <f>C1-B1</f>
      </nc>
      <ndxf>
        <font>
          <sz val="10"/>
          <color auto="1"/>
          <name val="Arial"/>
          <scheme val="none"/>
        </font>
        <numFmt numFmtId="10" formatCode="&quot;$&quot;#,##0_);[Red]\(&quot;$&quot;#,##0\)"/>
      </ndxf>
    </rcc>
    <rcc rId="0" sId="7" s="1" dxf="1">
      <nc r="E1">
        <f>D1/B1</f>
      </nc>
      <ndxf>
        <font>
          <sz val="10"/>
          <color auto="1"/>
          <name val="Arial"/>
          <scheme val="none"/>
        </font>
        <numFmt numFmtId="13" formatCode="0%"/>
      </ndxf>
    </rcc>
    <rcc rId="0" sId="7" dxf="1" numFmtId="11">
      <nc r="F1">
        <v>2539</v>
      </nc>
      <ndxf>
        <font>
          <sz val="10"/>
          <color auto="1"/>
          <name val="Arial"/>
          <scheme val="none"/>
        </font>
        <numFmt numFmtId="10" formatCode="&quot;$&quot;#,##0_);[Red]\(&quot;$&quot;#,##0\)"/>
      </ndxf>
    </rcc>
    <rcc rId="0" sId="7" s="1" dxf="1">
      <nc r="G1">
        <f>F1-C1</f>
      </nc>
      <ndxf>
        <font>
          <sz val="10"/>
          <color auto="1"/>
          <name val="Arial"/>
          <scheme val="none"/>
        </font>
        <numFmt numFmtId="10" formatCode="&quot;$&quot;#,##0_);[Red]\(&quot;$&quot;#,##0\)"/>
      </ndxf>
    </rcc>
    <rcc rId="0" sId="7" dxf="1">
      <nc r="H1">
        <f>G1/C1</f>
      </nc>
      <ndxf>
        <font>
          <sz val="10"/>
          <color auto="1"/>
          <name val="Arial"/>
          <scheme val="none"/>
        </font>
        <numFmt numFmtId="13" formatCode="0%"/>
      </ndxf>
    </rcc>
    <rcc rId="0" sId="7" dxf="1" numFmtId="4">
      <nc r="I1">
        <v>2657</v>
      </nc>
      <ndxf>
        <numFmt numFmtId="3" formatCode="#,##0"/>
      </ndxf>
    </rcc>
    <rcc rId="0" sId="7" dxf="1">
      <nc r="J1">
        <f>I1/B1</f>
      </nc>
      <ndxf>
        <numFmt numFmtId="164" formatCode="0.0%"/>
      </ndxf>
    </rcc>
    <rcc rId="0" sId="7" dxf="1">
      <nc r="K1" t="inlineStr">
        <is>
          <t>**</t>
        </is>
      </nc>
      <ndxf>
        <font>
          <sz val="10"/>
          <color auto="1"/>
          <name val="Arial"/>
          <scheme val="none"/>
        </font>
      </ndxf>
    </rcc>
    <rcc rId="0" sId="7" dxf="1">
      <nc r="L1">
        <f>I1/C1</f>
      </nc>
      <ndxf>
        <numFmt numFmtId="164" formatCode="0.0%"/>
      </ndxf>
    </rcc>
    <rcc rId="0" sId="7">
      <nc r="M1">
        <v>2618</v>
      </nc>
    </rcc>
    <rcc rId="0" sId="7">
      <nc r="N1">
        <v>2070</v>
      </nc>
    </rcc>
    <rcc rId="0" sId="7" dxf="1">
      <nc r="O1">
        <f>N1/M1-1</f>
      </nc>
      <ndxf>
        <numFmt numFmtId="14" formatCode="0.00%"/>
      </ndxf>
    </rcc>
  </rrc>
  <rrc rId="37345" sId="7" ref="A1:XFD1" action="deleteRow">
    <undo index="0" exp="ref" ref3D="1" v="1" dr="C1" r="C80" sId="8"/>
    <undo index="0" exp="ref" ref3D="1" v="1" dr="B1" r="B80" sId="8"/>
    <undo index="0" exp="area" dr="N1:N10" r="N11" sId="7"/>
    <undo index="0" exp="area" dr="M1:M10" r="M11" sId="7"/>
    <undo index="0" exp="area" dr="F1:F10" r="F11" sId="7"/>
    <undo index="0" exp="area" dr="C1:C10" r="C11" sId="7"/>
    <undo index="0" exp="area" dr="B1:B10" r="B11" sId="7"/>
    <rfmt sheetId="7" xfDxf="1" sqref="A1:XFD1" start="0" length="0"/>
    <rcc rId="0" sId="7" dxf="1">
      <nc r="A1" t="inlineStr">
        <is>
          <t>Sentencing and Criminal Code Revision Commision</t>
        </is>
      </nc>
      <ndxf>
        <font>
          <sz val="10"/>
          <color auto="1"/>
          <name val="Arial"/>
          <scheme val="none"/>
        </font>
        <border outline="0">
          <left style="medium">
            <color indexed="64"/>
          </left>
        </border>
      </ndxf>
    </rcc>
    <rcc rId="0" sId="7" dxf="1" numFmtId="11">
      <nc r="B1">
        <v>583</v>
      </nc>
      <ndxf>
        <font>
          <sz val="10"/>
          <color auto="1"/>
          <name val="Arial"/>
          <scheme val="none"/>
        </font>
        <numFmt numFmtId="10" formatCode="&quot;$&quot;#,##0_);[Red]\(&quot;$&quot;#,##0\)"/>
      </ndxf>
    </rcc>
    <rcc rId="0" sId="7" dxf="1" numFmtId="11">
      <nc r="C1">
        <v>779</v>
      </nc>
      <ndxf>
        <font>
          <sz val="10"/>
          <color auto="1"/>
          <name val="Arial"/>
          <scheme val="none"/>
        </font>
        <numFmt numFmtId="10" formatCode="&quot;$&quot;#,##0_);[Red]\(&quot;$&quot;#,##0\)"/>
      </ndxf>
    </rcc>
    <rcc rId="0" sId="7" dxf="1">
      <nc r="D1">
        <f>C1-B1</f>
      </nc>
      <ndxf>
        <font>
          <sz val="10"/>
          <color auto="1"/>
          <name val="Arial"/>
          <scheme val="none"/>
        </font>
        <numFmt numFmtId="10" formatCode="&quot;$&quot;#,##0_);[Red]\(&quot;$&quot;#,##0\)"/>
      </ndxf>
    </rcc>
    <rcc rId="0" sId="7" s="1" dxf="1">
      <nc r="E1">
        <f>D1/B1</f>
      </nc>
      <ndxf>
        <font>
          <sz val="10"/>
          <color auto="1"/>
          <name val="Arial"/>
          <scheme val="none"/>
        </font>
        <numFmt numFmtId="13" formatCode="0%"/>
      </ndxf>
    </rcc>
    <rcc rId="0" sId="7" dxf="1" numFmtId="11">
      <nc r="F1">
        <v>712</v>
      </nc>
      <ndxf>
        <font>
          <sz val="10"/>
          <color auto="1"/>
          <name val="Arial"/>
          <scheme val="none"/>
        </font>
        <numFmt numFmtId="10" formatCode="&quot;$&quot;#,##0_);[Red]\(&quot;$&quot;#,##0\)"/>
      </ndxf>
    </rcc>
    <rcc rId="0" sId="7" s="1" dxf="1">
      <nc r="G1">
        <f>F1-C1</f>
      </nc>
      <ndxf>
        <font>
          <sz val="10"/>
          <color auto="1"/>
          <name val="Arial"/>
          <scheme val="none"/>
        </font>
        <numFmt numFmtId="10" formatCode="&quot;$&quot;#,##0_);[Red]\(&quot;$&quot;#,##0\)"/>
      </ndxf>
    </rcc>
    <rcc rId="0" sId="7" dxf="1">
      <nc r="H1">
        <f>G1/C1</f>
      </nc>
      <ndxf>
        <font>
          <sz val="10"/>
          <color auto="1"/>
          <name val="Arial"/>
          <scheme val="none"/>
        </font>
        <numFmt numFmtId="13" formatCode="0%"/>
      </ndxf>
    </rcc>
    <rcc rId="0" sId="7" dxf="1" numFmtId="4">
      <nc r="I1">
        <v>816</v>
      </nc>
      <ndxf>
        <numFmt numFmtId="3" formatCode="#,##0"/>
      </ndxf>
    </rcc>
    <rcc rId="0" sId="7" dxf="1">
      <nc r="J1">
        <f>I1/B1</f>
      </nc>
      <ndxf>
        <numFmt numFmtId="164" formatCode="0.0%"/>
      </ndxf>
    </rcc>
    <rcc rId="0" sId="7" dxf="1">
      <nc r="K1" t="inlineStr">
        <is>
          <t>***</t>
        </is>
      </nc>
      <ndxf>
        <font>
          <sz val="10"/>
          <color auto="1"/>
          <name val="Arial"/>
          <scheme val="none"/>
        </font>
      </ndxf>
    </rcc>
    <rcc rId="0" sId="7" dxf="1">
      <nc r="L1">
        <f>I1/C1</f>
      </nc>
      <ndxf>
        <numFmt numFmtId="164" formatCode="0.0%"/>
      </ndxf>
    </rcc>
    <rcc rId="0" sId="7">
      <nc r="M1">
        <v>816</v>
      </nc>
    </rcc>
    <rcc rId="0" sId="7">
      <nc r="N1">
        <v>709</v>
      </nc>
    </rcc>
    <rcc rId="0" sId="7" dxf="1">
      <nc r="O1">
        <f>N1/M1-1</f>
      </nc>
      <ndxf>
        <numFmt numFmtId="14" formatCode="0.00%"/>
      </ndxf>
    </rcc>
  </rrc>
  <rrc rId="37346" sId="7" ref="A1:XFD1" action="deleteRow">
    <undo index="0" exp="ref" ref3D="1" v="1" dr="C1" r="C81" sId="8"/>
    <undo index="0" exp="ref" ref3D="1" v="1" dr="B1" r="B81" sId="8"/>
    <undo index="0" exp="area" dr="N1:N9" r="N10" sId="7"/>
    <undo index="0" exp="area" dr="M1:M9" r="M10" sId="7"/>
    <undo index="0" exp="area" dr="F1:F9" r="F10" sId="7"/>
    <undo index="0" exp="area" dr="C1:C9" r="C10" sId="7"/>
    <undo index="0" exp="area" dr="B1:B9" r="B10" sId="7"/>
    <rfmt sheetId="7" xfDxf="1" sqref="A1:XFD1" start="0" length="0"/>
    <rcc rId="0" sId="7" dxf="1">
      <nc r="A1" t="inlineStr">
        <is>
          <t>Office of the Chief Medical Examiner</t>
        </is>
      </nc>
      <ndxf>
        <font>
          <sz val="10"/>
          <color auto="1"/>
          <name val="Arial"/>
          <scheme val="none"/>
        </font>
        <border outline="0">
          <left style="medium">
            <color indexed="64"/>
          </left>
        </border>
      </ndxf>
    </rcc>
    <rcc rId="0" sId="7" dxf="1" numFmtId="11">
      <nc r="B1">
        <v>9166</v>
      </nc>
      <ndxf>
        <font>
          <sz val="10"/>
          <color auto="1"/>
          <name val="Arial"/>
          <scheme val="none"/>
        </font>
        <numFmt numFmtId="10" formatCode="&quot;$&quot;#,##0_);[Red]\(&quot;$&quot;#,##0\)"/>
      </ndxf>
    </rcc>
    <rcc rId="0" sId="7" dxf="1" numFmtId="11">
      <nc r="C1">
        <v>10020</v>
      </nc>
      <ndxf>
        <font>
          <sz val="10"/>
          <color auto="1"/>
          <name val="Arial"/>
          <scheme val="none"/>
        </font>
        <numFmt numFmtId="10" formatCode="&quot;$&quot;#,##0_);[Red]\(&quot;$&quot;#,##0\)"/>
      </ndxf>
    </rcc>
    <rcc rId="0" sId="7" dxf="1">
      <nc r="D1">
        <f>C1-B1</f>
      </nc>
      <ndxf>
        <font>
          <sz val="10"/>
          <color auto="1"/>
          <name val="Arial"/>
          <scheme val="none"/>
        </font>
        <numFmt numFmtId="10" formatCode="&quot;$&quot;#,##0_);[Red]\(&quot;$&quot;#,##0\)"/>
      </ndxf>
    </rcc>
    <rcc rId="0" sId="7" s="1" dxf="1">
      <nc r="E1">
        <f>D1/B1</f>
      </nc>
      <ndxf>
        <font>
          <sz val="10"/>
          <color auto="1"/>
          <name val="Arial"/>
          <scheme val="none"/>
        </font>
        <numFmt numFmtId="13" formatCode="0%"/>
      </ndxf>
    </rcc>
    <rcc rId="0" sId="7" dxf="1" numFmtId="11">
      <nc r="F1">
        <v>9435</v>
      </nc>
      <ndxf>
        <font>
          <sz val="10"/>
          <color auto="1"/>
          <name val="Arial"/>
          <scheme val="none"/>
        </font>
        <numFmt numFmtId="10" formatCode="&quot;$&quot;#,##0_);[Red]\(&quot;$&quot;#,##0\)"/>
      </ndxf>
    </rcc>
    <rcc rId="0" sId="7" s="1" dxf="1">
      <nc r="G1">
        <f>F1-C1</f>
      </nc>
      <ndxf>
        <font>
          <sz val="10"/>
          <color auto="1"/>
          <name val="Arial"/>
          <scheme val="none"/>
        </font>
        <numFmt numFmtId="10" formatCode="&quot;$&quot;#,##0_);[Red]\(&quot;$&quot;#,##0\)"/>
      </ndxf>
    </rcc>
    <rcc rId="0" sId="7" dxf="1">
      <nc r="H1">
        <f>G1/C1</f>
      </nc>
      <ndxf>
        <font>
          <sz val="10"/>
          <color auto="1"/>
          <name val="Arial"/>
          <scheme val="none"/>
        </font>
        <numFmt numFmtId="13" formatCode="0%"/>
      </ndxf>
    </rcc>
    <rcc rId="0" sId="7" dxf="1" numFmtId="4">
      <nc r="I1">
        <v>9345</v>
      </nc>
      <ndxf>
        <numFmt numFmtId="3" formatCode="#,##0"/>
      </ndxf>
    </rcc>
    <rcc rId="0" sId="7" dxf="1">
      <nc r="J1">
        <f>I1/B1</f>
      </nc>
      <ndxf>
        <numFmt numFmtId="164" formatCode="0.0%"/>
      </ndxf>
    </rcc>
    <rcc rId="0" sId="7" dxf="1">
      <nc r="K1" t="inlineStr">
        <is>
          <t>*</t>
        </is>
      </nc>
      <ndxf>
        <font>
          <sz val="10"/>
          <color auto="1"/>
          <name val="Arial"/>
          <scheme val="none"/>
        </font>
      </ndxf>
    </rcc>
    <rcc rId="0" sId="7" dxf="1">
      <nc r="L1">
        <f>I1/C1</f>
      </nc>
      <ndxf>
        <numFmt numFmtId="164" formatCode="0.0%"/>
      </ndxf>
    </rcc>
    <rcc rId="0" sId="7">
      <nc r="M1">
        <v>8638</v>
      </nc>
    </rcc>
    <rcc rId="0" sId="7">
      <nc r="N1">
        <v>7664</v>
      </nc>
    </rcc>
    <rcc rId="0" sId="7" dxf="1">
      <nc r="O1">
        <f>N1/M1-1</f>
      </nc>
      <ndxf>
        <numFmt numFmtId="14" formatCode="0.00%"/>
      </ndxf>
    </rcc>
  </rrc>
  <rrc rId="37347" sId="7" ref="A1:XFD1" action="deleteRow">
    <undo index="0" exp="ref" ref3D="1" v="1" dr="C1" r="C82" sId="8"/>
    <undo index="0" exp="ref" ref3D="1" v="1" dr="B1" r="B82" sId="8"/>
    <undo index="0" exp="area" dr="N1:N8" r="N9" sId="7"/>
    <undo index="0" exp="area" dr="M1:M8" r="M9" sId="7"/>
    <undo index="0" exp="area" dr="F1:F8" r="F9" sId="7"/>
    <undo index="0" exp="area" dr="C1:C8" r="C9" sId="7"/>
    <undo index="0" exp="area" dr="B1:B8" r="B9" sId="7"/>
    <rfmt sheetId="7" xfDxf="1" sqref="A1:XFD1" start="0" length="0"/>
    <rcc rId="0" sId="7" dxf="1">
      <nc r="A1" t="inlineStr">
        <is>
          <t>Office of Administrative Hearings</t>
        </is>
      </nc>
      <ndxf>
        <font>
          <sz val="10"/>
          <color auto="1"/>
          <name val="Arial"/>
          <scheme val="none"/>
        </font>
        <border outline="0">
          <left style="medium">
            <color indexed="64"/>
          </left>
        </border>
      </ndxf>
    </rcc>
    <rcc rId="0" sId="7" dxf="1" numFmtId="11">
      <nc r="B1">
        <v>7076</v>
      </nc>
      <ndxf>
        <font>
          <sz val="10"/>
          <color auto="1"/>
          <name val="Arial"/>
          <scheme val="none"/>
        </font>
        <numFmt numFmtId="10" formatCode="&quot;$&quot;#,##0_);[Red]\(&quot;$&quot;#,##0\)"/>
      </ndxf>
    </rcc>
    <rcc rId="0" sId="7" dxf="1" numFmtId="11">
      <nc r="C1">
        <v>7751</v>
      </nc>
      <ndxf>
        <font>
          <sz val="10"/>
          <color auto="1"/>
          <name val="Arial"/>
          <scheme val="none"/>
        </font>
        <numFmt numFmtId="10" formatCode="&quot;$&quot;#,##0_);[Red]\(&quot;$&quot;#,##0\)"/>
      </ndxf>
    </rcc>
    <rcc rId="0" sId="7" dxf="1">
      <nc r="D1">
        <f>C1-B1</f>
      </nc>
      <ndxf>
        <font>
          <sz val="10"/>
          <color auto="1"/>
          <name val="Arial"/>
          <scheme val="none"/>
        </font>
        <numFmt numFmtId="10" formatCode="&quot;$&quot;#,##0_);[Red]\(&quot;$&quot;#,##0\)"/>
      </ndxf>
    </rcc>
    <rcc rId="0" sId="7" s="1" dxf="1">
      <nc r="E1">
        <f>D1/B1</f>
      </nc>
      <ndxf>
        <font>
          <sz val="10"/>
          <color auto="1"/>
          <name val="Arial"/>
          <scheme val="none"/>
        </font>
        <numFmt numFmtId="13" formatCode="0%"/>
      </ndxf>
    </rcc>
    <rcc rId="0" sId="7" dxf="1" numFmtId="11">
      <nc r="F1">
        <v>6938</v>
      </nc>
      <ndxf>
        <font>
          <sz val="10"/>
          <color auto="1"/>
          <name val="Arial"/>
          <scheme val="none"/>
        </font>
        <numFmt numFmtId="10" formatCode="&quot;$&quot;#,##0_);[Red]\(&quot;$&quot;#,##0\)"/>
      </ndxf>
    </rcc>
    <rcc rId="0" sId="7" s="1" dxf="1">
      <nc r="G1">
        <f>F1-C1</f>
      </nc>
      <ndxf>
        <font>
          <sz val="10"/>
          <color auto="1"/>
          <name val="Arial"/>
          <scheme val="none"/>
        </font>
        <numFmt numFmtId="10" formatCode="&quot;$&quot;#,##0_);[Red]\(&quot;$&quot;#,##0\)"/>
      </ndxf>
    </rcc>
    <rcc rId="0" sId="7" dxf="1">
      <nc r="H1">
        <f>G1/C1</f>
      </nc>
      <ndxf>
        <font>
          <sz val="10"/>
          <color auto="1"/>
          <name val="Arial"/>
          <scheme val="none"/>
        </font>
        <numFmt numFmtId="13" formatCode="0%"/>
      </ndxf>
    </rcc>
    <rcc rId="0" sId="7" dxf="1" numFmtId="4">
      <nc r="I1">
        <v>8195</v>
      </nc>
      <ndxf>
        <numFmt numFmtId="3" formatCode="#,##0"/>
      </ndxf>
    </rcc>
    <rcc rId="0" sId="7" dxf="1">
      <nc r="J1">
        <f>I1/B1</f>
      </nc>
      <ndxf>
        <numFmt numFmtId="164" formatCode="0.0%"/>
      </ndxf>
    </rcc>
    <rcc rId="0" sId="7" dxf="1">
      <nc r="K1" t="inlineStr">
        <is>
          <t>**</t>
        </is>
      </nc>
      <ndxf>
        <font>
          <sz val="10"/>
          <color auto="1"/>
          <name val="Arial"/>
          <scheme val="none"/>
        </font>
      </ndxf>
    </rcc>
    <rcc rId="0" sId="7" dxf="1">
      <nc r="L1">
        <f>I1/C1</f>
      </nc>
      <ndxf>
        <numFmt numFmtId="164" formatCode="0.0%"/>
      </ndxf>
    </rcc>
    <rcc rId="0" sId="7">
      <nc r="M1">
        <v>8113</v>
      </nc>
    </rcc>
    <rcc rId="0" sId="7">
      <nc r="N1">
        <v>7555</v>
      </nc>
    </rcc>
    <rcc rId="0" sId="7" dxf="1">
      <nc r="O1">
        <f>N1/M1-1</f>
      </nc>
      <ndxf>
        <numFmt numFmtId="14" formatCode="0.00%"/>
      </ndxf>
    </rcc>
  </rrc>
  <rrc rId="37348" sId="7" ref="A1:XFD1" action="deleteRow">
    <undo index="0" exp="ref" ref3D="1" v="1" dr="C1" r="C83" sId="8"/>
    <undo index="0" exp="ref" ref3D="1" v="1" dr="B1" r="B83" sId="8"/>
    <undo index="0" exp="area" dr="N1:N7" r="N8" sId="7"/>
    <undo index="0" exp="area" dr="M1:M7" r="M8" sId="7"/>
    <undo index="0" exp="area" dr="F1:F7" r="F8" sId="7"/>
    <undo index="0" exp="area" dr="C1:C7" r="C8" sId="7"/>
    <undo index="0" exp="area" dr="B1:B7" r="B8" sId="7"/>
    <rfmt sheetId="7" xfDxf="1" sqref="A1:XFD1" start="0" length="0"/>
    <rcc rId="0" sId="7" dxf="1">
      <nc r="A1" t="inlineStr">
        <is>
          <t>Corrections Information Council</t>
        </is>
      </nc>
      <ndxf>
        <font>
          <sz val="10"/>
          <color auto="1"/>
          <name val="Arial"/>
          <scheme val="none"/>
        </font>
        <border outline="0">
          <left style="medium">
            <color indexed="64"/>
          </left>
        </border>
      </ndxf>
    </rcc>
    <rcc rId="0" sId="7" dxf="1" numFmtId="11">
      <nc r="B1">
        <v>0</v>
      </nc>
      <ndxf>
        <font>
          <sz val="10"/>
          <color auto="1"/>
          <name val="Arial"/>
          <scheme val="none"/>
        </font>
        <numFmt numFmtId="10" formatCode="&quot;$&quot;#,##0_);[Red]\(&quot;$&quot;#,##0\)"/>
      </ndxf>
    </rcc>
    <rcc rId="0" sId="7" dxf="1" numFmtId="11">
      <nc r="C1">
        <v>25</v>
      </nc>
      <ndxf>
        <font>
          <sz val="10"/>
          <color auto="1"/>
          <name val="Arial"/>
          <scheme val="none"/>
        </font>
        <numFmt numFmtId="10" formatCode="&quot;$&quot;#,##0_);[Red]\(&quot;$&quot;#,##0\)"/>
      </ndxf>
    </rcc>
    <rcc rId="0" sId="7" dxf="1">
      <nc r="D1">
        <f>C1-B1</f>
      </nc>
      <ndxf>
        <font>
          <sz val="10"/>
          <color auto="1"/>
          <name val="Arial"/>
          <scheme val="none"/>
        </font>
        <numFmt numFmtId="10" formatCode="&quot;$&quot;#,##0_);[Red]\(&quot;$&quot;#,##0\)"/>
      </ndxf>
    </rcc>
    <rcc rId="0" sId="7" dxf="1">
      <nc r="E1" t="inlineStr">
        <is>
          <t>—</t>
        </is>
      </nc>
      <ndxf>
        <font>
          <sz val="10"/>
          <color auto="1"/>
          <name val="Arial"/>
          <scheme val="none"/>
        </font>
        <numFmt numFmtId="164" formatCode="0.0%"/>
        <alignment horizontal="right" vertical="top" readingOrder="0"/>
      </ndxf>
    </rcc>
    <rcc rId="0" sId="7" dxf="1" numFmtId="11">
      <nc r="F1">
        <v>0</v>
      </nc>
      <ndxf>
        <font>
          <sz val="10"/>
          <color auto="1"/>
          <name val="Arial"/>
          <scheme val="none"/>
        </font>
        <numFmt numFmtId="10" formatCode="&quot;$&quot;#,##0_);[Red]\(&quot;$&quot;#,##0\)"/>
      </ndxf>
    </rcc>
    <rcc rId="0" sId="7" s="1" dxf="1">
      <nc r="G1">
        <f>F1-C1</f>
      </nc>
      <ndxf>
        <font>
          <sz val="10"/>
          <color auto="1"/>
          <name val="Arial"/>
          <scheme val="none"/>
        </font>
        <numFmt numFmtId="10" formatCode="&quot;$&quot;#,##0_);[Red]\(&quot;$&quot;#,##0\)"/>
      </ndxf>
    </rcc>
    <rcc rId="0" sId="7" dxf="1">
      <nc r="H1">
        <f>G1/C1</f>
      </nc>
      <ndxf>
        <font>
          <sz val="10"/>
          <color auto="1"/>
          <name val="Arial"/>
          <scheme val="none"/>
        </font>
        <numFmt numFmtId="13" formatCode="0%"/>
      </ndxf>
    </rcc>
    <rcc rId="0" sId="7" dxf="1" numFmtId="4">
      <nc r="I1">
        <v>25</v>
      </nc>
      <ndxf>
        <numFmt numFmtId="3" formatCode="#,##0"/>
      </ndxf>
    </rcc>
    <rcc rId="0" sId="7">
      <nc r="J1">
        <f>I1/B1</f>
      </nc>
    </rcc>
    <rcc rId="0" sId="7" dxf="1">
      <nc r="L1">
        <f>I1/C1</f>
      </nc>
      <ndxf>
        <numFmt numFmtId="13" formatCode="0%"/>
      </ndxf>
    </rcc>
    <rcc rId="0" sId="7">
      <nc r="M1">
        <v>25</v>
      </nc>
    </rcc>
    <rcc rId="0" sId="7">
      <nc r="N1">
        <v>0</v>
      </nc>
    </rcc>
    <rcc rId="0" sId="7" dxf="1">
      <nc r="O1">
        <f>N1/M1-1</f>
      </nc>
      <ndxf>
        <numFmt numFmtId="14" formatCode="0.00%"/>
      </ndxf>
    </rcc>
  </rrc>
  <rrc rId="37349" sId="7" ref="A1:XFD1" action="deleteRow">
    <undo index="0" exp="ref" ref3D="1" v="1" dr="C1" r="C84" sId="8"/>
    <undo index="0" exp="ref" ref3D="1" v="1" dr="B1" r="B84" sId="8"/>
    <undo index="0" exp="area" dr="N1:N6" r="N7" sId="7"/>
    <undo index="0" exp="area" dr="M1:M6" r="M7" sId="7"/>
    <undo index="0" exp="area" dr="F1:F6" r="F7" sId="7"/>
    <undo index="0" exp="area" dr="C1:C6" r="C7" sId="7"/>
    <undo index="0" exp="area" dr="B1:B6" r="B7" sId="7"/>
    <rfmt sheetId="7" xfDxf="1" sqref="A1:XFD1" start="0" length="0"/>
    <rcc rId="0" sId="7" dxf="1">
      <nc r="A1" t="inlineStr">
        <is>
          <t>Criminal Justice Coordinating Council</t>
        </is>
      </nc>
      <ndxf>
        <font>
          <sz val="10"/>
          <color auto="1"/>
          <name val="Arial"/>
          <scheme val="none"/>
        </font>
        <border outline="0">
          <left style="medium">
            <color indexed="64"/>
          </left>
        </border>
      </ndxf>
    </rcc>
    <rcc rId="0" sId="7" dxf="1" numFmtId="11">
      <nc r="B1">
        <v>1865</v>
      </nc>
      <ndxf>
        <font>
          <sz val="10"/>
          <color auto="1"/>
          <name val="Arial"/>
          <scheme val="none"/>
        </font>
        <numFmt numFmtId="10" formatCode="&quot;$&quot;#,##0_);[Red]\(&quot;$&quot;#,##0\)"/>
      </ndxf>
    </rcc>
    <rcc rId="0" sId="7" dxf="1" numFmtId="11">
      <nc r="C1">
        <v>1704</v>
      </nc>
      <ndxf>
        <font>
          <sz val="10"/>
          <color auto="1"/>
          <name val="Arial"/>
          <scheme val="none"/>
        </font>
        <numFmt numFmtId="10" formatCode="&quot;$&quot;#,##0_);[Red]\(&quot;$&quot;#,##0\)"/>
      </ndxf>
    </rcc>
    <rcc rId="0" sId="7" dxf="1">
      <nc r="D1">
        <f>C1-B1</f>
      </nc>
      <ndxf>
        <font>
          <sz val="10"/>
          <color auto="1"/>
          <name val="Arial"/>
          <scheme val="none"/>
        </font>
        <numFmt numFmtId="10" formatCode="&quot;$&quot;#,##0_);[Red]\(&quot;$&quot;#,##0\)"/>
      </ndxf>
    </rcc>
    <rcc rId="0" sId="7" s="1" dxf="1">
      <nc r="E1">
        <f>D1/B1</f>
      </nc>
      <ndxf>
        <font>
          <sz val="10"/>
          <color auto="1"/>
          <name val="Arial"/>
          <scheme val="none"/>
        </font>
        <numFmt numFmtId="13" formatCode="0%"/>
      </ndxf>
    </rcc>
    <rcc rId="0" sId="7" dxf="1" numFmtId="11">
      <nc r="F1">
        <v>2072</v>
      </nc>
      <ndxf>
        <font>
          <sz val="10"/>
          <color auto="1"/>
          <name val="Arial"/>
          <scheme val="none"/>
        </font>
        <numFmt numFmtId="10" formatCode="&quot;$&quot;#,##0_);[Red]\(&quot;$&quot;#,##0\)"/>
      </ndxf>
    </rcc>
    <rcc rId="0" sId="7" s="1" dxf="1">
      <nc r="G1">
        <f>F1-C1</f>
      </nc>
      <ndxf>
        <font>
          <sz val="10"/>
          <color auto="1"/>
          <name val="Arial"/>
          <scheme val="none"/>
        </font>
        <numFmt numFmtId="10" formatCode="&quot;$&quot;#,##0_);[Red]\(&quot;$&quot;#,##0\)"/>
      </ndxf>
    </rcc>
    <rcc rId="0" sId="7" dxf="1">
      <nc r="H1">
        <f>G1/C1</f>
      </nc>
      <ndxf>
        <font>
          <sz val="10"/>
          <color auto="1"/>
          <name val="Arial"/>
          <scheme val="none"/>
        </font>
        <numFmt numFmtId="13" formatCode="0%"/>
      </ndxf>
    </rcc>
    <rcc rId="0" sId="7" dxf="1" numFmtId="4">
      <nc r="I1">
        <v>2072</v>
      </nc>
      <ndxf>
        <numFmt numFmtId="3" formatCode="#,##0"/>
      </ndxf>
    </rcc>
    <rcc rId="0" sId="7" dxf="1">
      <nc r="J1">
        <f>I1/B1</f>
      </nc>
      <ndxf>
        <numFmt numFmtId="164" formatCode="0.0%"/>
      </ndxf>
    </rcc>
    <rcc rId="0" sId="7" dxf="1">
      <nc r="K1" t="inlineStr">
        <is>
          <t>**</t>
        </is>
      </nc>
      <ndxf>
        <font>
          <sz val="10"/>
          <color auto="1"/>
          <name val="Arial"/>
          <scheme val="none"/>
        </font>
      </ndxf>
    </rcc>
    <rcc rId="0" sId="7" dxf="1">
      <nc r="L1">
        <f>I1/C1</f>
      </nc>
      <ndxf>
        <numFmt numFmtId="164" formatCode="0.0%"/>
      </ndxf>
    </rcc>
    <rcc rId="0" sId="7">
      <nc r="M1">
        <v>2298</v>
      </nc>
    </rcc>
    <rcc rId="0" sId="7">
      <nc r="N1">
        <v>1999</v>
      </nc>
    </rcc>
    <rcc rId="0" sId="7" dxf="1">
      <nc r="O1">
        <f>N1/M1-1</f>
      </nc>
      <ndxf>
        <numFmt numFmtId="14" formatCode="0.00%"/>
      </ndxf>
    </rcc>
  </rrc>
  <rrc rId="37350" sId="7" ref="A1:XFD1" action="deleteRow">
    <undo index="0" exp="ref" ref3D="1" v="1" dr="C1" r="C85" sId="8"/>
    <undo index="0" exp="ref" ref3D="1" v="1" dr="B1" r="B85" sId="8"/>
    <undo index="0" exp="area" dr="N1:N5" r="N6" sId="7"/>
    <undo index="0" exp="area" dr="M1:M5" r="M6" sId="7"/>
    <undo index="0" exp="area" dr="F1:F5" r="F6" sId="7"/>
    <undo index="0" exp="area" dr="C1:C5" r="C6" sId="7"/>
    <undo index="0" exp="area" dr="B1:B5" r="B6" sId="7"/>
    <rfmt sheetId="7" xfDxf="1" sqref="A1:XFD1" start="0" length="0"/>
    <rcc rId="0" sId="7" dxf="1">
      <nc r="A1" t="inlineStr">
        <is>
          <t>Forensic Laboratory Technician Training Program**</t>
        </is>
      </nc>
      <ndxf>
        <font>
          <sz val="10"/>
          <color auto="1"/>
          <name val="Arial"/>
          <scheme val="none"/>
        </font>
        <border outline="0">
          <left style="medium">
            <color indexed="64"/>
          </left>
        </border>
      </ndxf>
    </rcc>
    <rcc rId="0" sId="7" dxf="1" numFmtId="11">
      <nc r="B1">
        <v>1475</v>
      </nc>
      <ndxf>
        <font>
          <sz val="10"/>
          <color auto="1"/>
          <name val="Arial"/>
          <scheme val="none"/>
        </font>
        <numFmt numFmtId="10" formatCode="&quot;$&quot;#,##0_);[Red]\(&quot;$&quot;#,##0\)"/>
      </ndxf>
    </rcc>
    <rfmt sheetId="7" sqref="C1" start="0" length="0">
      <dxf>
        <font>
          <sz val="10"/>
          <color auto="1"/>
          <name val="Arial"/>
          <scheme val="none"/>
        </font>
        <numFmt numFmtId="10" formatCode="&quot;$&quot;#,##0_);[Red]\(&quot;$&quot;#,##0\)"/>
      </dxf>
    </rfmt>
    <rcc rId="0" sId="7" dxf="1">
      <nc r="D1">
        <f>C1-B1</f>
      </nc>
      <ndxf>
        <font>
          <sz val="10"/>
          <color auto="1"/>
          <name val="Arial"/>
          <scheme val="none"/>
        </font>
        <numFmt numFmtId="10" formatCode="&quot;$&quot;#,##0_);[Red]\(&quot;$&quot;#,##0\)"/>
      </ndxf>
    </rcc>
    <rcc rId="0" sId="7" s="1" dxf="1">
      <nc r="E1">
        <f>D1/B1</f>
      </nc>
      <ndxf>
        <font>
          <sz val="10"/>
          <color auto="1"/>
          <name val="Arial"/>
          <scheme val="none"/>
        </font>
        <numFmt numFmtId="13" formatCode="0%"/>
      </ndxf>
    </rcc>
    <rfmt sheetId="7" sqref="F1" start="0" length="0">
      <dxf>
        <font>
          <sz val="10"/>
          <color auto="1"/>
          <name val="Arial"/>
          <scheme val="none"/>
        </font>
        <numFmt numFmtId="10" formatCode="&quot;$&quot;#,##0_);[Red]\(&quot;$&quot;#,##0\)"/>
      </dxf>
    </rfmt>
    <rcc rId="0" sId="7" s="1" dxf="1">
      <nc r="G1">
        <f>F1-C1</f>
      </nc>
      <ndxf>
        <font>
          <sz val="10"/>
          <color auto="1"/>
          <name val="Arial"/>
          <scheme val="none"/>
        </font>
        <numFmt numFmtId="10" formatCode="&quot;$&quot;#,##0_);[Red]\(&quot;$&quot;#,##0\)"/>
      </ndxf>
    </rcc>
    <rcc rId="0" sId="7" dxf="1">
      <nc r="H1">
        <f>G1/C1</f>
      </nc>
      <ndxf>
        <font>
          <sz val="10"/>
          <color auto="1"/>
          <name val="Arial"/>
          <scheme val="none"/>
        </font>
        <numFmt numFmtId="13" formatCode="0%"/>
      </ndxf>
    </rcc>
    <rcc rId="0" sId="7" dxf="1" numFmtId="4">
      <nc r="I1">
        <v>1249</v>
      </nc>
      <ndxf>
        <numFmt numFmtId="3" formatCode="#,##0"/>
      </ndxf>
    </rcc>
    <rcc rId="0" sId="7" dxf="1">
      <nc r="J1">
        <f>I1/B1</f>
      </nc>
      <ndxf>
        <numFmt numFmtId="164" formatCode="0.0%"/>
      </ndxf>
    </rcc>
    <rcc rId="0" sId="7">
      <nc r="L1">
        <f>I1/C1</f>
      </nc>
    </rcc>
    <rcc rId="0" sId="7">
      <nc r="M1">
        <v>1249</v>
      </nc>
    </rcc>
    <rcc rId="0" sId="7">
      <nc r="N1">
        <v>1624</v>
      </nc>
    </rcc>
    <rcc rId="0" sId="7" dxf="1">
      <nc r="O1">
        <f>N1/M1-1</f>
      </nc>
      <ndxf>
        <numFmt numFmtId="14" formatCode="0.00%"/>
      </ndxf>
    </rcc>
  </rrc>
  <rrc rId="37351" sId="7" ref="A1:XFD1" action="deleteRow">
    <undo index="0" exp="ref" ref3D="1" v="1" dr="C1" r="C86" sId="8"/>
    <undo index="0" exp="ref" ref3D="1" v="1" dr="B1" r="B86" sId="8"/>
    <undo index="0" exp="area" dr="N1:N4" r="N5" sId="7"/>
    <undo index="0" exp="area" dr="M1:M4" r="M5" sId="7"/>
    <undo index="0" exp="area" dr="F1:F4" r="F5" sId="7"/>
    <undo index="0" exp="area" dr="C1:C4" r="C5" sId="7"/>
    <undo index="0" exp="area" dr="B1:B4" r="B5" sId="7"/>
    <rfmt sheetId="7" xfDxf="1" sqref="A1:XFD1" start="0" length="0"/>
    <rcc rId="0" sId="7" dxf="1">
      <nc r="A1" t="inlineStr">
        <is>
          <t>Office of Victim Services</t>
        </is>
      </nc>
      <ndxf>
        <font>
          <sz val="10"/>
          <color auto="1"/>
          <name val="Arial"/>
          <scheme val="none"/>
        </font>
        <border outline="0">
          <left style="medium">
            <color indexed="64"/>
          </left>
        </border>
      </ndxf>
    </rcc>
    <rcc rId="0" sId="7" dxf="1" numFmtId="11">
      <nc r="B1">
        <v>11301</v>
      </nc>
      <ndxf>
        <font>
          <sz val="10"/>
          <color auto="1"/>
          <name val="Arial"/>
          <scheme val="none"/>
        </font>
        <numFmt numFmtId="10" formatCode="&quot;$&quot;#,##0_);[Red]\(&quot;$&quot;#,##0\)"/>
      </ndxf>
    </rcc>
    <rcc rId="0" sId="7" dxf="1" numFmtId="11">
      <nc r="C1">
        <v>15927</v>
      </nc>
      <ndxf>
        <font>
          <sz val="10"/>
          <color auto="1"/>
          <name val="Arial"/>
          <scheme val="none"/>
        </font>
        <numFmt numFmtId="10" formatCode="&quot;$&quot;#,##0_);[Red]\(&quot;$&quot;#,##0\)"/>
      </ndxf>
    </rcc>
    <rcc rId="0" sId="7" dxf="1">
      <nc r="D1">
        <f>C1-B1</f>
      </nc>
      <ndxf>
        <font>
          <sz val="10"/>
          <color auto="1"/>
          <name val="Arial"/>
          <scheme val="none"/>
        </font>
        <numFmt numFmtId="10" formatCode="&quot;$&quot;#,##0_);[Red]\(&quot;$&quot;#,##0\)"/>
      </ndxf>
    </rcc>
    <rcc rId="0" sId="7" s="1" dxf="1">
      <nc r="E1">
        <f>D1/B1</f>
      </nc>
      <ndxf>
        <font>
          <sz val="10"/>
          <color auto="1"/>
          <name val="Arial"/>
          <scheme val="none"/>
        </font>
        <numFmt numFmtId="13" formatCode="0%"/>
      </ndxf>
    </rcc>
    <rcc rId="0" sId="7" dxf="1" numFmtId="11">
      <nc r="F1">
        <v>15041</v>
      </nc>
      <ndxf>
        <font>
          <sz val="10"/>
          <color auto="1"/>
          <name val="Arial"/>
          <scheme val="none"/>
        </font>
        <numFmt numFmtId="10" formatCode="&quot;$&quot;#,##0_);[Red]\(&quot;$&quot;#,##0\)"/>
      </ndxf>
    </rcc>
    <rcc rId="0" sId="7" s="1" dxf="1">
      <nc r="G1">
        <f>F1-C1</f>
      </nc>
      <ndxf>
        <font>
          <sz val="10"/>
          <color auto="1"/>
          <name val="Arial"/>
          <scheme val="none"/>
        </font>
        <numFmt numFmtId="10" formatCode="&quot;$&quot;#,##0_);[Red]\(&quot;$&quot;#,##0\)"/>
      </ndxf>
    </rcc>
    <rcc rId="0" sId="7" dxf="1">
      <nc r="H1">
        <f>G1/C1</f>
      </nc>
      <ndxf>
        <font>
          <sz val="10"/>
          <color auto="1"/>
          <name val="Arial"/>
          <scheme val="none"/>
        </font>
        <numFmt numFmtId="13" formatCode="0%"/>
      </ndxf>
    </rcc>
    <rcc rId="0" sId="7" dxf="1" numFmtId="4">
      <nc r="I1">
        <v>15041</v>
      </nc>
      <ndxf>
        <numFmt numFmtId="3" formatCode="#,##0"/>
      </ndxf>
    </rcc>
    <rcc rId="0" sId="7" dxf="1">
      <nc r="J1">
        <f>I1/B1</f>
      </nc>
      <ndxf>
        <numFmt numFmtId="164" formatCode="0.0%"/>
      </ndxf>
    </rcc>
    <rcc rId="0" sId="7" dxf="1">
      <nc r="K1" t="inlineStr">
        <is>
          <t>***</t>
        </is>
      </nc>
      <ndxf>
        <font>
          <sz val="10"/>
          <color auto="1"/>
          <name val="Arial"/>
          <scheme val="none"/>
        </font>
      </ndxf>
    </rcc>
    <rcc rId="0" sId="7" dxf="1">
      <nc r="L1">
        <f>I1/C1</f>
      </nc>
      <ndxf>
        <numFmt numFmtId="164" formatCode="0.0%"/>
      </ndxf>
    </rcc>
    <rcc rId="0" sId="7">
      <nc r="M1">
        <v>14700</v>
      </nc>
    </rcc>
    <rcc rId="0" sId="7">
      <nc r="N1">
        <v>13906</v>
      </nc>
    </rcc>
    <rcc rId="0" sId="7" dxf="1">
      <nc r="O1">
        <f>N1/M1-1</f>
      </nc>
      <ndxf>
        <numFmt numFmtId="14" formatCode="0.00%"/>
      </ndxf>
    </rcc>
  </rrc>
  <rrc rId="37352" sId="7" ref="A1:XFD1" action="deleteRow">
    <undo index="0" exp="ref" ref3D="1" v="1" dr="C1" r="C87" sId="8"/>
    <undo index="0" exp="ref" ref3D="1" v="1" dr="B1" r="B87" sId="8"/>
    <undo index="0" exp="area" dr="N1:N3" r="N4" sId="7"/>
    <undo index="0" exp="area" dr="M1:M3" r="M4" sId="7"/>
    <undo index="0" exp="area" dr="F1:F3" r="F4" sId="7"/>
    <undo index="0" exp="area" dr="C1:C3" r="C4" sId="7"/>
    <undo index="0" exp="area" dr="B1:B3" r="B4" sId="7"/>
    <rfmt sheetId="7" xfDxf="1" sqref="A1:XFD1" start="0" length="0"/>
    <rcc rId="0" sId="7" dxf="1">
      <nc r="A1" t="inlineStr">
        <is>
          <t>Justice Grants Administration</t>
        </is>
      </nc>
      <ndxf>
        <font>
          <sz val="10"/>
          <color auto="1"/>
          <name val="Arial"/>
          <scheme val="none"/>
        </font>
        <border outline="0">
          <left style="medium">
            <color indexed="64"/>
          </left>
        </border>
      </ndxf>
    </rcc>
    <rcc rId="0" sId="7" dxf="1" numFmtId="11">
      <nc r="B1">
        <v>5442</v>
      </nc>
      <ndxf>
        <font>
          <sz val="10"/>
          <color auto="1"/>
          <name val="Arial"/>
          <scheme val="none"/>
        </font>
        <numFmt numFmtId="10" formatCode="&quot;$&quot;#,##0_);[Red]\(&quot;$&quot;#,##0\)"/>
      </ndxf>
    </rcc>
    <rcc rId="0" sId="7" dxf="1" numFmtId="11">
      <nc r="C1">
        <v>6670</v>
      </nc>
      <ndxf>
        <font>
          <sz val="10"/>
          <color auto="1"/>
          <name val="Arial"/>
          <scheme val="none"/>
        </font>
        <numFmt numFmtId="10" formatCode="&quot;$&quot;#,##0_);[Red]\(&quot;$&quot;#,##0\)"/>
      </ndxf>
    </rcc>
    <rcc rId="0" sId="7" dxf="1">
      <nc r="D1">
        <f>C1-B1</f>
      </nc>
      <ndxf>
        <font>
          <sz val="10"/>
          <color auto="1"/>
          <name val="Arial"/>
          <scheme val="none"/>
        </font>
        <numFmt numFmtId="10" formatCode="&quot;$&quot;#,##0_);[Red]\(&quot;$&quot;#,##0\)"/>
      </ndxf>
    </rcc>
    <rcc rId="0" sId="7" s="1" dxf="1">
      <nc r="E1">
        <f>D1/B1</f>
      </nc>
      <ndxf>
        <font>
          <sz val="10"/>
          <color auto="1"/>
          <name val="Arial"/>
          <scheme val="none"/>
        </font>
        <numFmt numFmtId="13" formatCode="0%"/>
      </ndxf>
    </rcc>
    <rcc rId="0" sId="7" dxf="1" numFmtId="11">
      <nc r="F1">
        <v>10572</v>
      </nc>
      <ndxf>
        <font>
          <sz val="10"/>
          <color auto="1"/>
          <name val="Arial"/>
          <scheme val="none"/>
        </font>
        <numFmt numFmtId="10" formatCode="&quot;$&quot;#,##0_);[Red]\(&quot;$&quot;#,##0\)"/>
      </ndxf>
    </rcc>
    <rcc rId="0" sId="7" s="1" dxf="1">
      <nc r="G1">
        <f>F1-C1</f>
      </nc>
      <ndxf>
        <font>
          <sz val="10"/>
          <color auto="1"/>
          <name val="Arial"/>
          <scheme val="none"/>
        </font>
        <numFmt numFmtId="10" formatCode="&quot;$&quot;#,##0_);[Red]\(&quot;$&quot;#,##0\)"/>
      </ndxf>
    </rcc>
    <rcc rId="0" sId="7" dxf="1">
      <nc r="H1">
        <f>G1/C1</f>
      </nc>
      <ndxf>
        <font>
          <sz val="10"/>
          <color auto="1"/>
          <name val="Arial"/>
          <scheme val="none"/>
        </font>
        <numFmt numFmtId="13" formatCode="0%"/>
      </ndxf>
    </rcc>
    <rcc rId="0" sId="7" dxf="1" numFmtId="4">
      <nc r="I1">
        <v>11372</v>
      </nc>
      <ndxf>
        <numFmt numFmtId="3" formatCode="#,##0"/>
      </ndxf>
    </rcc>
    <rcc rId="0" sId="7" dxf="1">
      <nc r="J1">
        <f>I1/B1</f>
      </nc>
      <ndxf>
        <numFmt numFmtId="164" formatCode="0.0%"/>
      </ndxf>
    </rcc>
    <rcc rId="0" sId="7" dxf="1">
      <nc r="K1" t="inlineStr">
        <is>
          <t>****</t>
        </is>
      </nc>
      <ndxf>
        <font>
          <sz val="10"/>
          <color auto="1"/>
          <name val="Arial"/>
          <scheme val="none"/>
        </font>
      </ndxf>
    </rcc>
    <rcc rId="0" sId="7" dxf="1">
      <nc r="L1">
        <f>I1/C1</f>
      </nc>
      <ndxf>
        <numFmt numFmtId="164" formatCode="0.0%"/>
      </ndxf>
    </rcc>
    <rcc rId="0" sId="7">
      <nc r="M1">
        <v>10892</v>
      </nc>
    </rcc>
    <rcc rId="0" sId="7">
      <nc r="N1">
        <v>12415</v>
      </nc>
    </rcc>
    <rcc rId="0" sId="7" dxf="1">
      <nc r="O1">
        <f>N1/M1-1</f>
      </nc>
      <ndxf>
        <numFmt numFmtId="14" formatCode="0.00%"/>
      </ndxf>
    </rcc>
  </rrc>
  <rrc rId="37353" sId="7" ref="A1:XFD1" action="deleteRow">
    <undo index="0" exp="ref" ref3D="1" v="1" dr="C1" r="C88" sId="8"/>
    <undo index="0" exp="ref" ref3D="1" v="1" dr="B1" r="B88" sId="8"/>
    <undo index="0" exp="area" dr="N1:N2" r="N3" sId="7"/>
    <undo index="0" exp="area" dr="M1:M2" r="M3" sId="7"/>
    <undo index="0" exp="area" dr="F1:F2" r="F3" sId="7"/>
    <undo index="0" exp="area" dr="C1:C2" r="C3" sId="7"/>
    <undo index="0" exp="area" dr="B1:B2" r="B3" sId="7"/>
    <rfmt sheetId="7" xfDxf="1" sqref="A1:XFD1" start="0" length="0"/>
    <rcc rId="0" sId="7" dxf="1">
      <nc r="A1" t="inlineStr">
        <is>
          <t>Office of Unified Communications</t>
        </is>
      </nc>
      <ndxf>
        <font>
          <sz val="10"/>
          <color auto="1"/>
          <name val="Arial"/>
          <scheme val="none"/>
        </font>
      </ndxf>
    </rcc>
    <rcc rId="0" sId="7" dxf="1" numFmtId="11">
      <nc r="B1">
        <v>40578</v>
      </nc>
      <ndxf>
        <font>
          <sz val="10"/>
          <color auto="1"/>
          <name val="Arial"/>
          <scheme val="none"/>
        </font>
        <numFmt numFmtId="10" formatCode="&quot;$&quot;#,##0_);[Red]\(&quot;$&quot;#,##0\)"/>
      </ndxf>
    </rcc>
    <rcc rId="0" sId="7" dxf="1" numFmtId="11">
      <nc r="C1">
        <v>47124</v>
      </nc>
      <ndxf>
        <font>
          <sz val="10"/>
          <color auto="1"/>
          <name val="Arial"/>
          <scheme val="none"/>
        </font>
        <numFmt numFmtId="10" formatCode="&quot;$&quot;#,##0_);[Red]\(&quot;$&quot;#,##0\)"/>
      </ndxf>
    </rcc>
    <rcc rId="0" sId="7" dxf="1">
      <nc r="D1">
        <f>C1-B1</f>
      </nc>
      <ndxf>
        <font>
          <sz val="10"/>
          <color auto="1"/>
          <name val="Arial"/>
          <scheme val="none"/>
        </font>
        <numFmt numFmtId="10" formatCode="&quot;$&quot;#,##0_);[Red]\(&quot;$&quot;#,##0\)"/>
      </ndxf>
    </rcc>
    <rcc rId="0" sId="7" s="1" dxf="1">
      <nc r="E1">
        <f>D1/B1</f>
      </nc>
      <ndxf>
        <font>
          <sz val="10"/>
          <color auto="1"/>
          <name val="Arial"/>
          <scheme val="none"/>
        </font>
        <numFmt numFmtId="13" formatCode="0%"/>
      </ndxf>
    </rcc>
    <rcc rId="0" sId="7" dxf="1" numFmtId="11">
      <nc r="F1">
        <v>51464</v>
      </nc>
      <ndxf>
        <font>
          <sz val="10"/>
          <color auto="1"/>
          <name val="Arial"/>
          <scheme val="none"/>
        </font>
        <numFmt numFmtId="10" formatCode="&quot;$&quot;#,##0_);[Red]\(&quot;$&quot;#,##0\)"/>
      </ndxf>
    </rcc>
    <rcc rId="0" sId="7" s="1" dxf="1">
      <nc r="G1">
        <f>F1-C1</f>
      </nc>
      <ndxf>
        <font>
          <sz val="10"/>
          <color auto="1"/>
          <name val="Arial"/>
          <scheme val="none"/>
        </font>
        <numFmt numFmtId="10" formatCode="&quot;$&quot;#,##0_);[Red]\(&quot;$&quot;#,##0\)"/>
      </ndxf>
    </rcc>
    <rcc rId="0" sId="7" dxf="1">
      <nc r="H1">
        <f>G1/C1</f>
      </nc>
      <ndxf>
        <font>
          <sz val="10"/>
          <color auto="1"/>
          <name val="Arial"/>
          <scheme val="none"/>
        </font>
        <numFmt numFmtId="13" formatCode="0%"/>
      </ndxf>
    </rcc>
    <rcc rId="0" sId="7" dxf="1" numFmtId="4">
      <nc r="I1">
        <v>49557</v>
      </nc>
      <ndxf>
        <numFmt numFmtId="3" formatCode="#,##0"/>
      </ndxf>
    </rcc>
    <rcc rId="0" sId="7" dxf="1">
      <nc r="J1">
        <f>I1/B1</f>
      </nc>
      <ndxf>
        <numFmt numFmtId="164" formatCode="0.0%"/>
      </ndxf>
    </rcc>
    <rcc rId="0" sId="7" dxf="1">
      <nc r="K1" t="inlineStr">
        <is>
          <t>**</t>
        </is>
      </nc>
      <ndxf>
        <font>
          <sz val="10"/>
          <color auto="1"/>
          <name val="Arial"/>
          <scheme val="none"/>
        </font>
      </ndxf>
    </rcc>
    <rcc rId="0" sId="7" dxf="1">
      <nc r="L1">
        <f>I1/C1</f>
      </nc>
      <ndxf>
        <numFmt numFmtId="164" formatCode="0.0%"/>
      </ndxf>
    </rcc>
    <rcc rId="0" sId="7">
      <nc r="M1">
        <v>41458</v>
      </nc>
    </rcc>
    <rcc rId="0" sId="7">
      <nc r="N1">
        <v>51577</v>
      </nc>
    </rcc>
    <rcc rId="0" sId="7" dxf="1">
      <nc r="O1">
        <f>N1/M1-1</f>
      </nc>
      <ndxf>
        <numFmt numFmtId="14" formatCode="0.00%"/>
      </ndxf>
    </rcc>
  </rrc>
  <rrc rId="37354" sId="7" ref="A1:XFD1" action="deleteRow">
    <undo index="0" exp="ref" ref3D="1" v="1" dr="C1" r="C89" sId="8"/>
    <undo index="0" exp="ref" ref3D="1" v="1" dr="B1" r="B89" sId="8"/>
    <undo index="0" exp="area" dr="N1" r="N2" sId="7"/>
    <undo index="0" exp="area" dr="M1" r="M2" sId="7"/>
    <undo index="0" exp="area" dr="F1" r="F2" sId="7"/>
    <undo index="0" exp="area" dr="C1" r="C2" sId="7"/>
    <undo index="0" exp="area" dr="B1" r="B2" sId="7"/>
    <rfmt sheetId="7" xfDxf="1" sqref="A1:XFD1" start="0" length="0">
      <dxf>
        <border outline="0">
          <bottom style="medium">
            <color indexed="64"/>
          </bottom>
        </border>
      </dxf>
    </rfmt>
    <rcc rId="0" sId="7" dxf="1">
      <nc r="A1" t="inlineStr">
        <is>
          <t>Motor Vehicle Theft Prevention Commission (FW)</t>
        </is>
      </nc>
      <ndxf>
        <font>
          <sz val="10"/>
          <color auto="1"/>
          <name val="Arial"/>
          <scheme val="none"/>
        </font>
      </ndxf>
    </rcc>
    <rcc rId="0" sId="7" dxf="1" numFmtId="11">
      <nc r="B1">
        <v>0</v>
      </nc>
      <ndxf>
        <font>
          <sz val="10"/>
          <color auto="1"/>
          <name val="Arial"/>
          <scheme val="none"/>
        </font>
        <numFmt numFmtId="10" formatCode="&quot;$&quot;#,##0_);[Red]\(&quot;$&quot;#,##0\)"/>
      </ndxf>
    </rcc>
    <rcc rId="0" sId="7" dxf="1" numFmtId="11">
      <nc r="C1">
        <v>750</v>
      </nc>
      <ndxf>
        <font>
          <sz val="10"/>
          <color auto="1"/>
          <name val="Arial"/>
          <scheme val="none"/>
        </font>
        <numFmt numFmtId="10" formatCode="&quot;$&quot;#,##0_);[Red]\(&quot;$&quot;#,##0\)"/>
      </ndxf>
    </rcc>
    <rcc rId="0" sId="7" dxf="1">
      <nc r="D1">
        <f>C1-B1</f>
      </nc>
      <ndxf>
        <font>
          <sz val="10"/>
          <color auto="1"/>
          <name val="Arial"/>
          <scheme val="none"/>
        </font>
        <numFmt numFmtId="10" formatCode="&quot;$&quot;#,##0_);[Red]\(&quot;$&quot;#,##0\)"/>
      </ndxf>
    </rcc>
    <rcc rId="0" sId="7" dxf="1">
      <nc r="E1" t="inlineStr">
        <is>
          <t>—</t>
        </is>
      </nc>
      <ndxf>
        <font>
          <sz val="10"/>
          <color auto="1"/>
          <name val="Arial"/>
          <scheme val="none"/>
        </font>
        <numFmt numFmtId="164" formatCode="0.0%"/>
        <alignment horizontal="right" vertical="top" readingOrder="0"/>
      </ndxf>
    </rcc>
    <rcc rId="0" sId="7" dxf="1" numFmtId="11">
      <nc r="F1">
        <v>0</v>
      </nc>
      <ndxf>
        <font>
          <sz val="10"/>
          <color auto="1"/>
          <name val="Arial"/>
          <scheme val="none"/>
        </font>
        <numFmt numFmtId="10" formatCode="&quot;$&quot;#,##0_);[Red]\(&quot;$&quot;#,##0\)"/>
      </ndxf>
    </rcc>
    <rcc rId="0" sId="7" s="1" dxf="1">
      <nc r="G1">
        <f>F1-C1</f>
      </nc>
      <ndxf>
        <font>
          <sz val="10"/>
          <color auto="1"/>
          <name val="Arial"/>
          <scheme val="none"/>
        </font>
        <numFmt numFmtId="10" formatCode="&quot;$&quot;#,##0_);[Red]\(&quot;$&quot;#,##0\)"/>
      </ndxf>
    </rcc>
    <rcc rId="0" sId="7" dxf="1">
      <nc r="H1">
        <f>G1/C1</f>
      </nc>
      <ndxf>
        <font>
          <sz val="10"/>
          <color auto="1"/>
          <name val="Arial"/>
          <scheme val="none"/>
        </font>
        <numFmt numFmtId="13" formatCode="0%"/>
      </ndxf>
    </rcc>
    <rcc rId="0" sId="7" dxf="1" numFmtId="4">
      <nc r="I1">
        <v>1525</v>
      </nc>
      <ndxf>
        <numFmt numFmtId="3" formatCode="#,##0"/>
      </ndxf>
    </rcc>
    <rcc rId="0" sId="7" dxf="1">
      <nc r="J1">
        <f>I1/B1</f>
      </nc>
      <ndxf/>
    </rcc>
    <rcc rId="0" sId="7" dxf="1">
      <nc r="L1">
        <f>I1/C1</f>
      </nc>
      <ndxf>
        <numFmt numFmtId="164" formatCode="0.0%"/>
      </ndxf>
    </rcc>
    <rcc rId="0" sId="7">
      <nc r="M1">
        <v>750</v>
      </nc>
    </rcc>
    <rcc rId="0" sId="7">
      <nc r="N1">
        <v>0</v>
      </nc>
    </rcc>
    <rcc rId="0" sId="7" dxf="1">
      <nc r="O1">
        <f>N1/M1-1</f>
      </nc>
      <ndxf>
        <numFmt numFmtId="14" formatCode="0.00%"/>
        <border outline="0">
          <bottom/>
        </border>
      </ndxf>
    </rcc>
  </rrc>
  <rrc rId="37355" sId="7" ref="A1:XFD1" action="deleteRow">
    <undo index="7" exp="ref" v="1" dr="N1" r="N101" sId="7"/>
    <undo index="7" exp="ref" v="1" dr="M1" r="M101" sId="7"/>
    <undo index="4" exp="ref" dr="G1" r="G101" sId="7"/>
    <undo index="4" exp="ref" dr="F1" r="F101" sId="7"/>
    <undo index="4" exp="ref" dr="D1" r="D101" sId="7"/>
    <undo index="4" exp="ref" dr="C1" r="C101" sId="7"/>
    <undo index="4" exp="ref" dr="B1" r="B101" sId="7"/>
    <rfmt sheetId="7" xfDxf="1" sqref="A1:XFD1" start="0" length="0">
      <dxf>
        <font>
          <b/>
        </font>
      </dxf>
    </rfmt>
    <rcc rId="0" sId="7" dxf="1">
      <nc r="A1" t="inlineStr">
        <is>
          <t>Subtotal: Public Safety &amp; Justice</t>
        </is>
      </nc>
      <ndxf/>
    </rcc>
    <rcc rId="0" sId="7" dxf="1">
      <nc r="B1">
        <f>SUM(#REF!)</f>
      </nc>
      <ndxf>
        <numFmt numFmtId="10" formatCode="&quot;$&quot;#,##0_);[Red]\(&quot;$&quot;#,##0\)"/>
      </ndxf>
    </rcc>
    <rcc rId="0" sId="7" dxf="1">
      <nc r="C1">
        <f>SUM(#REF!)</f>
      </nc>
      <ndxf>
        <numFmt numFmtId="10" formatCode="&quot;$&quot;#,##0_);[Red]\(&quot;$&quot;#,##0\)"/>
      </ndxf>
    </rcc>
    <rcc rId="0" sId="7" dxf="1">
      <nc r="D1">
        <f>C1-B1</f>
      </nc>
      <ndxf>
        <numFmt numFmtId="10" formatCode="&quot;$&quot;#,##0_);[Red]\(&quot;$&quot;#,##0\)"/>
      </ndxf>
    </rcc>
    <rcc rId="0" sId="7" s="1" dxf="1">
      <nc r="E1">
        <f>D1/B1</f>
      </nc>
      <ndxf>
        <numFmt numFmtId="13" formatCode="0%"/>
      </ndxf>
    </rcc>
    <rcc rId="0" sId="7" dxf="1">
      <nc r="F1">
        <f>SUM(#REF!)</f>
      </nc>
      <ndxf>
        <numFmt numFmtId="10" formatCode="&quot;$&quot;#,##0_);[Red]\(&quot;$&quot;#,##0\)"/>
      </ndxf>
    </rcc>
    <rcc rId="0" sId="7" s="1" dxf="1">
      <nc r="G1">
        <f>F1-C1</f>
      </nc>
      <ndxf>
        <numFmt numFmtId="10" formatCode="&quot;$&quot;#,##0_);[Red]\(&quot;$&quot;#,##0\)"/>
      </ndxf>
    </rcc>
    <rcc rId="0" sId="7" dxf="1">
      <nc r="H1">
        <f>G1/C1</f>
      </nc>
      <ndxf>
        <numFmt numFmtId="13" formatCode="0%"/>
      </ndxf>
    </rcc>
    <rcc rId="0" sId="7" dxf="1" numFmtId="4">
      <nc r="I1">
        <v>1338416</v>
      </nc>
      <ndxf>
        <numFmt numFmtId="3" formatCode="#,##0"/>
      </ndxf>
    </rcc>
    <rcc rId="0" sId="7" dxf="1">
      <nc r="J1">
        <f>I1/B1</f>
      </nc>
      <ndxf>
        <numFmt numFmtId="164" formatCode="0.0%"/>
      </ndxf>
    </rcc>
    <rcc rId="0" sId="7">
      <nc r="K1" t="inlineStr">
        <is>
          <t>**</t>
        </is>
      </nc>
    </rcc>
    <rcc rId="0" sId="7" dxf="1">
      <nc r="L1">
        <f>I1/C1</f>
      </nc>
      <ndxf>
        <numFmt numFmtId="164" formatCode="0.0%"/>
      </ndxf>
    </rcc>
    <rcc rId="0" sId="7">
      <nc r="M1">
        <f>SUM(#REF!)</f>
      </nc>
    </rcc>
    <rcc rId="0" sId="7">
      <nc r="N1">
        <f>SUM(#REF!)</f>
      </nc>
    </rcc>
    <rcc rId="0" sId="7" dxf="1">
      <nc r="O1">
        <f>N1/M1-1</f>
      </nc>
      <ndxf>
        <font>
          <b val="0"/>
          <sz val="10"/>
          <color auto="1"/>
          <name val="Arial"/>
          <scheme val="none"/>
        </font>
        <numFmt numFmtId="14" formatCode="0.00%"/>
      </ndxf>
    </rcc>
  </rrc>
  <rrc rId="37356" sId="7" ref="A1:XFD1" action="deleteRow">
    <rfmt sheetId="7" xfDxf="1" sqref="A1:XFD1" start="0" length="0"/>
    <rfmt sheetId="7" sqref="A1" start="0" length="0">
      <dxf>
        <font>
          <b/>
          <sz val="10"/>
          <color auto="1"/>
          <name val="Arial"/>
          <scheme val="none"/>
        </font>
      </dxf>
    </rfmt>
    <rfmt sheetId="7" sqref="B1" start="0" length="0">
      <dxf>
        <font>
          <b/>
          <sz val="10"/>
          <color auto="1"/>
          <name val="Arial"/>
          <scheme val="none"/>
        </font>
        <numFmt numFmtId="10" formatCode="&quot;$&quot;#,##0_);[Red]\(&quot;$&quot;#,##0\)"/>
      </dxf>
    </rfmt>
    <rfmt sheetId="7" sqref="C1" start="0" length="0">
      <dxf>
        <font>
          <b/>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1" sqref="E1" start="0" length="0">
      <dxf>
        <font>
          <sz val="10"/>
          <color auto="1"/>
          <name val="Arial"/>
          <scheme val="none"/>
        </font>
        <numFmt numFmtId="13" formatCode="0%"/>
      </dxf>
    </rfmt>
    <rfmt sheetId="7" sqref="F1" start="0" length="0">
      <dxf>
        <font>
          <b/>
          <sz val="10"/>
          <color auto="1"/>
          <name val="Arial"/>
          <scheme val="none"/>
        </font>
        <numFmt numFmtId="10" formatCode="&quot;$&quot;#,##0_);[Red]\(&quot;$&quot;#,##0\)"/>
      </dxf>
    </rfmt>
    <rfmt sheetId="7" s="1"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357" sId="7" ref="A1:XFD1" action="deleteRow">
    <rfmt sheetId="7" xfDxf="1" sqref="A1:XFD1" start="0" length="0"/>
    <rcc rId="0" sId="7" dxf="1">
      <nc r="A1" t="inlineStr">
        <is>
          <t>Notes for Public Safety &amp; Justice:</t>
        </is>
      </nc>
      <ndxf>
        <font>
          <i/>
          <sz val="10"/>
          <color auto="1"/>
          <name val="Arial"/>
          <scheme val="none"/>
        </font>
      </ndxf>
    </rcc>
    <rfmt sheetId="7" sqref="B1" start="0" length="0">
      <dxf>
        <font>
          <b/>
          <sz val="10"/>
          <color auto="1"/>
          <name val="Arial"/>
          <scheme val="none"/>
        </font>
        <numFmt numFmtId="10" formatCode="&quot;$&quot;#,##0_);[Red]\(&quot;$&quot;#,##0\)"/>
      </dxf>
    </rfmt>
    <rfmt sheetId="7" sqref="C1" start="0" length="0">
      <dxf>
        <font>
          <b/>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1" sqref="E1" start="0" length="0">
      <dxf>
        <font>
          <sz val="10"/>
          <color auto="1"/>
          <name val="Arial"/>
          <scheme val="none"/>
        </font>
        <numFmt numFmtId="13" formatCode="0%"/>
      </dxf>
    </rfmt>
    <rfmt sheetId="7" sqref="F1" start="0" length="0">
      <dxf>
        <font>
          <b/>
          <sz val="10"/>
          <color auto="1"/>
          <name val="Arial"/>
          <scheme val="none"/>
        </font>
        <numFmt numFmtId="10" formatCode="&quot;$&quot;#,##0_);[Red]\(&quot;$&quot;#,##0\)"/>
      </dxf>
    </rfmt>
    <rfmt sheetId="7" s="1"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358" sId="7" ref="A1:XFD1" action="deleteRow">
    <rfmt sheetId="7" xfDxf="1" sqref="A1:XFD1" start="0" length="0"/>
    <rcc rId="0" sId="7" dxf="1">
      <nc r="A1" t="inlineStr">
        <is>
          <t>* Formerly the Office of Citizen Complaints</t>
        </is>
      </nc>
      <ndxf>
        <font>
          <i/>
          <sz val="10"/>
          <color auto="1"/>
          <name val="Arial"/>
          <scheme val="none"/>
        </font>
      </ndxf>
    </rcc>
    <rfmt sheetId="7" sqref="B1" start="0" length="0">
      <dxf>
        <font>
          <b/>
          <sz val="10"/>
          <color auto="1"/>
          <name val="Arial"/>
          <scheme val="none"/>
        </font>
        <numFmt numFmtId="10" formatCode="&quot;$&quot;#,##0_);[Red]\(&quot;$&quot;#,##0\)"/>
      </dxf>
    </rfmt>
    <rfmt sheetId="7" sqref="C1" start="0" length="0">
      <dxf>
        <font>
          <b/>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1" sqref="E1" start="0" length="0">
      <dxf>
        <font>
          <sz val="10"/>
          <color auto="1"/>
          <name val="Arial"/>
          <scheme val="none"/>
        </font>
        <numFmt numFmtId="13" formatCode="0%"/>
      </dxf>
    </rfmt>
    <rfmt sheetId="7" sqref="F1" start="0" length="0">
      <dxf>
        <font>
          <b/>
          <sz val="10"/>
          <color auto="1"/>
          <name val="Arial"/>
          <scheme val="none"/>
        </font>
        <numFmt numFmtId="10" formatCode="&quot;$&quot;#,##0_);[Red]\(&quot;$&quot;#,##0\)"/>
      </dxf>
    </rfmt>
    <rfmt sheetId="7" s="1"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359" sId="7" ref="A1:XFD1" action="deleteRow">
    <rfmt sheetId="7" xfDxf="1" sqref="A1:XFD1" start="0" length="0"/>
    <rcc rId="0" sId="7" dxf="1">
      <nc r="A1" t="inlineStr">
        <is>
          <t>** Formerly the Forensic Health and Science Laboratory</t>
        </is>
      </nc>
      <ndxf>
        <font>
          <i/>
          <sz val="10"/>
          <color auto="1"/>
          <name val="Arial"/>
          <scheme val="none"/>
        </font>
      </ndxf>
    </rcc>
    <rfmt sheetId="7" sqref="B1" start="0" length="0">
      <dxf>
        <font>
          <b/>
          <sz val="10"/>
          <color auto="1"/>
          <name val="Arial"/>
          <scheme val="none"/>
        </font>
        <numFmt numFmtId="10" formatCode="&quot;$&quot;#,##0_);[Red]\(&quot;$&quot;#,##0\)"/>
      </dxf>
    </rfmt>
    <rfmt sheetId="7" sqref="C1" start="0" length="0">
      <dxf>
        <font>
          <b/>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1" sqref="E1" start="0" length="0">
      <dxf>
        <font>
          <sz val="10"/>
          <color auto="1"/>
          <name val="Arial"/>
          <scheme val="none"/>
        </font>
        <numFmt numFmtId="13" formatCode="0%"/>
      </dxf>
    </rfmt>
    <rfmt sheetId="7" sqref="F1" start="0" length="0">
      <dxf>
        <font>
          <b/>
          <sz val="10"/>
          <color auto="1"/>
          <name val="Arial"/>
          <scheme val="none"/>
        </font>
        <numFmt numFmtId="10" formatCode="&quot;$&quot;#,##0_);[Red]\(&quot;$&quot;#,##0\)"/>
      </dxf>
    </rfmt>
    <rfmt sheetId="7" s="1"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360" sId="7" ref="A1:XFD1" action="deleteRow">
    <rfmt sheetId="7" xfDxf="1" sqref="A1:XFD1" start="0" length="0"/>
    <rcc rId="0" sId="7" dxf="1">
      <nc r="A1" t="inlineStr">
        <is>
          <t>*** This agency was eliminated in 2006</t>
        </is>
      </nc>
      <ndxf>
        <font>
          <i/>
          <sz val="10"/>
          <color auto="1"/>
          <name val="Arial"/>
          <scheme val="none"/>
        </font>
      </ndxf>
    </rcc>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1" sqref="E1" start="0" length="0">
      <dxf>
        <font>
          <sz val="10"/>
          <color auto="1"/>
          <name val="Arial"/>
          <scheme val="none"/>
        </font>
        <numFmt numFmtId="13" formatCode="0%"/>
      </dxf>
    </rfmt>
    <rfmt sheetId="7" sqref="F1" start="0" length="0">
      <dxf>
        <font>
          <sz val="10"/>
          <color auto="1"/>
          <name val="Arial"/>
          <scheme val="none"/>
        </font>
        <numFmt numFmtId="10" formatCode="&quot;$&quot;#,##0_);[Red]\(&quot;$&quot;#,##0\)"/>
      </dxf>
    </rfmt>
    <rfmt sheetId="7" s="1"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361" sId="7" ref="A1:XFD1" action="deleteRow">
    <rfmt sheetId="7" xfDxf="1" sqref="A1:XFD1" start="0" length="0"/>
    <rcc rId="0" sId="7" dxf="1">
      <nc r="A1" t="inlineStr">
        <is>
          <t>**** This line item added in 2008</t>
        </is>
      </nc>
      <ndxf>
        <font>
          <i/>
          <sz val="10"/>
          <color auto="1"/>
          <name val="Arial"/>
          <scheme val="none"/>
        </font>
      </ndxf>
    </rcc>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1" sqref="E1" start="0" length="0">
      <dxf>
        <font>
          <sz val="10"/>
          <color auto="1"/>
          <name val="Arial"/>
          <scheme val="none"/>
        </font>
        <numFmt numFmtId="13" formatCode="0%"/>
      </dxf>
    </rfmt>
    <rfmt sheetId="7" sqref="F1" start="0" length="0">
      <dxf>
        <font>
          <sz val="10"/>
          <color auto="1"/>
          <name val="Arial"/>
          <scheme val="none"/>
        </font>
        <numFmt numFmtId="10" formatCode="&quot;$&quot;#,##0_);[Red]\(&quot;$&quot;#,##0\)"/>
      </dxf>
    </rfmt>
    <rfmt sheetId="7" s="1"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362" sId="7" ref="A1:XFD1" action="deleteRow">
    <rfmt sheetId="7" xfDxf="1" sqref="A1:XFD1" start="0" length="0"/>
    <rfmt sheetId="7" sqref="A1" start="0" length="0">
      <dxf>
        <font>
          <b/>
          <sz val="10"/>
          <color auto="1"/>
          <name val="Arial"/>
          <scheme val="none"/>
        </font>
      </dxf>
    </rfmt>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1" sqref="E1" start="0" length="0">
      <dxf>
        <font>
          <sz val="10"/>
          <color auto="1"/>
          <name val="Arial"/>
          <scheme val="none"/>
        </font>
        <numFmt numFmtId="13" formatCode="0%"/>
      </dxf>
    </rfmt>
    <rfmt sheetId="7" sqref="F1" start="0" length="0">
      <dxf>
        <font>
          <sz val="10"/>
          <color auto="1"/>
          <name val="Arial"/>
          <scheme val="none"/>
        </font>
        <numFmt numFmtId="10" formatCode="&quot;$&quot;#,##0_);[Red]\(&quot;$&quot;#,##0\)"/>
      </dxf>
    </rfmt>
    <rfmt sheetId="7" s="1"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363" sId="7" ref="A1:XFD1" action="deleteRow">
    <rfmt sheetId="7" xfDxf="1" sqref="A1:XFD1" start="0" length="0">
      <dxf>
        <fill>
          <patternFill patternType="solid">
            <bgColor theme="0" tint="-0.249977111117893"/>
          </patternFill>
        </fill>
        <border outline="0">
          <bottom style="medium">
            <color indexed="64"/>
          </bottom>
        </border>
      </dxf>
    </rfmt>
    <rcc rId="0" sId="7" dxf="1">
      <nc r="A1" t="inlineStr">
        <is>
          <t>Public Education</t>
        </is>
      </nc>
      <ndxf>
        <font>
          <b/>
          <sz val="10"/>
          <color auto="1"/>
          <name val="Arial"/>
          <scheme val="none"/>
        </font>
      </ndxf>
    </rcc>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1" sqref="E1" start="0" length="0">
      <dxf>
        <font>
          <sz val="10"/>
          <color auto="1"/>
          <name val="Arial"/>
          <scheme val="none"/>
        </font>
        <numFmt numFmtId="13" formatCode="0%"/>
      </dxf>
    </rfmt>
    <rfmt sheetId="7" sqref="F1" start="0" length="0">
      <dxf>
        <font>
          <sz val="10"/>
          <color auto="1"/>
          <name val="Arial"/>
          <scheme val="none"/>
        </font>
        <numFmt numFmtId="10" formatCode="&quot;$&quot;#,##0_);[Red]\(&quot;$&quot;#,##0\)"/>
      </dxf>
    </rfmt>
    <rfmt sheetId="7" s="1"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364" sId="7" ref="A1:XFD1" action="deleteRow">
    <undo index="0" exp="ref" ref3D="1" v="1" dr="C1" r="C99" sId="8"/>
    <undo index="0" exp="ref" ref3D="1" v="1" dr="B1" r="B99" sId="8"/>
    <undo index="0" exp="area" dr="N1:N11" r="N12" sId="7"/>
    <undo index="0" exp="area" dr="M1:M11" r="M12" sId="7"/>
    <rfmt sheetId="7" xfDxf="1" sqref="A1:XFD1" start="0" length="0"/>
    <rcc rId="0" sId="7" dxf="1">
      <nc r="A1" t="inlineStr">
        <is>
          <t>Deputy Mayor for Education*</t>
        </is>
      </nc>
      <ndxf>
        <font>
          <sz val="10"/>
          <color auto="1"/>
          <name val="Arial"/>
          <scheme val="none"/>
        </font>
      </ndxf>
    </rcc>
    <rcc rId="0" sId="7" dxf="1" numFmtId="11">
      <nc r="B1">
        <v>2467</v>
      </nc>
      <ndxf>
        <font>
          <sz val="10"/>
          <color auto="1"/>
          <name val="Arial"/>
          <scheme val="none"/>
        </font>
        <numFmt numFmtId="10" formatCode="&quot;$&quot;#,##0_);[Red]\(&quot;$&quot;#,##0\)"/>
      </ndxf>
    </rcc>
    <rcc rId="0" sId="7" dxf="1" numFmtId="11">
      <nc r="C1">
        <v>4892</v>
      </nc>
      <ndxf>
        <font>
          <sz val="10"/>
          <color auto="1"/>
          <name val="Arial"/>
          <scheme val="none"/>
        </font>
        <numFmt numFmtId="10" formatCode="&quot;$&quot;#,##0_);[Red]\(&quot;$&quot;#,##0\)"/>
      </ndxf>
    </rcc>
    <rcc rId="0" sId="7" dxf="1">
      <nc r="D1">
        <f>C1-B1</f>
      </nc>
      <ndxf>
        <font>
          <sz val="10"/>
          <color auto="1"/>
          <name val="Arial"/>
          <scheme val="none"/>
        </font>
        <numFmt numFmtId="10" formatCode="&quot;$&quot;#,##0_);[Red]\(&quot;$&quot;#,##0\)"/>
      </ndxf>
    </rcc>
    <rcc rId="0" sId="7" s="1" dxf="1">
      <nc r="E1">
        <f>D1/B1</f>
      </nc>
      <ndxf>
        <font>
          <sz val="10"/>
          <color auto="1"/>
          <name val="Arial"/>
          <scheme val="none"/>
        </font>
        <numFmt numFmtId="13" formatCode="0%"/>
      </ndxf>
    </rcc>
    <rcc rId="0" sId="7" dxf="1" numFmtId="11">
      <nc r="F1">
        <v>4039</v>
      </nc>
      <ndxf>
        <font>
          <sz val="10"/>
          <color auto="1"/>
          <name val="Arial"/>
          <scheme val="none"/>
        </font>
        <numFmt numFmtId="10" formatCode="&quot;$&quot;#,##0_);[Red]\(&quot;$&quot;#,##0\)"/>
      </ndxf>
    </rcc>
    <rcc rId="0" sId="7" s="1" dxf="1">
      <nc r="G1">
        <f>F1-C1</f>
      </nc>
      <ndxf>
        <font>
          <sz val="10"/>
          <color auto="1"/>
          <name val="Arial"/>
          <scheme val="none"/>
        </font>
        <numFmt numFmtId="10" formatCode="&quot;$&quot;#,##0_);[Red]\(&quot;$&quot;#,##0\)"/>
      </ndxf>
    </rcc>
    <rcc rId="0" sId="7" dxf="1">
      <nc r="H1">
        <f>G1/C1</f>
      </nc>
      <ndxf>
        <font>
          <sz val="10"/>
          <color auto="1"/>
          <name val="Arial"/>
          <scheme val="none"/>
        </font>
        <numFmt numFmtId="13" formatCode="0%"/>
      </ndxf>
    </rcc>
    <rcc rId="0" sId="7">
      <nc r="I1">
        <v>778</v>
      </nc>
    </rcc>
    <rcc rId="0" sId="7" dxf="1">
      <nc r="J1">
        <f>I1/B1</f>
      </nc>
      <ndxf>
        <numFmt numFmtId="164" formatCode="0.0%"/>
      </ndxf>
    </rcc>
    <rcc rId="0" sId="7" dxf="1">
      <nc r="K1" t="inlineStr">
        <is>
          <t>**</t>
        </is>
      </nc>
      <ndxf>
        <font>
          <sz val="10"/>
          <color auto="1"/>
          <name val="Arial"/>
          <scheme val="none"/>
        </font>
      </ndxf>
    </rcc>
    <rcc rId="0" sId="7" dxf="1">
      <nc r="L1">
        <f>I1/C1</f>
      </nc>
      <ndxf>
        <numFmt numFmtId="164" formatCode="0.0%"/>
      </ndxf>
    </rcc>
    <rcc rId="0" sId="7">
      <nc r="M1">
        <v>778</v>
      </nc>
    </rcc>
    <rcc rId="0" sId="7">
      <nc r="N1">
        <v>2510</v>
      </nc>
    </rcc>
    <rcc rId="0" sId="7" dxf="1">
      <nc r="O1">
        <f>N1/M1-1</f>
      </nc>
      <ndxf>
        <numFmt numFmtId="14" formatCode="0.00%"/>
      </ndxf>
    </rcc>
  </rrc>
  <rrc rId="37365" sId="7" ref="A1:XFD1" action="deleteRow">
    <undo index="0" exp="ref" ref3D="1" v="1" dr="C1" r="C100" sId="8"/>
    <undo index="0" exp="ref" ref3D="1" v="1" dr="B1" r="B100" sId="8"/>
    <undo index="0" exp="area" dr="N1:N10" r="N11" sId="7"/>
    <undo index="0" exp="area" dr="M1:M10" r="M11" sId="7"/>
    <undo index="0" exp="area" dr="F1:F10" r="F11" sId="7"/>
    <undo index="0" exp="area" dr="C1:C10" r="C11" sId="7"/>
    <undo index="0" exp="area" dr="B1:B10" r="B11" sId="7"/>
    <rfmt sheetId="7" xfDxf="1" sqref="A1:XFD1" start="0" length="0"/>
    <rcc rId="0" sId="7" dxf="1">
      <nc r="A1" t="inlineStr">
        <is>
          <t>DC Public Schools**</t>
        </is>
      </nc>
      <ndxf>
        <font>
          <sz val="10"/>
          <color auto="1"/>
          <name val="Arial"/>
          <scheme val="none"/>
        </font>
      </ndxf>
    </rcc>
    <rcc rId="0" sId="7" dxf="1" numFmtId="11">
      <nc r="B1">
        <v>898840</v>
      </nc>
      <ndxf>
        <font>
          <sz val="10"/>
          <color auto="1"/>
          <name val="Arial"/>
          <scheme val="none"/>
        </font>
        <numFmt numFmtId="10" formatCode="&quot;$&quot;#,##0_);[Red]\(&quot;$&quot;#,##0\)"/>
      </ndxf>
    </rcc>
    <rcc rId="0" sId="7" dxf="1" numFmtId="11">
      <nc r="C1">
        <v>619078</v>
      </nc>
      <ndxf>
        <font>
          <sz val="10"/>
          <color auto="1"/>
          <name val="Arial"/>
          <scheme val="none"/>
        </font>
        <numFmt numFmtId="10" formatCode="&quot;$&quot;#,##0_);[Red]\(&quot;$&quot;#,##0\)"/>
      </ndxf>
    </rcc>
    <rcc rId="0" sId="7" dxf="1">
      <nc r="D1">
        <f>C1-B1</f>
      </nc>
      <ndxf>
        <font>
          <sz val="10"/>
          <color auto="1"/>
          <name val="Arial"/>
          <scheme val="none"/>
        </font>
        <numFmt numFmtId="10" formatCode="&quot;$&quot;#,##0_);[Red]\(&quot;$&quot;#,##0\)"/>
      </ndxf>
    </rcc>
    <rcc rId="0" sId="7" s="1" dxf="1">
      <nc r="E1">
        <f>D1/B1</f>
      </nc>
      <ndxf>
        <font>
          <sz val="10"/>
          <color auto="1"/>
          <name val="Arial"/>
          <scheme val="none"/>
        </font>
        <numFmt numFmtId="13" formatCode="0%"/>
      </ndxf>
    </rcc>
    <rcc rId="0" sId="7" dxf="1" numFmtId="11">
      <nc r="F1">
        <v>593534</v>
      </nc>
      <ndxf>
        <font>
          <sz val="10"/>
          <color auto="1"/>
          <name val="Arial"/>
          <scheme val="none"/>
        </font>
        <numFmt numFmtId="10" formatCode="&quot;$&quot;#,##0_);[Red]\(&quot;$&quot;#,##0\)"/>
      </ndxf>
    </rcc>
    <rcc rId="0" sId="7" s="1" dxf="1">
      <nc r="G1">
        <f>F1-C1</f>
      </nc>
      <ndxf>
        <font>
          <sz val="10"/>
          <color auto="1"/>
          <name val="Arial"/>
          <scheme val="none"/>
        </font>
        <numFmt numFmtId="10" formatCode="&quot;$&quot;#,##0_);[Red]\(&quot;$&quot;#,##0\)"/>
      </ndxf>
    </rcc>
    <rcc rId="0" sId="7" dxf="1">
      <nc r="H1">
        <f>G1/C1</f>
      </nc>
      <ndxf>
        <font>
          <sz val="10"/>
          <color auto="1"/>
          <name val="Arial"/>
          <scheme val="none"/>
        </font>
        <numFmt numFmtId="13" formatCode="0%"/>
      </ndxf>
    </rcc>
    <rcc rId="0" sId="7" dxf="1" numFmtId="4">
      <nc r="I1">
        <v>773121</v>
      </nc>
      <ndxf>
        <numFmt numFmtId="3" formatCode="#,##0"/>
      </ndxf>
    </rcc>
    <rcc rId="0" sId="7" dxf="1">
      <nc r="J1">
        <f>I1/B1</f>
      </nc>
      <ndxf>
        <numFmt numFmtId="164" formatCode="0.0%"/>
      </ndxf>
    </rcc>
    <rcc rId="0" sId="7" dxf="1">
      <nc r="K1" t="inlineStr">
        <is>
          <t>***</t>
        </is>
      </nc>
      <ndxf>
        <font>
          <sz val="10"/>
          <color auto="1"/>
          <name val="Arial"/>
          <scheme val="none"/>
        </font>
      </ndxf>
    </rcc>
    <rcc rId="0" sId="7" dxf="1">
      <nc r="L1">
        <f>I1/C1</f>
      </nc>
      <ndxf>
        <numFmt numFmtId="164" formatCode="0.0%"/>
      </ndxf>
    </rcc>
    <rcc rId="0" sId="7">
      <nc r="M1">
        <v>779547</v>
      </nc>
    </rcc>
    <rcc rId="0" sId="7">
      <nc r="N1">
        <v>757543</v>
      </nc>
    </rcc>
    <rcc rId="0" sId="7" dxf="1">
      <nc r="O1">
        <f>N1/M1-1</f>
      </nc>
      <ndxf>
        <numFmt numFmtId="14" formatCode="0.00%"/>
      </ndxf>
    </rcc>
  </rrc>
  <rrc rId="37366" sId="7" ref="A1:XFD1" action="deleteRow">
    <undo index="0" exp="ref" ref3D="1" v="1" dr="C1" r="C101" sId="8"/>
    <undo index="0" exp="ref" ref3D="1" v="1" dr="B1" r="B101" sId="8"/>
    <undo index="0" exp="area" dr="N1:N9" r="N10" sId="7"/>
    <undo index="0" exp="area" dr="M1:M9" r="M10" sId="7"/>
    <undo index="0" exp="area" dr="F1:F9" r="F10" sId="7"/>
    <undo index="0" exp="area" dr="C1:C9" r="C10" sId="7"/>
    <undo index="0" exp="area" dr="B1:B9" r="B10" sId="7"/>
    <rfmt sheetId="7" xfDxf="1" sqref="A1:XFD1" start="0" length="0"/>
    <rcc rId="0" sId="7" dxf="1">
      <nc r="A1" t="inlineStr">
        <is>
          <t>Teachers' Retirement System</t>
        </is>
      </nc>
      <ndxf>
        <font>
          <sz val="10"/>
          <color auto="1"/>
          <name val="Arial"/>
          <scheme val="none"/>
        </font>
      </ndxf>
    </rcc>
    <rcc rId="0" sId="7" dxf="1" numFmtId="11">
      <nc r="B1">
        <v>5964</v>
      </nc>
      <ndxf>
        <font>
          <sz val="10"/>
          <color auto="1"/>
          <name val="Arial"/>
          <scheme val="none"/>
        </font>
        <numFmt numFmtId="10" formatCode="&quot;$&quot;#,##0_);[Red]\(&quot;$&quot;#,##0\)"/>
      </ndxf>
    </rcc>
    <rcc rId="0" sId="7" dxf="1" numFmtId="11">
      <nc r="C1">
        <v>0</v>
      </nc>
      <ndxf>
        <font>
          <sz val="10"/>
          <color auto="1"/>
          <name val="Arial"/>
          <scheme val="none"/>
        </font>
        <numFmt numFmtId="10" formatCode="&quot;$&quot;#,##0_);[Red]\(&quot;$&quot;#,##0\)"/>
      </ndxf>
    </rcc>
    <rcc rId="0" sId="7" dxf="1">
      <nc r="D1">
        <f>C1-B1</f>
      </nc>
      <ndxf>
        <font>
          <sz val="10"/>
          <color auto="1"/>
          <name val="Arial"/>
          <scheme val="none"/>
        </font>
        <numFmt numFmtId="10" formatCode="&quot;$&quot;#,##0_);[Red]\(&quot;$&quot;#,##0\)"/>
      </ndxf>
    </rcc>
    <rcc rId="0" sId="7" s="1" dxf="1">
      <nc r="E1">
        <f>D1/B1</f>
      </nc>
      <ndxf>
        <font>
          <sz val="10"/>
          <color auto="1"/>
          <name val="Arial"/>
          <scheme val="none"/>
        </font>
        <numFmt numFmtId="13" formatCode="0%"/>
      </ndxf>
    </rcc>
    <rcc rId="0" sId="7" dxf="1" numFmtId="11">
      <nc r="F1">
        <v>3000</v>
      </nc>
      <ndxf>
        <font>
          <sz val="10"/>
          <color auto="1"/>
          <name val="Arial"/>
          <scheme val="none"/>
        </font>
        <numFmt numFmtId="10" formatCode="&quot;$&quot;#,##0_);[Red]\(&quot;$&quot;#,##0\)"/>
      </ndxf>
    </rcc>
    <rcc rId="0" sId="7" s="1" dxf="1">
      <nc r="G1">
        <f>F1-C1</f>
      </nc>
      <ndxf>
        <font>
          <sz val="10"/>
          <color auto="1"/>
          <name val="Arial"/>
          <scheme val="none"/>
        </font>
        <numFmt numFmtId="10" formatCode="&quot;$&quot;#,##0_);[Red]\(&quot;$&quot;#,##0\)"/>
      </ndxf>
    </rcc>
    <rcc rId="0" sId="7" dxf="1">
      <nc r="H1" t="inlineStr">
        <is>
          <t>—</t>
        </is>
      </nc>
      <ndxf>
        <font>
          <sz val="10"/>
          <color auto="1"/>
          <name val="Arial"/>
          <scheme val="none"/>
        </font>
        <numFmt numFmtId="164" formatCode="0.0%"/>
        <alignment horizontal="right" vertical="top" readingOrder="0"/>
      </ndxf>
    </rcc>
    <rcc rId="0" sId="7" dxf="1" numFmtId="4">
      <nc r="I1">
        <v>3000</v>
      </nc>
      <ndxf>
        <numFmt numFmtId="3" formatCode="#,##0"/>
      </ndxf>
    </rcc>
    <rcc rId="0" sId="7" dxf="1">
      <nc r="J1">
        <f>I1/B1</f>
      </nc>
      <ndxf>
        <numFmt numFmtId="164" formatCode="0.0%"/>
      </ndxf>
    </rcc>
    <rcc rId="0" sId="7">
      <nc r="L1">
        <f>I1/C1</f>
      </nc>
    </rcc>
    <rcc rId="0" sId="7">
      <nc r="M1">
        <v>3000</v>
      </nc>
    </rcc>
    <rcc rId="0" sId="7">
      <nc r="N1">
        <v>3000</v>
      </nc>
    </rcc>
    <rcc rId="0" sId="7" dxf="1">
      <nc r="O1">
        <f>N1/M1-1</f>
      </nc>
      <ndxf>
        <numFmt numFmtId="14" formatCode="0.00%"/>
      </ndxf>
    </rcc>
  </rrc>
  <rrc rId="37367" sId="7" ref="A1:XFD1" action="deleteRow">
    <undo index="0" exp="ref" ref3D="1" v="1" dr="C1" r="C102" sId="8"/>
    <undo index="0" exp="ref" ref3D="1" v="1" dr="B1" r="B102" sId="8"/>
    <undo index="0" exp="area" dr="N1:N8" r="N9" sId="7"/>
    <undo index="0" exp="area" dr="M1:M8" r="M9" sId="7"/>
    <undo index="0" exp="area" dr="F1:F8" r="F9" sId="7"/>
    <undo index="0" exp="area" dr="C1:C8" r="C9" sId="7"/>
    <undo index="0" exp="area" dr="B1:B8" r="B9" sId="7"/>
    <rfmt sheetId="7" xfDxf="1" sqref="A1:XFD1" start="0" length="0"/>
    <rcc rId="0" sId="7" dxf="1">
      <nc r="A1" t="inlineStr">
        <is>
          <t>Office of the State Superintendent of Education***</t>
        </is>
      </nc>
      <ndxf>
        <font>
          <sz val="10"/>
          <color auto="1"/>
          <name val="Arial"/>
          <scheme val="none"/>
        </font>
        <border outline="0">
          <left style="medium">
            <color indexed="64"/>
          </left>
        </border>
      </ndxf>
    </rcc>
    <rcc rId="0" sId="7" dxf="1" numFmtId="11">
      <nc r="B1">
        <v>267251</v>
      </nc>
      <ndxf>
        <font>
          <sz val="10"/>
          <color auto="1"/>
          <name val="Arial"/>
          <scheme val="none"/>
        </font>
        <numFmt numFmtId="10" formatCode="&quot;$&quot;#,##0_);[Red]\(&quot;$&quot;#,##0\)"/>
      </ndxf>
    </rcc>
    <rcc rId="0" sId="7" dxf="1" numFmtId="11">
      <nc r="C1">
        <v>336746</v>
      </nc>
      <ndxf>
        <font>
          <sz val="10"/>
          <color auto="1"/>
          <name val="Arial"/>
          <scheme val="none"/>
        </font>
        <numFmt numFmtId="10" formatCode="&quot;$&quot;#,##0_);[Red]\(&quot;$&quot;#,##0\)"/>
      </ndxf>
    </rcc>
    <rcc rId="0" sId="7" dxf="1">
      <nc r="D1">
        <f>C1-B1</f>
      </nc>
      <ndxf>
        <font>
          <sz val="10"/>
          <color auto="1"/>
          <name val="Arial"/>
          <scheme val="none"/>
        </font>
        <numFmt numFmtId="10" formatCode="&quot;$&quot;#,##0_);[Red]\(&quot;$&quot;#,##0\)"/>
      </ndxf>
    </rcc>
    <rcc rId="0" sId="7" s="1" dxf="1">
      <nc r="E1">
        <f>D1/B1</f>
      </nc>
      <ndxf>
        <font>
          <sz val="10"/>
          <color auto="1"/>
          <name val="Arial"/>
          <scheme val="none"/>
        </font>
        <numFmt numFmtId="13" formatCode="0%"/>
      </ndxf>
    </rcc>
    <rcc rId="0" sId="7" dxf="1" numFmtId="11">
      <nc r="F1">
        <v>348466</v>
      </nc>
      <ndxf>
        <font>
          <sz val="10"/>
          <color auto="1"/>
          <name val="Arial"/>
          <scheme val="none"/>
        </font>
        <numFmt numFmtId="10" formatCode="&quot;$&quot;#,##0_);[Red]\(&quot;$&quot;#,##0\)"/>
      </ndxf>
    </rcc>
    <rcc rId="0" sId="7" s="1" dxf="1">
      <nc r="G1">
        <f>F1-C1</f>
      </nc>
      <ndxf>
        <font>
          <sz val="10"/>
          <color auto="1"/>
          <name val="Arial"/>
          <scheme val="none"/>
        </font>
        <numFmt numFmtId="10" formatCode="&quot;$&quot;#,##0_);[Red]\(&quot;$&quot;#,##0\)"/>
      </ndxf>
    </rcc>
    <rcc rId="0" sId="7" dxf="1">
      <nc r="H1">
        <f>G1/C1</f>
      </nc>
      <ndxf>
        <font>
          <sz val="10"/>
          <color auto="1"/>
          <name val="Arial"/>
          <scheme val="none"/>
        </font>
        <numFmt numFmtId="13" formatCode="0%"/>
      </ndxf>
    </rcc>
    <rcc rId="0" sId="7" dxf="1" numFmtId="4">
      <nc r="I1">
        <v>395948</v>
      </nc>
      <ndxf>
        <numFmt numFmtId="3" formatCode="#,##0"/>
      </ndxf>
    </rcc>
    <rcc rId="0" sId="7" dxf="1">
      <nc r="J1">
        <f>I1/B1</f>
      </nc>
      <ndxf>
        <numFmt numFmtId="164" formatCode="0.0%"/>
      </ndxf>
    </rcc>
    <rcc rId="0" sId="7" dxf="1">
      <nc r="K1" t="inlineStr">
        <is>
          <t>***</t>
        </is>
      </nc>
      <ndxf>
        <font>
          <sz val="10"/>
          <color auto="1"/>
          <name val="Arial"/>
          <scheme val="none"/>
        </font>
      </ndxf>
    </rcc>
    <rcc rId="0" sId="7" dxf="1">
      <nc r="L1">
        <f>I1/C1</f>
      </nc>
      <ndxf>
        <numFmt numFmtId="164" formatCode="0.0%"/>
      </ndxf>
    </rcc>
    <rcc rId="0" sId="7">
      <nc r="M1">
        <v>463644</v>
      </nc>
    </rcc>
    <rcc rId="0" sId="7">
      <nc r="N1">
        <v>392865</v>
      </nc>
    </rcc>
    <rcc rId="0" sId="7" dxf="1">
      <nc r="O1">
        <f>N1/M1-1</f>
      </nc>
      <ndxf>
        <numFmt numFmtId="14" formatCode="0.00%"/>
      </ndxf>
    </rcc>
  </rrc>
  <rrc rId="37368" sId="7" ref="A1:XFD1" action="deleteRow">
    <undo index="0" exp="ref" ref3D="1" v="1" dr="C1" r="C103" sId="8"/>
    <undo index="0" exp="ref" ref3D="1" v="1" dr="B1" r="B103" sId="8"/>
    <undo index="0" exp="area" dr="N1:N7" r="N8" sId="7"/>
    <undo index="0" exp="area" dr="M1:M7" r="M8" sId="7"/>
    <undo index="0" exp="area" dr="F1:F7" r="F8" sId="7"/>
    <undo index="0" exp="area" dr="C1:C7" r="C8" sId="7"/>
    <undo index="0" exp="area" dr="B1:B7" r="B8" sId="7"/>
    <rfmt sheetId="7" xfDxf="1" sqref="A1:XFD1" start="0" length="0"/>
    <rcc rId="0" sId="7" dxf="1">
      <nc r="A1" t="inlineStr">
        <is>
          <t xml:space="preserve">DC Public Charter Schools    </t>
        </is>
      </nc>
      <ndxf>
        <font>
          <sz val="10"/>
          <color auto="1"/>
          <name val="Arial"/>
          <scheme val="none"/>
        </font>
        <border outline="0">
          <left style="medium">
            <color indexed="64"/>
          </left>
        </border>
      </ndxf>
    </rcc>
    <rcc rId="0" sId="7" dxf="1" numFmtId="11">
      <nc r="B1">
        <v>316675</v>
      </nc>
      <ndxf>
        <font>
          <sz val="10"/>
          <color auto="1"/>
          <name val="Arial"/>
          <scheme val="none"/>
        </font>
        <numFmt numFmtId="10" formatCode="&quot;$&quot;#,##0_);[Red]\(&quot;$&quot;#,##0\)"/>
      </ndxf>
    </rcc>
    <rcc rId="0" sId="7" dxf="1" numFmtId="11">
      <nc r="C1">
        <v>366053</v>
      </nc>
      <ndxf>
        <font>
          <sz val="10"/>
          <color auto="1"/>
          <name val="Arial"/>
          <scheme val="none"/>
        </font>
        <numFmt numFmtId="10" formatCode="&quot;$&quot;#,##0_);[Red]\(&quot;$&quot;#,##0\)"/>
      </ndxf>
    </rcc>
    <rcc rId="0" sId="7" dxf="1">
      <nc r="D1">
        <f>C1-B1</f>
      </nc>
      <ndxf>
        <font>
          <sz val="10"/>
          <color auto="1"/>
          <name val="Arial"/>
          <scheme val="none"/>
        </font>
        <numFmt numFmtId="10" formatCode="&quot;$&quot;#,##0_);[Red]\(&quot;$&quot;#,##0\)"/>
      </ndxf>
    </rcc>
    <rcc rId="0" sId="7" s="1" dxf="1">
      <nc r="E1">
        <f>D1/B1</f>
      </nc>
      <ndxf>
        <font>
          <sz val="10"/>
          <color auto="1"/>
          <name val="Arial"/>
          <scheme val="none"/>
        </font>
        <numFmt numFmtId="13" formatCode="0%"/>
      </ndxf>
    </rcc>
    <rcc rId="0" sId="7" dxf="1" numFmtId="11">
      <nc r="F1">
        <v>397367</v>
      </nc>
      <ndxf>
        <font>
          <sz val="10"/>
          <color auto="1"/>
          <name val="Arial"/>
          <scheme val="none"/>
        </font>
        <numFmt numFmtId="10" formatCode="&quot;$&quot;#,##0_);[Red]\(&quot;$&quot;#,##0\)"/>
      </ndxf>
    </rcc>
    <rcc rId="0" sId="7" s="1" dxf="1">
      <nc r="G1">
        <f>F1-C1</f>
      </nc>
      <ndxf>
        <font>
          <sz val="10"/>
          <color auto="1"/>
          <name val="Arial"/>
          <scheme val="none"/>
        </font>
        <numFmt numFmtId="10" formatCode="&quot;$&quot;#,##0_);[Red]\(&quot;$&quot;#,##0\)"/>
      </ndxf>
    </rcc>
    <rcc rId="0" sId="7" dxf="1">
      <nc r="H1">
        <f>G1/C1</f>
      </nc>
      <ndxf>
        <font>
          <sz val="10"/>
          <color auto="1"/>
          <name val="Arial"/>
          <scheme val="none"/>
        </font>
        <numFmt numFmtId="13" formatCode="0%"/>
      </ndxf>
    </rcc>
    <rcc rId="0" sId="7" dxf="1" numFmtId="4">
      <nc r="I1">
        <v>417798</v>
      </nc>
      <ndxf>
        <numFmt numFmtId="3" formatCode="#,##0"/>
      </ndxf>
    </rcc>
    <rcc rId="0" sId="7" dxf="1">
      <nc r="J1">
        <f>I1/B1</f>
      </nc>
      <ndxf>
        <numFmt numFmtId="164" formatCode="0.0%"/>
      </ndxf>
    </rcc>
    <rcc rId="0" sId="7" dxf="1">
      <nc r="K1" t="inlineStr">
        <is>
          <t>**</t>
        </is>
      </nc>
      <ndxf>
        <font>
          <sz val="10"/>
          <color auto="1"/>
          <name val="Arial"/>
          <scheme val="none"/>
        </font>
      </ndxf>
    </rcc>
    <rcc rId="0" sId="7" dxf="1">
      <nc r="L1">
        <f>I1/C1</f>
      </nc>
      <ndxf>
        <numFmt numFmtId="164" formatCode="0.0%"/>
      </ndxf>
    </rcc>
    <rcc rId="0" sId="7">
      <nc r="M1">
        <v>405958</v>
      </nc>
    </rcc>
    <rcc rId="0" sId="7">
      <nc r="N1">
        <v>433792</v>
      </nc>
    </rcc>
    <rcc rId="0" sId="7" dxf="1">
      <nc r="O1">
        <f>N1/M1-1</f>
      </nc>
      <ndxf>
        <numFmt numFmtId="14" formatCode="0.00%"/>
      </ndxf>
    </rcc>
  </rrc>
  <rrc rId="37369" sId="7" ref="A1:XFD1" action="deleteRow">
    <undo index="0" exp="ref" ref3D="1" v="1" dr="C1" r="C104" sId="8"/>
    <undo index="0" exp="ref" ref3D="1" v="1" dr="B1" r="B104" sId="8"/>
    <undo index="0" exp="area" dr="N1:N6" r="N7" sId="7"/>
    <undo index="0" exp="area" dr="M1:M6" r="M7" sId="7"/>
    <undo index="0" exp="area" dr="F1:F6" r="F7" sId="7"/>
    <undo index="0" exp="area" dr="C1:C6" r="C7" sId="7"/>
    <undo index="0" exp="area" dr="B1:B6" r="B7" sId="7"/>
    <rfmt sheetId="7" xfDxf="1" sqref="A1:XFD1" start="0" length="0"/>
    <rcc rId="0" sId="7" dxf="1">
      <nc r="A1" t="inlineStr">
        <is>
          <t>University of the District of Columbia Subsidy Account</t>
        </is>
      </nc>
      <ndxf>
        <font>
          <sz val="10"/>
          <color auto="1"/>
          <name val="Arial"/>
          <scheme val="none"/>
        </font>
        <border outline="0">
          <left style="medium">
            <color indexed="64"/>
          </left>
        </border>
      </ndxf>
    </rcc>
    <rcc rId="0" sId="7" dxf="1" numFmtId="11">
      <nc r="B1">
        <v>62770</v>
      </nc>
      <ndxf>
        <font>
          <sz val="10"/>
          <color auto="1"/>
          <name val="Arial"/>
          <scheme val="none"/>
        </font>
        <numFmt numFmtId="10" formatCode="&quot;$&quot;#,##0_);[Red]\(&quot;$&quot;#,##0\)"/>
      </ndxf>
    </rcc>
    <rcc rId="0" sId="7" dxf="1" numFmtId="11">
      <nc r="C1">
        <v>62070</v>
      </nc>
      <ndxf>
        <font>
          <sz val="10"/>
          <color auto="1"/>
          <name val="Arial"/>
          <scheme val="none"/>
        </font>
        <numFmt numFmtId="10" formatCode="&quot;$&quot;#,##0_);[Red]\(&quot;$&quot;#,##0\)"/>
      </ndxf>
    </rcc>
    <rcc rId="0" sId="7" dxf="1">
      <nc r="D1">
        <f>C1-B1</f>
      </nc>
      <ndxf>
        <font>
          <sz val="10"/>
          <color auto="1"/>
          <name val="Arial"/>
          <scheme val="none"/>
        </font>
        <numFmt numFmtId="10" formatCode="&quot;$&quot;#,##0_);[Red]\(&quot;$&quot;#,##0\)"/>
      </ndxf>
    </rcc>
    <rcc rId="0" sId="7" s="1" dxf="1">
      <nc r="E1">
        <f>D1/B1</f>
      </nc>
      <ndxf>
        <font>
          <sz val="10"/>
          <color auto="1"/>
          <name val="Arial"/>
          <scheme val="none"/>
        </font>
        <numFmt numFmtId="13" formatCode="0%"/>
      </ndxf>
    </rcc>
    <rcc rId="0" sId="7" dxf="1" numFmtId="11">
      <nc r="F1">
        <v>62070</v>
      </nc>
      <ndxf>
        <font>
          <sz val="10"/>
          <color auto="1"/>
          <name val="Arial"/>
          <scheme val="none"/>
        </font>
        <numFmt numFmtId="10" formatCode="&quot;$&quot;#,##0_);[Red]\(&quot;$&quot;#,##0\)"/>
      </ndxf>
    </rcc>
    <rcc rId="0" sId="7" s="1" dxf="1">
      <nc r="G1">
        <f>F1-C1</f>
      </nc>
      <ndxf>
        <font>
          <sz val="10"/>
          <color auto="1"/>
          <name val="Arial"/>
          <scheme val="none"/>
        </font>
        <numFmt numFmtId="10" formatCode="&quot;$&quot;#,##0_);[Red]\(&quot;$&quot;#,##0\)"/>
      </ndxf>
    </rcc>
    <rcc rId="0" sId="7" dxf="1">
      <nc r="H1">
        <f>G1/C1</f>
      </nc>
      <ndxf>
        <font>
          <sz val="10"/>
          <color auto="1"/>
          <name val="Arial"/>
          <scheme val="none"/>
        </font>
        <numFmt numFmtId="13" formatCode="0%"/>
      </ndxf>
    </rcc>
    <rcc rId="0" sId="7" dxf="1" numFmtId="4">
      <nc r="I1">
        <v>62070</v>
      </nc>
      <ndxf>
        <numFmt numFmtId="3" formatCode="#,##0"/>
      </ndxf>
    </rcc>
    <rcc rId="0" sId="7" dxf="1">
      <nc r="J1">
        <f>I1/B1</f>
      </nc>
      <ndxf>
        <numFmt numFmtId="164" formatCode="0.0%"/>
      </ndxf>
    </rcc>
    <rcc rId="0" sId="7" dxf="1">
      <nc r="K1" t="inlineStr">
        <is>
          <t>*</t>
        </is>
      </nc>
      <ndxf>
        <font>
          <sz val="10"/>
          <color auto="1"/>
          <name val="Arial"/>
          <scheme val="none"/>
        </font>
      </ndxf>
    </rcc>
    <rcc rId="0" sId="7" dxf="1">
      <nc r="L1">
        <f>I1/C1</f>
      </nc>
      <ndxf>
        <numFmt numFmtId="13" formatCode="0%"/>
      </ndxf>
    </rcc>
    <rcc rId="0" sId="7">
      <nc r="M1">
        <v>62070</v>
      </nc>
    </rcc>
    <rcc rId="0" sId="7">
      <nc r="N1">
        <v>62070</v>
      </nc>
    </rcc>
    <rcc rId="0" sId="7" dxf="1">
      <nc r="O1">
        <f>N1/M1-1</f>
      </nc>
      <ndxf>
        <numFmt numFmtId="14" formatCode="0.00%"/>
      </ndxf>
    </rcc>
  </rrc>
  <rrc rId="37370" sId="7" ref="A1:XFD1" action="deleteRow">
    <undo index="0" exp="ref" ref3D="1" v="1" dr="C1" r="C105" sId="8"/>
    <undo index="0" exp="ref" ref3D="1" v="1" dr="B1" r="B105" sId="8"/>
    <undo index="0" exp="area" dr="N1:N5" r="N6" sId="7"/>
    <undo index="0" exp="area" dr="M1:M5" r="M6" sId="7"/>
    <undo index="0" exp="area" dr="F1:F5" r="F6" sId="7"/>
    <undo index="0" exp="area" dr="C1:C5" r="C6" sId="7"/>
    <undo index="0" exp="area" dr="B1:B5" r="B6" sId="7"/>
    <rfmt sheetId="7" xfDxf="1" sqref="A1:XFD1" start="0" length="0"/>
    <rcc rId="0" sId="7" dxf="1">
      <nc r="A1" t="inlineStr">
        <is>
          <t>Public Library</t>
        </is>
      </nc>
      <ndxf>
        <font>
          <sz val="10"/>
          <color auto="1"/>
          <name val="Arial"/>
          <scheme val="none"/>
        </font>
      </ndxf>
    </rcc>
    <rcc rId="0" sId="7" dxf="1" numFmtId="11">
      <nc r="B1">
        <v>45935</v>
      </nc>
      <ndxf>
        <font>
          <sz val="10"/>
          <color auto="1"/>
          <name val="Arial"/>
          <scheme val="none"/>
        </font>
        <numFmt numFmtId="10" formatCode="&quot;$&quot;#,##0_);[Red]\(&quot;$&quot;#,##0\)"/>
      </ndxf>
    </rcc>
    <rcc rId="0" sId="7" dxf="1" numFmtId="11">
      <nc r="C1">
        <v>46064</v>
      </nc>
      <ndxf>
        <font>
          <sz val="10"/>
          <color auto="1"/>
          <name val="Arial"/>
          <scheme val="none"/>
        </font>
        <numFmt numFmtId="10" formatCode="&quot;$&quot;#,##0_);[Red]\(&quot;$&quot;#,##0\)"/>
      </ndxf>
    </rcc>
    <rcc rId="0" sId="7" dxf="1">
      <nc r="D1">
        <f>C1-B1</f>
      </nc>
      <ndxf>
        <font>
          <sz val="10"/>
          <color auto="1"/>
          <name val="Arial"/>
          <scheme val="none"/>
        </font>
        <numFmt numFmtId="10" formatCode="&quot;$&quot;#,##0_);[Red]\(&quot;$&quot;#,##0\)"/>
      </ndxf>
    </rcc>
    <rcc rId="0" sId="7" s="1" dxf="1">
      <nc r="E1">
        <f>D1/B1</f>
      </nc>
      <ndxf>
        <font>
          <sz val="10"/>
          <color auto="1"/>
          <name val="Arial"/>
          <scheme val="none"/>
        </font>
        <numFmt numFmtId="13" formatCode="0%"/>
      </ndxf>
    </rcc>
    <rcc rId="0" sId="7" dxf="1" numFmtId="11">
      <nc r="F1">
        <v>45902</v>
      </nc>
      <ndxf>
        <font>
          <sz val="10"/>
          <color auto="1"/>
          <name val="Arial"/>
          <scheme val="none"/>
        </font>
        <numFmt numFmtId="10" formatCode="&quot;$&quot;#,##0_);[Red]\(&quot;$&quot;#,##0\)"/>
      </ndxf>
    </rcc>
    <rcc rId="0" sId="7" s="1" dxf="1">
      <nc r="G1">
        <f>F1-C1</f>
      </nc>
      <ndxf>
        <font>
          <sz val="10"/>
          <color auto="1"/>
          <name val="Arial"/>
          <scheme val="none"/>
        </font>
        <numFmt numFmtId="10" formatCode="&quot;$&quot;#,##0_);[Red]\(&quot;$&quot;#,##0\)"/>
      </ndxf>
    </rcc>
    <rcc rId="0" sId="7" dxf="1">
      <nc r="H1">
        <f>G1/C1</f>
      </nc>
      <ndxf>
        <font>
          <sz val="10"/>
          <color auto="1"/>
          <name val="Arial"/>
          <scheme val="none"/>
        </font>
        <numFmt numFmtId="13" formatCode="0%"/>
      </ndxf>
    </rcc>
    <rcc rId="0" sId="7" dxf="1" numFmtId="4">
      <nc r="I1">
        <v>48391</v>
      </nc>
      <ndxf>
        <numFmt numFmtId="3" formatCode="#,##0"/>
      </ndxf>
    </rcc>
    <rcc rId="0" sId="7" dxf="1">
      <nc r="J1">
        <f>I1/B1</f>
      </nc>
      <ndxf>
        <numFmt numFmtId="164" formatCode="0.0%"/>
      </ndxf>
    </rcc>
    <rcc rId="0" sId="7" dxf="1">
      <nc r="K1" t="inlineStr">
        <is>
          <t>*</t>
        </is>
      </nc>
      <ndxf>
        <font>
          <sz val="10"/>
          <color auto="1"/>
          <name val="Arial"/>
          <scheme val="none"/>
        </font>
      </ndxf>
    </rcc>
    <rcc rId="0" sId="7" dxf="1">
      <nc r="L1">
        <f>I1/C1</f>
      </nc>
      <ndxf>
        <numFmt numFmtId="164" formatCode="0.0%"/>
      </ndxf>
    </rcc>
    <rcc rId="0" sId="7">
      <nc r="M1">
        <v>41851</v>
      </nc>
    </rcc>
    <rcc rId="0" sId="7">
      <nc r="N1">
        <v>37697</v>
      </nc>
    </rcc>
    <rcc rId="0" sId="7" dxf="1">
      <nc r="O1">
        <f>N1/M1-1</f>
      </nc>
      <ndxf>
        <numFmt numFmtId="14" formatCode="0.00%"/>
      </ndxf>
    </rcc>
  </rrc>
  <rrc rId="37371" sId="7" ref="A1:XFD1" action="deleteRow">
    <undo index="0" exp="ref" ref3D="1" v="1" dr="C1" r="C106" sId="8"/>
    <undo index="0" exp="ref" ref3D="1" v="1" dr="B1" r="B106" sId="8"/>
    <undo index="0" exp="area" dr="N1:N4" r="N5" sId="7"/>
    <undo index="0" exp="area" dr="M1:M4" r="M5" sId="7"/>
    <undo index="0" exp="area" dr="F1:F4" r="F5" sId="7"/>
    <undo index="0" exp="area" dr="C1:C4" r="C5" sId="7"/>
    <undo index="0" exp="area" dr="B1:B4" r="B5" sId="7"/>
    <rfmt sheetId="7" xfDxf="1" sqref="A1:XFD1" start="0" length="0"/>
    <rcc rId="0" sId="7" dxf="1">
      <nc r="A1" t="inlineStr">
        <is>
          <t>DC Public Charter School Board</t>
        </is>
      </nc>
      <ndxf>
        <font>
          <sz val="10"/>
          <color auto="1"/>
          <name val="Arial"/>
          <scheme val="none"/>
        </font>
      </ndxf>
    </rcc>
    <rcc rId="0" sId="7" dxf="1" numFmtId="11">
      <nc r="B1">
        <v>1719</v>
      </nc>
      <ndxf>
        <font>
          <sz val="10"/>
          <color auto="1"/>
          <name val="Arial"/>
          <scheme val="none"/>
        </font>
        <numFmt numFmtId="10" formatCode="&quot;$&quot;#,##0_);[Red]\(&quot;$&quot;#,##0\)"/>
      </ndxf>
    </rcc>
    <rcc rId="0" sId="7" dxf="1" numFmtId="11">
      <nc r="C1">
        <v>3460</v>
      </nc>
      <ndxf>
        <font>
          <sz val="10"/>
          <color auto="1"/>
          <name val="Arial"/>
          <scheme val="none"/>
        </font>
        <numFmt numFmtId="10" formatCode="&quot;$&quot;#,##0_);[Red]\(&quot;$&quot;#,##0\)"/>
      </ndxf>
    </rcc>
    <rcc rId="0" sId="7" dxf="1">
      <nc r="D1">
        <f>C1-B1</f>
      </nc>
      <ndxf>
        <font>
          <sz val="10"/>
          <color auto="1"/>
          <name val="Arial"/>
          <scheme val="none"/>
        </font>
        <numFmt numFmtId="10" formatCode="&quot;$&quot;#,##0_);[Red]\(&quot;$&quot;#,##0\)"/>
      </ndxf>
    </rcc>
    <rcc rId="0" sId="7" s="1" dxf="1">
      <nc r="E1">
        <f>D1/B1</f>
      </nc>
      <ndxf>
        <font>
          <sz val="10"/>
          <color auto="1"/>
          <name val="Arial"/>
          <scheme val="none"/>
        </font>
        <numFmt numFmtId="13" formatCode="0%"/>
      </ndxf>
    </rcc>
    <rcc rId="0" sId="7" dxf="1" numFmtId="11">
      <nc r="F1">
        <v>3837</v>
      </nc>
      <ndxf>
        <font>
          <sz val="10"/>
          <color auto="1"/>
          <name val="Arial"/>
          <scheme val="none"/>
        </font>
        <numFmt numFmtId="10" formatCode="&quot;$&quot;#,##0_);[Red]\(&quot;$&quot;#,##0\)"/>
      </ndxf>
    </rcc>
    <rcc rId="0" sId="7" s="1" dxf="1">
      <nc r="G1">
        <f>F1-C1</f>
      </nc>
      <ndxf>
        <font>
          <sz val="10"/>
          <color auto="1"/>
          <name val="Arial"/>
          <scheme val="none"/>
        </font>
        <numFmt numFmtId="10" formatCode="&quot;$&quot;#,##0_);[Red]\(&quot;$&quot;#,##0\)"/>
      </ndxf>
    </rcc>
    <rcc rId="0" sId="7" dxf="1">
      <nc r="H1">
        <f>G1/C1</f>
      </nc>
      <ndxf>
        <font>
          <sz val="10"/>
          <color auto="1"/>
          <name val="Arial"/>
          <scheme val="none"/>
        </font>
        <numFmt numFmtId="13" formatCode="0%"/>
      </ndxf>
    </rcc>
    <rcc rId="0" sId="7" dxf="1" numFmtId="4">
      <nc r="I1">
        <v>3637</v>
      </nc>
      <ndxf>
        <numFmt numFmtId="3" formatCode="#,##0"/>
      </ndxf>
    </rcc>
    <rcc rId="0" sId="7" dxf="1">
      <nc r="J1">
        <f>I1/B1</f>
      </nc>
      <ndxf>
        <numFmt numFmtId="164" formatCode="0.0%"/>
      </ndxf>
    </rcc>
    <rcc rId="0" sId="7" dxf="1">
      <nc r="K1" t="inlineStr">
        <is>
          <t>****</t>
        </is>
      </nc>
      <ndxf>
        <font>
          <sz val="10"/>
          <color auto="1"/>
          <name val="Arial"/>
          <scheme val="none"/>
        </font>
      </ndxf>
    </rcc>
    <rcc rId="0" sId="7" dxf="1">
      <nc r="L1">
        <f>I1/C1</f>
      </nc>
      <ndxf>
        <numFmt numFmtId="164" formatCode="0.0%"/>
      </ndxf>
    </rcc>
    <rcc rId="0" sId="7">
      <nc r="M1">
        <v>3637</v>
      </nc>
    </rcc>
    <rcc rId="0" sId="7">
      <nc r="N1">
        <v>3637</v>
      </nc>
    </rcc>
    <rcc rId="0" sId="7" dxf="1">
      <nc r="O1">
        <f>N1/M1-1</f>
      </nc>
      <ndxf>
        <numFmt numFmtId="14" formatCode="0.00%"/>
      </ndxf>
    </rcc>
  </rrc>
  <rrc rId="37372" sId="7" ref="A1:XFD1" action="deleteRow">
    <undo index="0" exp="ref" ref3D="1" v="1" dr="C1" r="C107" sId="8"/>
    <undo index="0" exp="ref" ref3D="1" v="1" dr="B1" r="B107" sId="8"/>
    <undo index="0" exp="area" dr="N1:N3" r="N4" sId="7"/>
    <undo index="0" exp="area" dr="M1:M3" r="M4" sId="7"/>
    <undo index="0" exp="area" dr="F1:F3" r="F4" sId="7"/>
    <undo index="0" exp="area" dr="C1:C3" r="C4" sId="7"/>
    <undo index="0" exp="area" dr="B1:B3" r="B4" sId="7"/>
    <rfmt sheetId="7" xfDxf="1" sqref="A1:XFD1" start="0" length="0"/>
    <rcc rId="0" sId="7" dxf="1">
      <nc r="A1" t="inlineStr">
        <is>
          <t>Public education facilities modernization office****</t>
        </is>
      </nc>
      <ndxf>
        <font>
          <sz val="10"/>
          <color auto="1"/>
          <name val="Arial"/>
          <scheme val="none"/>
        </font>
      </ndxf>
    </rcc>
    <rcc rId="0" sId="7" dxf="1" numFmtId="11">
      <nc r="B1">
        <v>34981</v>
      </nc>
      <ndxf>
        <font>
          <sz val="10"/>
          <color auto="1"/>
          <name val="Arial"/>
          <scheme val="none"/>
        </font>
        <numFmt numFmtId="10" formatCode="&quot;$&quot;#,##0_);[Red]\(&quot;$&quot;#,##0\)"/>
      </ndxf>
    </rcc>
    <rcc rId="0" sId="7" dxf="1" numFmtId="11">
      <nc r="C1">
        <v>38306</v>
      </nc>
      <ndxf>
        <font>
          <sz val="10"/>
          <color auto="1"/>
          <name val="Arial"/>
          <scheme val="none"/>
        </font>
        <numFmt numFmtId="10" formatCode="&quot;$&quot;#,##0_);[Red]\(&quot;$&quot;#,##0\)"/>
      </ndxf>
    </rcc>
    <rcc rId="0" sId="7" dxf="1">
      <nc r="D1">
        <f>C1-B1</f>
      </nc>
      <ndxf>
        <font>
          <sz val="10"/>
          <color auto="1"/>
          <name val="Arial"/>
          <scheme val="none"/>
        </font>
        <numFmt numFmtId="10" formatCode="&quot;$&quot;#,##0_);[Red]\(&quot;$&quot;#,##0\)"/>
      </ndxf>
    </rcc>
    <rcc rId="0" sId="7" s="1" dxf="1">
      <nc r="E1">
        <f>D1/B1</f>
      </nc>
      <ndxf>
        <font>
          <sz val="10"/>
          <color auto="1"/>
          <name val="Arial"/>
          <scheme val="none"/>
        </font>
        <numFmt numFmtId="13" formatCode="0%"/>
      </ndxf>
    </rcc>
    <rcc rId="0" sId="7" dxf="1" numFmtId="11">
      <nc r="F1">
        <v>32822</v>
      </nc>
      <ndxf>
        <font>
          <sz val="10"/>
          <color auto="1"/>
          <name val="Arial"/>
          <scheme val="none"/>
        </font>
        <numFmt numFmtId="10" formatCode="&quot;$&quot;#,##0_);[Red]\(&quot;$&quot;#,##0\)"/>
      </ndxf>
    </rcc>
    <rcc rId="0" sId="7" s="1" dxf="1">
      <nc r="G1">
        <f>F1-C1</f>
      </nc>
      <ndxf>
        <font>
          <sz val="10"/>
          <color auto="1"/>
          <name val="Arial"/>
          <scheme val="none"/>
        </font>
        <numFmt numFmtId="10" formatCode="&quot;$&quot;#,##0_);[Red]\(&quot;$&quot;#,##0\)"/>
      </ndxf>
    </rcc>
    <rcc rId="0" sId="7" dxf="1">
      <nc r="H1">
        <f>G1/C1</f>
      </nc>
      <ndxf>
        <font>
          <sz val="10"/>
          <color auto="1"/>
          <name val="Arial"/>
          <scheme val="none"/>
        </font>
        <numFmt numFmtId="13" formatCode="0%"/>
      </ndxf>
    </rcc>
    <rcc rId="0" sId="7" dxf="1" numFmtId="4">
      <nc r="I1">
        <v>30886</v>
      </nc>
      <ndxf>
        <numFmt numFmtId="3" formatCode="#,##0"/>
      </ndxf>
    </rcc>
    <rcc rId="0" sId="7" dxf="1">
      <nc r="J1">
        <f>I1/B1</f>
      </nc>
      <ndxf>
        <numFmt numFmtId="164" formatCode="0.0%"/>
      </ndxf>
    </rcc>
    <rcc rId="0" sId="7" dxf="1">
      <nc r="K1" t="inlineStr">
        <is>
          <t>*</t>
        </is>
      </nc>
      <ndxf>
        <font>
          <sz val="10"/>
          <color auto="1"/>
          <name val="Arial"/>
          <scheme val="none"/>
        </font>
      </ndxf>
    </rcc>
    <rcc rId="0" sId="7" dxf="1">
      <nc r="L1">
        <f>I1/C1</f>
      </nc>
      <ndxf>
        <numFmt numFmtId="164" formatCode="0.0%"/>
      </ndxf>
    </rcc>
    <rcc rId="0" sId="7">
      <nc r="M1">
        <v>32199</v>
      </nc>
    </rcc>
    <rcc rId="0" sId="7">
      <nc r="N1">
        <v>27653</v>
      </nc>
    </rcc>
    <rcc rId="0" sId="7" dxf="1">
      <nc r="O1">
        <f>N1/M1-1</f>
      </nc>
      <ndxf>
        <numFmt numFmtId="14" formatCode="0.00%"/>
      </ndxf>
    </rcc>
  </rrc>
  <rrc rId="37373" sId="7" ref="A1:XFD1" action="deleteRow">
    <undo index="0" exp="ref" ref3D="1" v="1" dr="C1" r="C108" sId="8"/>
    <undo index="0" exp="ref" ref3D="1" v="1" dr="B1" r="B108" sId="8"/>
    <undo index="0" exp="area" dr="N1:N2" r="N3" sId="7"/>
    <undo index="0" exp="area" dr="M1:M2" r="M3" sId="7"/>
    <undo index="0" exp="area" dr="F1:F2" r="F3" sId="7"/>
    <undo index="0" exp="area" dr="C1:C2" r="C3" sId="7"/>
    <undo index="0" exp="area" dr="B1:B2" r="B3" sId="7"/>
    <rfmt sheetId="7" xfDxf="1" sqref="A1:XFD1" start="0" length="0"/>
    <rcc rId="0" sId="7" dxf="1">
      <nc r="A1" t="inlineStr">
        <is>
          <t>Non-public Tuition**</t>
        </is>
      </nc>
      <ndxf>
        <font>
          <sz val="10"/>
          <color auto="1"/>
          <name val="Arial"/>
          <scheme val="none"/>
        </font>
      </ndxf>
    </rcc>
    <rcc rId="0" sId="7" dxf="1" numFmtId="11">
      <nc r="B1">
        <v>0</v>
      </nc>
      <ndxf>
        <font>
          <sz val="10"/>
          <color auto="1"/>
          <name val="Arial"/>
          <scheme val="none"/>
        </font>
        <numFmt numFmtId="10" formatCode="&quot;$&quot;#,##0_);[Red]\(&quot;$&quot;#,##0\)"/>
      </ndxf>
    </rcc>
    <rcc rId="0" sId="7" dxf="1" numFmtId="11">
      <nc r="C1">
        <v>141700</v>
      </nc>
      <ndxf>
        <font>
          <sz val="10"/>
          <color auto="1"/>
          <name val="Arial"/>
          <scheme val="none"/>
        </font>
        <numFmt numFmtId="10" formatCode="&quot;$&quot;#,##0_);[Red]\(&quot;$&quot;#,##0\)"/>
      </ndxf>
    </rcc>
    <rcc rId="0" sId="7" dxf="1">
      <nc r="D1">
        <f>C1-B1</f>
      </nc>
      <ndxf>
        <font>
          <sz val="10"/>
          <color auto="1"/>
          <name val="Arial"/>
          <scheme val="none"/>
        </font>
        <numFmt numFmtId="10" formatCode="&quot;$&quot;#,##0_);[Red]\(&quot;$&quot;#,##0\)"/>
      </ndxf>
    </rcc>
    <rcc rId="0" sId="7" dxf="1">
      <nc r="E1" t="inlineStr">
        <is>
          <t>—</t>
        </is>
      </nc>
      <ndxf>
        <font>
          <sz val="10"/>
          <color auto="1"/>
          <name val="Arial"/>
          <scheme val="none"/>
        </font>
        <numFmt numFmtId="164" formatCode="0.0%"/>
        <alignment horizontal="right" vertical="top" readingOrder="0"/>
      </ndxf>
    </rcc>
    <rcc rId="0" sId="7" dxf="1" numFmtId="11">
      <nc r="F1">
        <v>149100</v>
      </nc>
      <ndxf>
        <font>
          <sz val="10"/>
          <color auto="1"/>
          <name val="Arial"/>
          <scheme val="none"/>
        </font>
        <numFmt numFmtId="10" formatCode="&quot;$&quot;#,##0_);[Red]\(&quot;$&quot;#,##0\)"/>
      </ndxf>
    </rcc>
    <rcc rId="0" sId="7" s="1" dxf="1">
      <nc r="G1">
        <f>F1-C1</f>
      </nc>
      <ndxf>
        <font>
          <sz val="10"/>
          <color auto="1"/>
          <name val="Arial"/>
          <scheme val="none"/>
        </font>
        <numFmt numFmtId="10" formatCode="&quot;$&quot;#,##0_);[Red]\(&quot;$&quot;#,##0\)"/>
      </ndxf>
    </rcc>
    <rcc rId="0" sId="7" dxf="1">
      <nc r="H1">
        <f>G1/C1</f>
      </nc>
      <ndxf>
        <font>
          <sz val="10"/>
          <color auto="1"/>
          <name val="Arial"/>
          <scheme val="none"/>
        </font>
        <numFmt numFmtId="13" formatCode="0%"/>
      </ndxf>
    </rcc>
    <rcc rId="0" sId="7" dxf="1" numFmtId="4">
      <nc r="I1">
        <v>149100</v>
      </nc>
      <ndxf>
        <numFmt numFmtId="3" formatCode="#,##0"/>
      </ndxf>
    </rcc>
    <rcc rId="0" sId="7">
      <nc r="J1">
        <f>I1/B1</f>
      </nc>
    </rcc>
    <rcc rId="0" sId="7" dxf="1">
      <nc r="L1">
        <f>I1/C1</f>
      </nc>
      <ndxf>
        <numFmt numFmtId="164" formatCode="0.0%"/>
      </ndxf>
    </rcc>
    <rcc rId="0" sId="7">
      <nc r="M1">
        <v>149100</v>
      </nc>
    </rcc>
    <rcc rId="0" sId="7">
      <nc r="N1">
        <v>179891</v>
      </nc>
    </rcc>
    <rcc rId="0" sId="7" dxf="1">
      <nc r="O1">
        <f>N1/M1-1</f>
      </nc>
      <ndxf>
        <numFmt numFmtId="14" formatCode="0.00%"/>
      </ndxf>
    </rcc>
  </rrc>
  <rrc rId="37374" sId="7" ref="A1:XFD1" action="deleteRow">
    <undo index="0" exp="ref" ref3D="1" v="1" dr="C1" r="C109" sId="8"/>
    <undo index="0" exp="ref" ref3D="1" v="1" dr="B1" r="B109" sId="8"/>
    <undo index="0" exp="area" dr="N1" r="N2" sId="7"/>
    <undo index="0" exp="area" dr="M1" r="M2" sId="7"/>
    <undo index="0" exp="area" dr="F1" r="F2" sId="7"/>
    <undo index="0" exp="area" dr="C1" r="C2" sId="7"/>
    <undo index="0" exp="area" dr="B1" r="B2" sId="7"/>
    <rfmt sheetId="7" xfDxf="1" sqref="A1:XFD1" start="0" length="0">
      <dxf>
        <border outline="0">
          <bottom style="medium">
            <color indexed="64"/>
          </bottom>
        </border>
      </dxf>
    </rfmt>
    <rcc rId="0" sId="7" dxf="1">
      <nc r="A1" t="inlineStr">
        <is>
          <t>Special Education Transportation**</t>
        </is>
      </nc>
      <ndxf>
        <font>
          <sz val="10"/>
          <color auto="1"/>
          <name val="Arial"/>
          <scheme val="none"/>
        </font>
      </ndxf>
    </rcc>
    <rcc rId="0" sId="7" dxf="1" numFmtId="11">
      <nc r="B1">
        <v>171</v>
      </nc>
      <ndxf>
        <font>
          <sz val="10"/>
          <color auto="1"/>
          <name val="Arial"/>
          <scheme val="none"/>
        </font>
        <numFmt numFmtId="10" formatCode="&quot;$&quot;#,##0_);[Red]\(&quot;$&quot;#,##0\)"/>
      </ndxf>
    </rcc>
    <rcc rId="0" sId="7" dxf="1" numFmtId="11">
      <nc r="C1">
        <v>75558</v>
      </nc>
      <ndxf>
        <font>
          <sz val="10"/>
          <color auto="1"/>
          <name val="Arial"/>
          <scheme val="none"/>
        </font>
        <numFmt numFmtId="10" formatCode="&quot;$&quot;#,##0_);[Red]\(&quot;$&quot;#,##0\)"/>
      </ndxf>
    </rcc>
    <rcc rId="0" sId="7" dxf="1">
      <nc r="D1">
        <f>C1-B1</f>
      </nc>
      <ndxf>
        <font>
          <sz val="10"/>
          <color auto="1"/>
          <name val="Arial"/>
          <scheme val="none"/>
        </font>
        <numFmt numFmtId="10" formatCode="&quot;$&quot;#,##0_);[Red]\(&quot;$&quot;#,##0\)"/>
      </ndxf>
    </rcc>
    <rcc rId="0" sId="7" s="1" dxf="1">
      <nc r="E1">
        <f>D1/B1</f>
      </nc>
      <ndxf>
        <font>
          <sz val="10"/>
          <color auto="1"/>
          <name val="Arial"/>
          <scheme val="none"/>
        </font>
        <numFmt numFmtId="13" formatCode="0%"/>
      </ndxf>
    </rcc>
    <rcc rId="0" sId="7" dxf="1" numFmtId="11">
      <nc r="F1">
        <v>77431</v>
      </nc>
      <ndxf>
        <font>
          <sz val="10"/>
          <color auto="1"/>
          <name val="Arial"/>
          <scheme val="none"/>
        </font>
        <numFmt numFmtId="10" formatCode="&quot;$&quot;#,##0_);[Red]\(&quot;$&quot;#,##0\)"/>
      </ndxf>
    </rcc>
    <rcc rId="0" sId="7" s="1" dxf="1">
      <nc r="G1">
        <f>F1-C1</f>
      </nc>
      <ndxf>
        <font>
          <sz val="10"/>
          <color auto="1"/>
          <name val="Arial"/>
          <scheme val="none"/>
        </font>
        <numFmt numFmtId="10" formatCode="&quot;$&quot;#,##0_);[Red]\(&quot;$&quot;#,##0\)"/>
      </ndxf>
    </rcc>
    <rcc rId="0" sId="7" dxf="1">
      <nc r="H1">
        <f>G1/C1</f>
      </nc>
      <ndxf>
        <font>
          <sz val="10"/>
          <color auto="1"/>
          <name val="Arial"/>
          <scheme val="none"/>
        </font>
        <numFmt numFmtId="13" formatCode="0%"/>
      </ndxf>
    </rcc>
    <rcc rId="0" sId="7" dxf="1" numFmtId="4">
      <nc r="I1">
        <v>77431</v>
      </nc>
      <ndxf>
        <numFmt numFmtId="3" formatCode="#,##0"/>
      </ndxf>
    </rcc>
    <rcc rId="0" sId="7" dxf="1">
      <nc r="J1">
        <f>I1/B1</f>
      </nc>
      <ndxf>
        <numFmt numFmtId="164" formatCode="0.0%"/>
      </ndxf>
    </rcc>
    <rcc rId="0" sId="7" dxf="1">
      <nc r="K1" t="inlineStr">
        <is>
          <t>*****</t>
        </is>
      </nc>
      <ndxf>
        <font>
          <sz val="10"/>
          <color auto="1"/>
          <name val="Arial"/>
          <scheme val="none"/>
        </font>
      </ndxf>
    </rcc>
    <rcc rId="0" sId="7" dxf="1">
      <nc r="L1">
        <f>I1/C1</f>
      </nc>
      <ndxf>
        <numFmt numFmtId="164" formatCode="0.0%"/>
      </ndxf>
    </rcc>
    <rcc rId="0" sId="7">
      <nc r="M1">
        <v>77431</v>
      </nc>
    </rcc>
    <rcc rId="0" sId="7">
      <nc r="N1">
        <v>89171</v>
      </nc>
    </rcc>
    <rcc rId="0" sId="7" dxf="1">
      <nc r="O1">
        <f>N1/M1-1</f>
      </nc>
      <ndxf>
        <numFmt numFmtId="14" formatCode="0.00%"/>
        <border outline="0">
          <bottom/>
        </border>
      </ndxf>
    </rcc>
  </rrc>
  <rrc rId="37375" sId="7" ref="A1:XFD1" action="deleteRow">
    <undo index="5" exp="ref" v="1" dr="N1" r="N81" sId="7"/>
    <undo index="5" exp="ref" v="1" dr="M1" r="M81" sId="7"/>
    <undo index="3" exp="ref" dr="G1" r="G81" sId="7"/>
    <undo index="3" exp="ref" dr="F1" r="F81" sId="7"/>
    <undo index="3" exp="ref" dr="D1" r="D81" sId="7"/>
    <undo index="3" exp="ref" dr="C1" r="C81" sId="7"/>
    <undo index="3" exp="ref" dr="B1" r="B81" sId="7"/>
    <rfmt sheetId="7" xfDxf="1" sqref="A1:XFD1" start="0" length="0">
      <dxf>
        <font>
          <b/>
        </font>
      </dxf>
    </rfmt>
    <rcc rId="0" sId="7" dxf="1">
      <nc r="A1" t="inlineStr">
        <is>
          <t>Subtotal: Public Education</t>
        </is>
      </nc>
      <ndxf/>
    </rcc>
    <rcc rId="0" sId="7" dxf="1">
      <nc r="B1">
        <f>SUM(#REF!)</f>
      </nc>
      <ndxf>
        <numFmt numFmtId="10" formatCode="&quot;$&quot;#,##0_);[Red]\(&quot;$&quot;#,##0\)"/>
      </ndxf>
    </rcc>
    <rcc rId="0" sId="7" dxf="1">
      <nc r="C1">
        <f>SUM(#REF!)</f>
      </nc>
      <ndxf>
        <numFmt numFmtId="10" formatCode="&quot;$&quot;#,##0_);[Red]\(&quot;$&quot;#,##0\)"/>
      </ndxf>
    </rcc>
    <rcc rId="0" sId="7" dxf="1">
      <nc r="D1">
        <f>C1-B1</f>
      </nc>
      <ndxf>
        <numFmt numFmtId="10" formatCode="&quot;$&quot;#,##0_);[Red]\(&quot;$&quot;#,##0\)"/>
      </ndxf>
    </rcc>
    <rcc rId="0" sId="7" s="1" dxf="1">
      <nc r="E1">
        <f>D1/B1</f>
      </nc>
      <ndxf>
        <numFmt numFmtId="13" formatCode="0%"/>
      </ndxf>
    </rcc>
    <rcc rId="0" sId="7" dxf="1">
      <nc r="F1">
        <f>SUM(#REF!)</f>
      </nc>
      <ndxf>
        <numFmt numFmtId="10" formatCode="&quot;$&quot;#,##0_);[Red]\(&quot;$&quot;#,##0\)"/>
      </ndxf>
    </rcc>
    <rcc rId="0" sId="7" s="1" dxf="1">
      <nc r="G1">
        <f>F1-C1</f>
      </nc>
      <ndxf>
        <numFmt numFmtId="10" formatCode="&quot;$&quot;#,##0_);[Red]\(&quot;$&quot;#,##0\)"/>
      </ndxf>
    </rcc>
    <rcc rId="0" sId="7" dxf="1">
      <nc r="H1">
        <f>G1/C1</f>
      </nc>
      <ndxf>
        <numFmt numFmtId="13" formatCode="0%"/>
      </ndxf>
    </rcc>
    <rcc rId="0" sId="7" dxf="1" numFmtId="4">
      <nc r="I1">
        <v>1963672</v>
      </nc>
      <ndxf>
        <numFmt numFmtId="3" formatCode="#,##0"/>
      </ndxf>
    </rcc>
    <rcc rId="0" sId="7" dxf="1">
      <nc r="J1">
        <f>I1/B1</f>
      </nc>
      <ndxf>
        <numFmt numFmtId="164" formatCode="0.0%"/>
      </ndxf>
    </rcc>
    <rcc rId="0" sId="7">
      <nc r="K1" t="inlineStr">
        <is>
          <t>*</t>
        </is>
      </nc>
    </rcc>
    <rcc rId="0" sId="7" dxf="1">
      <nc r="L1">
        <f>I1/C1</f>
      </nc>
      <ndxf>
        <numFmt numFmtId="164" formatCode="0.0%"/>
      </ndxf>
    </rcc>
    <rcc rId="0" sId="7">
      <nc r="M1">
        <f>SUM(#REF!)</f>
      </nc>
    </rcc>
    <rcc rId="0" sId="7">
      <nc r="N1">
        <f>SUM(#REF!)</f>
      </nc>
    </rcc>
    <rcc rId="0" sId="7" dxf="1">
      <nc r="O1">
        <f>N1/M1-1</f>
      </nc>
      <ndxf>
        <font>
          <b val="0"/>
          <sz val="10"/>
          <color auto="1"/>
          <name val="Arial"/>
          <scheme val="none"/>
        </font>
        <numFmt numFmtId="14" formatCode="0.00%"/>
      </ndxf>
    </rcc>
  </rrc>
  <rrc rId="37376" sId="7" ref="A1:XFD1" action="deleteRow">
    <rfmt sheetId="7" xfDxf="1" sqref="A1:XFD1" start="0" length="0"/>
    <rfmt sheetId="7" sqref="A1" start="0" length="0">
      <dxf>
        <font>
          <b/>
          <sz val="10"/>
          <color auto="1"/>
          <name val="Arial"/>
          <scheme val="none"/>
        </font>
      </dxf>
    </rfmt>
    <rfmt sheetId="7" sqref="B1" start="0" length="0">
      <dxf>
        <font>
          <b/>
          <sz val="10"/>
          <color auto="1"/>
          <name val="Arial"/>
          <scheme val="none"/>
        </font>
        <numFmt numFmtId="10" formatCode="&quot;$&quot;#,##0_);[Red]\(&quot;$&quot;#,##0\)"/>
      </dxf>
    </rfmt>
    <rfmt sheetId="7" sqref="C1" start="0" length="0">
      <dxf>
        <font>
          <b/>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1" sqref="E1" start="0" length="0">
      <dxf>
        <font>
          <sz val="10"/>
          <color auto="1"/>
          <name val="Arial"/>
          <scheme val="none"/>
        </font>
        <numFmt numFmtId="13" formatCode="0%"/>
      </dxf>
    </rfmt>
    <rfmt sheetId="7" sqref="F1" start="0" length="0">
      <dxf>
        <font>
          <b/>
          <sz val="10"/>
          <color auto="1"/>
          <name val="Arial"/>
          <scheme val="none"/>
        </font>
        <numFmt numFmtId="10" formatCode="&quot;$&quot;#,##0_);[Red]\(&quot;$&quot;#,##0\)"/>
      </dxf>
    </rfmt>
    <rfmt sheetId="7" s="1"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377" sId="7" ref="A1:XFD1" action="deleteRow">
    <rfmt sheetId="7" xfDxf="1" sqref="A1:XFD1" start="0" length="0"/>
    <rcc rId="0" sId="7" dxf="1">
      <nc r="A1" t="inlineStr">
        <is>
          <t>Notes for Public Education</t>
        </is>
      </nc>
      <ndxf>
        <font>
          <i/>
          <sz val="10"/>
          <color auto="1"/>
          <name val="Arial"/>
          <scheme val="none"/>
        </font>
      </ndxf>
    </rcc>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1" sqref="E1" start="0" length="0">
      <dxf>
        <font>
          <sz val="10"/>
          <color auto="1"/>
          <name val="Arial"/>
          <scheme val="none"/>
        </font>
        <numFmt numFmtId="13" formatCode="0%"/>
      </dxf>
    </rfmt>
    <rfmt sheetId="7" sqref="F1" start="0" length="0">
      <dxf>
        <font>
          <sz val="10"/>
          <color auto="1"/>
          <name val="Arial"/>
          <scheme val="none"/>
        </font>
        <numFmt numFmtId="10" formatCode="&quot;$&quot;#,##0_);[Red]\(&quot;$&quot;#,##0\)"/>
      </dxf>
    </rfmt>
    <rfmt sheetId="7" s="1"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378" sId="7" ref="A1:XFD1" action="deleteRow">
    <rfmt sheetId="7" xfDxf="1" sqref="A1:XFD1" start="0" length="0"/>
    <rcc rId="0" sId="7" dxf="1">
      <nc r="A1" t="inlineStr">
        <is>
          <t>* Thisagency was first budgeted in FY 2008 called Department of Education.</t>
        </is>
      </nc>
      <ndxf>
        <font>
          <i/>
          <sz val="10"/>
          <color auto="1"/>
          <name val="Arial"/>
          <scheme val="none"/>
        </font>
      </ndxf>
    </rcc>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1" sqref="E1" start="0" length="0">
      <dxf>
        <font>
          <sz val="10"/>
          <color auto="1"/>
          <name val="Arial"/>
          <scheme val="none"/>
        </font>
        <numFmt numFmtId="13" formatCode="0%"/>
      </dxf>
    </rfmt>
    <rfmt sheetId="7" sqref="F1" start="0" length="0">
      <dxf>
        <font>
          <sz val="10"/>
          <color auto="1"/>
          <name val="Arial"/>
          <scheme val="none"/>
        </font>
        <numFmt numFmtId="10" formatCode="&quot;$&quot;#,##0_);[Red]\(&quot;$&quot;#,##0\)"/>
      </dxf>
    </rfmt>
    <rfmt sheetId="7" s="1"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379" sId="7" ref="A1:XFD1" action="deleteRow">
    <rfmt sheetId="7" xfDxf="1" sqref="A1:XFD1" start="0" length="0"/>
    <rcc rId="0" sId="7" dxf="1">
      <nc r="A1" t="inlineStr">
        <is>
          <t>** In FY 2009, these functions were separated from DC Public Schools</t>
        </is>
      </nc>
      <ndxf>
        <font>
          <i/>
          <sz val="10"/>
          <color auto="1"/>
          <name val="Arial"/>
          <scheme val="none"/>
        </font>
      </ndxf>
    </rcc>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1" sqref="E1" start="0" length="0">
      <dxf>
        <font>
          <sz val="10"/>
          <color auto="1"/>
          <name val="Arial"/>
          <scheme val="none"/>
        </font>
        <numFmt numFmtId="13" formatCode="0%"/>
      </dxf>
    </rfmt>
    <rfmt sheetId="7" sqref="F1" start="0" length="0">
      <dxf>
        <font>
          <sz val="10"/>
          <color auto="1"/>
          <name val="Arial"/>
          <scheme val="none"/>
        </font>
        <numFmt numFmtId="10" formatCode="&quot;$&quot;#,##0_);[Red]\(&quot;$&quot;#,##0\)"/>
      </dxf>
    </rfmt>
    <rfmt sheetId="7" s="1"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380" sId="7" ref="A1:XFD1" action="deleteRow">
    <rfmt sheetId="7" xfDxf="1" sqref="A1:XFD1" start="0" length="0"/>
    <rcc rId="0" sId="7" dxf="1">
      <nc r="A1" t="inlineStr">
        <is>
          <t>*** Formerly known as the State Education Office</t>
        </is>
      </nc>
      <ndxf>
        <font>
          <i/>
          <sz val="10"/>
          <color auto="1"/>
          <name val="Arial"/>
          <scheme val="none"/>
        </font>
      </ndxf>
    </rcc>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1" sqref="E1" start="0" length="0">
      <dxf>
        <font>
          <sz val="10"/>
          <color auto="1"/>
          <name val="Arial"/>
          <scheme val="none"/>
        </font>
        <numFmt numFmtId="13" formatCode="0%"/>
      </dxf>
    </rfmt>
    <rfmt sheetId="7" sqref="F1" start="0" length="0">
      <dxf>
        <font>
          <sz val="10"/>
          <color auto="1"/>
          <name val="Arial"/>
          <scheme val="none"/>
        </font>
        <numFmt numFmtId="10" formatCode="&quot;$&quot;#,##0_);[Red]\(&quot;$&quot;#,##0\)"/>
      </dxf>
    </rfmt>
    <rfmt sheetId="7" s="1"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381" sId="7" ref="A1:XFD1" action="deleteRow">
    <rfmt sheetId="7" xfDxf="1" sqref="A1:XFD1" start="0" length="0"/>
    <rcc rId="0" sId="7" dxf="1">
      <nc r="A1" t="inlineStr">
        <is>
          <t>**** This agency was established in FY 2007</t>
        </is>
      </nc>
      <ndxf>
        <font>
          <i/>
          <sz val="10"/>
          <color auto="1"/>
          <name val="Arial"/>
          <scheme val="none"/>
        </font>
      </ndxf>
    </rcc>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1" sqref="E1" start="0" length="0">
      <dxf>
        <font>
          <sz val="10"/>
          <color auto="1"/>
          <name val="Arial"/>
          <scheme val="none"/>
        </font>
        <numFmt numFmtId="13" formatCode="0%"/>
      </dxf>
    </rfmt>
    <rfmt sheetId="7" sqref="F1" start="0" length="0">
      <dxf>
        <font>
          <sz val="10"/>
          <color auto="1"/>
          <name val="Arial"/>
          <scheme val="none"/>
        </font>
        <numFmt numFmtId="10" formatCode="&quot;$&quot;#,##0_);[Red]\(&quot;$&quot;#,##0\)"/>
      </dxf>
    </rfmt>
    <rfmt sheetId="7" s="1"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382" sId="7" ref="A1:XFD1" action="deleteRow">
    <rfmt sheetId="7" xfDxf="1" sqref="A1:XFD1" start="0" length="0"/>
    <rcc rId="0" sId="7" dxf="1">
      <nc r="A1" t="inlineStr">
        <is>
          <t xml:space="preserve">     In FY 2009, maintenance functions in DCPS were transferred to this agency</t>
        </is>
      </nc>
      <ndxf>
        <font>
          <i/>
          <sz val="10"/>
          <color auto="1"/>
          <name val="Arial"/>
          <scheme val="none"/>
        </font>
      </ndxf>
    </rcc>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1" sqref="E1" start="0" length="0">
      <dxf>
        <font>
          <sz val="10"/>
          <color auto="1"/>
          <name val="Arial"/>
          <scheme val="none"/>
        </font>
        <numFmt numFmtId="13" formatCode="0%"/>
      </dxf>
    </rfmt>
    <rfmt sheetId="7" sqref="F1" start="0" length="0">
      <dxf>
        <font>
          <sz val="10"/>
          <color auto="1"/>
          <name val="Arial"/>
          <scheme val="none"/>
        </font>
        <numFmt numFmtId="10" formatCode="&quot;$&quot;#,##0_);[Red]\(&quot;$&quot;#,##0\)"/>
      </dxf>
    </rfmt>
    <rfmt sheetId="7" s="1"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383" sId="7" ref="A1:XFD1" action="deleteRow">
    <rfmt sheetId="7" xfDxf="1" sqref="A1:XFD1" start="0" length="0"/>
    <rcc rId="0" sId="7" dxf="1">
      <nc r="A1" t="inlineStr">
        <is>
          <t>***** This line item added in 2008</t>
        </is>
      </nc>
      <ndxf>
        <font>
          <i/>
          <sz val="10"/>
          <color auto="1"/>
          <name val="Arial"/>
          <scheme val="none"/>
        </font>
      </ndxf>
    </rcc>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1" sqref="E1" start="0" length="0">
      <dxf>
        <font>
          <sz val="10"/>
          <color auto="1"/>
          <name val="Arial"/>
          <scheme val="none"/>
        </font>
        <numFmt numFmtId="13" formatCode="0%"/>
      </dxf>
    </rfmt>
    <rfmt sheetId="7" sqref="F1" start="0" length="0">
      <dxf>
        <font>
          <sz val="10"/>
          <color auto="1"/>
          <name val="Arial"/>
          <scheme val="none"/>
        </font>
        <numFmt numFmtId="10" formatCode="&quot;$&quot;#,##0_);[Red]\(&quot;$&quot;#,##0\)"/>
      </dxf>
    </rfmt>
    <rfmt sheetId="7" s="1"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384" sId="7" ref="A1:XFD1" action="deleteRow">
    <rfmt sheetId="7" xfDxf="1" sqref="A1:XFD1" start="0" length="0"/>
    <rfmt sheetId="7" sqref="A1" start="0" length="0">
      <dxf>
        <font>
          <i/>
          <sz val="10"/>
          <color auto="1"/>
          <name val="Arial"/>
          <scheme val="none"/>
        </font>
      </dxf>
    </rfmt>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1" sqref="E1" start="0" length="0">
      <dxf>
        <font>
          <sz val="10"/>
          <color auto="1"/>
          <name val="Arial"/>
          <scheme val="none"/>
        </font>
        <numFmt numFmtId="13" formatCode="0%"/>
      </dxf>
    </rfmt>
    <rfmt sheetId="7" sqref="F1" start="0" length="0">
      <dxf>
        <font>
          <sz val="10"/>
          <color auto="1"/>
          <name val="Arial"/>
          <scheme val="none"/>
        </font>
        <numFmt numFmtId="10" formatCode="&quot;$&quot;#,##0_);[Red]\(&quot;$&quot;#,##0\)"/>
      </dxf>
    </rfmt>
    <rfmt sheetId="7" s="1"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385" sId="7" ref="A1:XFD1" action="deleteRow">
    <rfmt sheetId="7" xfDxf="1" sqref="A1:XFD1" start="0" length="0">
      <dxf>
        <fill>
          <patternFill patternType="solid">
            <bgColor theme="0" tint="-0.249977111117893"/>
          </patternFill>
        </fill>
        <border outline="0">
          <bottom style="medium">
            <color indexed="64"/>
          </bottom>
        </border>
      </dxf>
    </rfmt>
    <rcc rId="0" sId="7" dxf="1">
      <nc r="A1" t="inlineStr">
        <is>
          <t>Human Support Services</t>
        </is>
      </nc>
      <ndxf>
        <font>
          <b/>
          <sz val="10"/>
          <color auto="1"/>
          <name val="Arial"/>
          <scheme val="none"/>
        </font>
      </ndxf>
    </rcc>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1" sqref="E1" start="0" length="0">
      <dxf>
        <font>
          <sz val="10"/>
          <color auto="1"/>
          <name val="Arial"/>
          <scheme val="none"/>
        </font>
        <numFmt numFmtId="13" formatCode="0%"/>
      </dxf>
    </rfmt>
    <rfmt sheetId="7" sqref="F1" start="0" length="0">
      <dxf>
        <font>
          <sz val="10"/>
          <color auto="1"/>
          <name val="Arial"/>
          <scheme val="none"/>
        </font>
        <numFmt numFmtId="10" formatCode="&quot;$&quot;#,##0_);[Red]\(&quot;$&quot;#,##0\)"/>
      </dxf>
    </rfmt>
    <rfmt sheetId="7" s="1"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386" sId="7" ref="A1:XFD1" action="deleteRow">
    <undo index="0" exp="ref" ref3D="1" v="1" dr="C1" r="C121" sId="8"/>
    <undo index="0" exp="ref" ref3D="1" v="1" dr="B1" r="B121" sId="8"/>
    <undo index="0" exp="area" dr="N1:N16" r="N17" sId="7"/>
    <undo index="0" exp="area" dr="M1:M16" r="M17" sId="7"/>
    <undo index="0" exp="area" dr="F1:F16" r="F17" sId="7"/>
    <undo index="0" exp="area" dr="C1:C16" r="C17" sId="7"/>
    <undo index="0" exp="area" dr="B1:B16" r="B17" sId="7"/>
    <rfmt sheetId="7" xfDxf="1" sqref="A1:XFD1" start="0" length="0"/>
    <rcc rId="0" sId="7" dxf="1">
      <nc r="A1" t="inlineStr">
        <is>
          <t xml:space="preserve">Department of Human Services    </t>
        </is>
      </nc>
      <ndxf>
        <font>
          <sz val="10"/>
          <color auto="1"/>
          <name val="Arial"/>
          <scheme val="none"/>
        </font>
        <border outline="0">
          <left style="medium">
            <color indexed="64"/>
          </left>
        </border>
      </ndxf>
    </rcc>
    <rcc rId="0" sId="7" dxf="1" numFmtId="11">
      <nc r="B1">
        <v>287215</v>
      </nc>
      <ndxf>
        <font>
          <sz val="10"/>
          <color auto="1"/>
          <name val="Arial"/>
          <scheme val="none"/>
        </font>
        <numFmt numFmtId="10" formatCode="&quot;$&quot;#,##0_);[Red]\(&quot;$&quot;#,##0\)"/>
      </ndxf>
    </rcc>
    <rcc rId="0" sId="7" dxf="1" numFmtId="11">
      <nc r="C1">
        <v>328331</v>
      </nc>
      <ndxf>
        <font>
          <sz val="10"/>
          <color auto="1"/>
          <name val="Arial"/>
          <scheme val="none"/>
        </font>
        <numFmt numFmtId="10" formatCode="&quot;$&quot;#,##0_);[Red]\(&quot;$&quot;#,##0\)"/>
      </ndxf>
    </rcc>
    <rcc rId="0" sId="7" dxf="1">
      <nc r="D1">
        <f>C1-B1</f>
      </nc>
      <ndxf>
        <font>
          <sz val="10"/>
          <color auto="1"/>
          <name val="Arial"/>
          <scheme val="none"/>
        </font>
        <numFmt numFmtId="10" formatCode="&quot;$&quot;#,##0_);[Red]\(&quot;$&quot;#,##0\)"/>
      </ndxf>
    </rcc>
    <rcc rId="0" sId="7" s="1" dxf="1">
      <nc r="E1">
        <f>D1/B1</f>
      </nc>
      <ndxf>
        <font>
          <sz val="10"/>
          <color auto="1"/>
          <name val="Arial"/>
          <scheme val="none"/>
        </font>
        <numFmt numFmtId="13" formatCode="0%"/>
      </ndxf>
    </rcc>
    <rcc rId="0" sId="7" dxf="1" numFmtId="11">
      <nc r="F1">
        <v>312023</v>
      </nc>
      <ndxf>
        <font>
          <sz val="10"/>
          <color auto="1"/>
          <name val="Arial"/>
          <scheme val="none"/>
        </font>
        <numFmt numFmtId="10" formatCode="&quot;$&quot;#,##0_);[Red]\(&quot;$&quot;#,##0\)"/>
      </ndxf>
    </rcc>
    <rcc rId="0" sId="7" s="1" dxf="1">
      <nc r="G1">
        <f>F1-C1</f>
      </nc>
      <ndxf>
        <font>
          <sz val="10"/>
          <color auto="1"/>
          <name val="Arial"/>
          <scheme val="none"/>
        </font>
        <numFmt numFmtId="10" formatCode="&quot;$&quot;#,##0_);[Red]\(&quot;$&quot;#,##0\)"/>
      </ndxf>
    </rcc>
    <rcc rId="0" sId="7" dxf="1">
      <nc r="H1">
        <f>G1/C1</f>
      </nc>
      <ndxf>
        <font>
          <sz val="10"/>
          <color auto="1"/>
          <name val="Arial"/>
          <scheme val="none"/>
        </font>
        <numFmt numFmtId="13" formatCode="0%"/>
      </ndxf>
    </rcc>
    <rcc rId="0" sId="7" dxf="1" numFmtId="4">
      <nc r="I1">
        <v>326638</v>
      </nc>
      <ndxf>
        <numFmt numFmtId="3" formatCode="#,##0"/>
      </ndxf>
    </rcc>
    <rcc rId="0" sId="7" dxf="1">
      <nc r="J1">
        <f>I1/B1</f>
      </nc>
      <ndxf>
        <numFmt numFmtId="164" formatCode="0.0%"/>
      </ndxf>
    </rcc>
    <rcc rId="0" sId="7" dxf="1">
      <nc r="K1" t="inlineStr">
        <is>
          <t>*</t>
        </is>
      </nc>
      <ndxf>
        <font>
          <sz val="10"/>
          <color auto="1"/>
          <name val="Arial"/>
          <scheme val="none"/>
        </font>
      </ndxf>
    </rcc>
    <rcc rId="0" sId="7" dxf="1">
      <nc r="L1">
        <f>I1/C1</f>
      </nc>
      <ndxf>
        <numFmt numFmtId="164" formatCode="0.0%"/>
      </ndxf>
    </rcc>
    <rcc rId="0" sId="7">
      <nc r="M1">
        <v>332325</v>
      </nc>
    </rcc>
    <rcc rId="0" sId="7">
      <nc r="N1">
        <v>316056</v>
      </nc>
    </rcc>
    <rcc rId="0" sId="7" dxf="1">
      <nc r="O1">
        <f>N1/M1-1</f>
      </nc>
      <ndxf>
        <numFmt numFmtId="14" formatCode="0.00%"/>
      </ndxf>
    </rcc>
  </rrc>
  <rrc rId="37387" sId="7" ref="A1:XFD1" action="deleteRow">
    <undo index="0" exp="ref" ref3D="1" v="1" dr="C1" r="C122" sId="8"/>
    <undo index="0" exp="ref" ref3D="1" v="1" dr="B1" r="B122" sId="8"/>
    <undo index="0" exp="area" dr="N1:N15" r="N16" sId="7"/>
    <undo index="0" exp="area" dr="M1:M15" r="M16" sId="7"/>
    <undo index="0" exp="area" dr="F1:F15" r="F16" sId="7"/>
    <undo index="0" exp="area" dr="C1:C15" r="C16" sId="7"/>
    <undo index="0" exp="area" dr="B1:B15" r="B16" sId="7"/>
    <rfmt sheetId="7" xfDxf="1" sqref="A1:XFD1" start="0" length="0"/>
    <rcc rId="0" sId="7" dxf="1">
      <nc r="A1" t="inlineStr">
        <is>
          <t xml:space="preserve">Child and Family Services   </t>
        </is>
      </nc>
      <ndxf>
        <font>
          <sz val="10"/>
          <color auto="1"/>
          <name val="Arial"/>
          <scheme val="none"/>
        </font>
        <border outline="0">
          <left style="medium">
            <color indexed="64"/>
          </left>
        </border>
      </ndxf>
    </rcc>
    <rcc rId="0" sId="7" dxf="1" numFmtId="11">
      <nc r="B1">
        <v>313462</v>
      </nc>
      <ndxf>
        <font>
          <sz val="10"/>
          <color auto="1"/>
          <name val="Arial"/>
          <scheme val="none"/>
        </font>
        <numFmt numFmtId="10" formatCode="&quot;$&quot;#,##0_);[Red]\(&quot;$&quot;#,##0\)"/>
      </ndxf>
    </rcc>
    <rcc rId="0" sId="7" dxf="1" numFmtId="11">
      <nc r="C1">
        <v>228597</v>
      </nc>
      <ndxf>
        <font>
          <sz val="10"/>
          <color auto="1"/>
          <name val="Arial"/>
          <scheme val="none"/>
        </font>
        <numFmt numFmtId="10" formatCode="&quot;$&quot;#,##0_);[Red]\(&quot;$&quot;#,##0\)"/>
      </ndxf>
    </rcc>
    <rcc rId="0" sId="7" dxf="1">
      <nc r="D1">
        <f>C1-B1</f>
      </nc>
      <ndxf>
        <font>
          <sz val="10"/>
          <color auto="1"/>
          <name val="Arial"/>
          <scheme val="none"/>
        </font>
        <numFmt numFmtId="10" formatCode="&quot;$&quot;#,##0_);[Red]\(&quot;$&quot;#,##0\)"/>
      </ndxf>
    </rcc>
    <rcc rId="0" sId="7" s="1" dxf="1">
      <nc r="E1">
        <f>D1/B1</f>
      </nc>
      <ndxf>
        <font>
          <sz val="10"/>
          <color auto="1"/>
          <name val="Arial"/>
          <scheme val="none"/>
        </font>
        <numFmt numFmtId="13" formatCode="0%"/>
      </ndxf>
    </rcc>
    <rcc rId="0" sId="7" dxf="1" numFmtId="11">
      <nc r="F1">
        <v>272058</v>
      </nc>
      <ndxf>
        <font>
          <sz val="10"/>
          <color auto="1"/>
          <name val="Arial"/>
          <scheme val="none"/>
        </font>
        <numFmt numFmtId="10" formatCode="&quot;$&quot;#,##0_);[Red]\(&quot;$&quot;#,##0\)"/>
      </ndxf>
    </rcc>
    <rcc rId="0" sId="7" s="1" dxf="1">
      <nc r="G1">
        <f>F1-C1</f>
      </nc>
      <ndxf>
        <font>
          <sz val="10"/>
          <color auto="1"/>
          <name val="Arial"/>
          <scheme val="none"/>
        </font>
        <numFmt numFmtId="10" formatCode="&quot;$&quot;#,##0_);[Red]\(&quot;$&quot;#,##0\)"/>
      </ndxf>
    </rcc>
    <rcc rId="0" sId="7" dxf="1">
      <nc r="H1">
        <f>G1/C1</f>
      </nc>
      <ndxf>
        <font>
          <sz val="10"/>
          <color auto="1"/>
          <name val="Arial"/>
          <scheme val="none"/>
        </font>
        <numFmt numFmtId="13" formatCode="0%"/>
      </ndxf>
    </rcc>
    <rcc rId="0" sId="7" dxf="1" numFmtId="4">
      <nc r="I1">
        <v>289057</v>
      </nc>
      <ndxf>
        <numFmt numFmtId="3" formatCode="#,##0"/>
      </ndxf>
    </rcc>
    <rcc rId="0" sId="7" dxf="1">
      <nc r="J1">
        <f>I1/B1</f>
      </nc>
      <ndxf>
        <numFmt numFmtId="164" formatCode="0.0%"/>
      </ndxf>
    </rcc>
    <rcc rId="0" sId="7" dxf="1">
      <nc r="K1" t="inlineStr">
        <is>
          <t>**</t>
        </is>
      </nc>
      <ndxf>
        <font>
          <sz val="10"/>
          <color auto="1"/>
          <name val="Arial"/>
          <scheme val="none"/>
        </font>
      </ndxf>
    </rcc>
    <rcc rId="0" sId="7" dxf="1">
      <nc r="L1">
        <f>I1/C1</f>
      </nc>
      <ndxf>
        <numFmt numFmtId="164" formatCode="0.0%"/>
      </ndxf>
    </rcc>
    <rcc rId="0" sId="7">
      <nc r="M1">
        <v>269962</v>
      </nc>
    </rcc>
    <rcc rId="0" sId="7">
      <nc r="N1">
        <v>271903</v>
      </nc>
    </rcc>
    <rcc rId="0" sId="7" dxf="1">
      <nc r="O1">
        <f>N1/M1-1</f>
      </nc>
      <ndxf>
        <numFmt numFmtId="14" formatCode="0.00%"/>
      </ndxf>
    </rcc>
  </rrc>
  <rrc rId="37388" sId="7" ref="A1:XFD1" action="deleteRow">
    <undo index="0" exp="ref" ref3D="1" v="1" dr="C1" r="C123" sId="8"/>
    <undo index="0" exp="ref" ref3D="1" v="1" dr="B1" r="B123" sId="8"/>
    <undo index="0" exp="area" dr="N1:N14" r="N15" sId="7"/>
    <undo index="0" exp="area" dr="M1:M14" r="M15" sId="7"/>
    <undo index="0" exp="area" dr="F1:F14" r="F15" sId="7"/>
    <undo index="0" exp="area" dr="C1:C14" r="C15" sId="7"/>
    <undo index="0" exp="area" dr="B1:B14" r="B15" sId="7"/>
    <rfmt sheetId="7" xfDxf="1" sqref="A1:XFD1" start="0" length="0"/>
    <rcc rId="0" sId="7" dxf="1">
      <nc r="A1" t="inlineStr">
        <is>
          <t xml:space="preserve">Department of Mental Health   </t>
        </is>
      </nc>
      <ndxf>
        <font>
          <sz val="10"/>
          <color auto="1"/>
          <name val="Arial"/>
          <scheme val="none"/>
        </font>
        <border outline="0">
          <left style="medium">
            <color indexed="64"/>
          </left>
        </border>
      </ndxf>
    </rcc>
    <rcc rId="0" sId="7" dxf="1" numFmtId="11">
      <nc r="B1">
        <v>209985</v>
      </nc>
      <ndxf>
        <font>
          <sz val="10"/>
          <color auto="1"/>
          <name val="Arial"/>
          <scheme val="none"/>
        </font>
        <numFmt numFmtId="10" formatCode="&quot;$&quot;#,##0_);[Red]\(&quot;$&quot;#,##0\)"/>
      </ndxf>
    </rcc>
    <rcc rId="0" sId="7" dxf="1" numFmtId="11">
      <nc r="C1">
        <v>219206</v>
      </nc>
      <ndxf>
        <font>
          <sz val="10"/>
          <color auto="1"/>
          <name val="Arial"/>
          <scheme val="none"/>
        </font>
        <numFmt numFmtId="10" formatCode="&quot;$&quot;#,##0_);[Red]\(&quot;$&quot;#,##0\)"/>
      </ndxf>
    </rcc>
    <rcc rId="0" sId="7" dxf="1">
      <nc r="D1">
        <f>C1-B1</f>
      </nc>
      <ndxf>
        <font>
          <sz val="10"/>
          <color auto="1"/>
          <name val="Arial"/>
          <scheme val="none"/>
        </font>
        <numFmt numFmtId="10" formatCode="&quot;$&quot;#,##0_);[Red]\(&quot;$&quot;#,##0\)"/>
      </ndxf>
    </rcc>
    <rcc rId="0" sId="7" s="1" dxf="1">
      <nc r="E1">
        <f>D1/B1</f>
      </nc>
      <ndxf>
        <font>
          <sz val="10"/>
          <color auto="1"/>
          <name val="Arial"/>
          <scheme val="none"/>
        </font>
        <numFmt numFmtId="13" formatCode="0%"/>
      </ndxf>
    </rcc>
    <rcc rId="0" sId="7" dxf="1" numFmtId="11">
      <nc r="F1">
        <v>212543</v>
      </nc>
      <ndxf>
        <font>
          <sz val="10"/>
          <color auto="1"/>
          <name val="Arial"/>
          <scheme val="none"/>
        </font>
        <numFmt numFmtId="10" formatCode="&quot;$&quot;#,##0_);[Red]\(&quot;$&quot;#,##0\)"/>
      </ndxf>
    </rcc>
    <rcc rId="0" sId="7" s="1" dxf="1">
      <nc r="G1">
        <f>F1-C1</f>
      </nc>
      <ndxf>
        <font>
          <sz val="10"/>
          <color auto="1"/>
          <name val="Arial"/>
          <scheme val="none"/>
        </font>
        <numFmt numFmtId="10" formatCode="&quot;$&quot;#,##0_);[Red]\(&quot;$&quot;#,##0\)"/>
      </ndxf>
    </rcc>
    <rcc rId="0" sId="7" dxf="1">
      <nc r="H1">
        <f>G1/C1</f>
      </nc>
      <ndxf>
        <font>
          <sz val="10"/>
          <color auto="1"/>
          <name val="Arial"/>
          <scheme val="none"/>
        </font>
        <numFmt numFmtId="13" formatCode="0%"/>
      </ndxf>
    </rcc>
    <rcc rId="0" sId="7" dxf="1" numFmtId="4">
      <nc r="I1">
        <v>216837</v>
      </nc>
      <ndxf>
        <numFmt numFmtId="3" formatCode="#,##0"/>
      </ndxf>
    </rcc>
    <rcc rId="0" sId="7" dxf="1">
      <nc r="J1">
        <f>I1/B1</f>
      </nc>
      <ndxf>
        <numFmt numFmtId="164" formatCode="0.0%"/>
      </ndxf>
    </rcc>
    <rcc rId="0" sId="7" dxf="1">
      <nc r="K1" t="inlineStr">
        <is>
          <t>**</t>
        </is>
      </nc>
      <ndxf>
        <font>
          <sz val="10"/>
          <color auto="1"/>
          <name val="Arial"/>
          <scheme val="none"/>
        </font>
      </ndxf>
    </rcc>
    <rcc rId="0" sId="7" dxf="1">
      <nc r="L1">
        <f>I1/C1</f>
      </nc>
      <ndxf>
        <numFmt numFmtId="164" formatCode="0.0%"/>
      </ndxf>
    </rcc>
    <rcc rId="0" sId="7">
      <nc r="M1">
        <v>206576</v>
      </nc>
    </rcc>
    <rcc rId="0" sId="7">
      <nc r="N1">
        <v>186881</v>
      </nc>
    </rcc>
    <rcc rId="0" sId="7" dxf="1">
      <nc r="O1">
        <f>N1/M1-1</f>
      </nc>
      <ndxf>
        <numFmt numFmtId="14" formatCode="0.00%"/>
      </ndxf>
    </rcc>
  </rrc>
  <rrc rId="37389" sId="7" ref="A1:XFD1" action="deleteRow">
    <undo index="0" exp="ref" ref3D="1" v="1" dr="C1" r="C124" sId="8"/>
    <undo index="0" exp="ref" ref3D="1" v="1" dr="B1" r="B124" sId="8"/>
    <undo index="0" exp="area" dr="N1:N13" r="N14" sId="7"/>
    <undo index="0" exp="area" dr="M1:M13" r="M14" sId="7"/>
    <undo index="0" exp="area" dr="F1:F13" r="F14" sId="7"/>
    <undo index="0" exp="area" dr="C1:C13" r="C14" sId="7"/>
    <undo index="0" exp="area" dr="B1:B13" r="B14" sId="7"/>
    <rfmt sheetId="7" xfDxf="1" sqref="A1:XFD1" start="0" length="0"/>
    <rcc rId="0" sId="7" dxf="1">
      <nc r="A1" t="inlineStr">
        <is>
          <t>Department of Health**</t>
        </is>
      </nc>
      <ndxf>
        <font>
          <sz val="10"/>
          <color auto="1"/>
          <name val="Arial"/>
          <scheme val="none"/>
        </font>
        <border outline="0">
          <left style="medium">
            <color indexed="64"/>
          </left>
        </border>
      </ndxf>
    </rcc>
    <rcc rId="0" sId="7" dxf="1" numFmtId="11">
      <nc r="B1">
        <v>1855040</v>
      </nc>
      <ndxf>
        <font>
          <sz val="10"/>
          <color auto="1"/>
          <name val="Arial"/>
          <scheme val="none"/>
        </font>
        <numFmt numFmtId="10" formatCode="&quot;$&quot;#,##0_);[Red]\(&quot;$&quot;#,##0\)"/>
      </ndxf>
    </rcc>
    <rcc rId="0" sId="7" dxf="1" numFmtId="11">
      <nc r="C1">
        <v>246805</v>
      </nc>
      <ndxf>
        <font>
          <sz val="10"/>
          <color auto="1"/>
          <name val="Arial"/>
          <scheme val="none"/>
        </font>
        <numFmt numFmtId="10" formatCode="&quot;$&quot;#,##0_);[Red]\(&quot;$&quot;#,##0\)"/>
      </ndxf>
    </rcc>
    <rcc rId="0" sId="7" dxf="1">
      <nc r="D1">
        <f>C1-B1</f>
      </nc>
      <ndxf>
        <font>
          <sz val="10"/>
          <color auto="1"/>
          <name val="Arial"/>
          <scheme val="none"/>
        </font>
        <numFmt numFmtId="10" formatCode="&quot;$&quot;#,##0_);[Red]\(&quot;$&quot;#,##0\)"/>
      </ndxf>
    </rcc>
    <rcc rId="0" sId="7" s="1" dxf="1">
      <nc r="E1">
        <f>D1/B1</f>
      </nc>
      <ndxf>
        <font>
          <sz val="10"/>
          <color auto="1"/>
          <name val="Arial"/>
          <scheme val="none"/>
        </font>
        <numFmt numFmtId="13" formatCode="0%"/>
      </ndxf>
    </rcc>
    <rcc rId="0" sId="7" dxf="1" numFmtId="11">
      <nc r="F1">
        <v>231748</v>
      </nc>
      <ndxf>
        <font>
          <sz val="10"/>
          <color auto="1"/>
          <name val="Arial"/>
          <scheme val="none"/>
        </font>
        <numFmt numFmtId="10" formatCode="&quot;$&quot;#,##0_);[Red]\(&quot;$&quot;#,##0\)"/>
      </ndxf>
    </rcc>
    <rcc rId="0" sId="7" s="1" dxf="1">
      <nc r="G1">
        <f>F1-C1</f>
      </nc>
      <ndxf>
        <font>
          <sz val="10"/>
          <color auto="1"/>
          <name val="Arial"/>
          <scheme val="none"/>
        </font>
        <numFmt numFmtId="10" formatCode="&quot;$&quot;#,##0_);[Red]\(&quot;$&quot;#,##0\)"/>
      </ndxf>
    </rcc>
    <rcc rId="0" sId="7" dxf="1">
      <nc r="H1">
        <f>G1/C1</f>
      </nc>
      <ndxf>
        <font>
          <sz val="10"/>
          <color auto="1"/>
          <name val="Arial"/>
          <scheme val="none"/>
        </font>
        <numFmt numFmtId="13" formatCode="0%"/>
      </ndxf>
    </rcc>
    <rcc rId="0" sId="7" dxf="1" numFmtId="4">
      <nc r="I1">
        <v>251376</v>
      </nc>
      <ndxf>
        <numFmt numFmtId="3" formatCode="#,##0"/>
      </ndxf>
    </rcc>
    <rcc rId="0" sId="7" dxf="1">
      <nc r="J1">
        <f>I1/B1</f>
      </nc>
      <ndxf>
        <numFmt numFmtId="164" formatCode="0.0%"/>
      </ndxf>
    </rcc>
    <rcc rId="0" sId="7" dxf="1">
      <nc r="K1" t="inlineStr">
        <is>
          <t>****</t>
        </is>
      </nc>
      <ndxf>
        <font>
          <sz val="10"/>
          <color auto="1"/>
          <name val="Arial"/>
          <scheme val="none"/>
        </font>
      </ndxf>
    </rcc>
    <rcc rId="0" sId="7" dxf="1">
      <nc r="L1">
        <f>I1/C1</f>
      </nc>
      <ndxf>
        <numFmt numFmtId="164" formatCode="0.0%"/>
      </ndxf>
    </rcc>
    <rcc rId="0" sId="7">
      <nc r="M1">
        <v>249846</v>
      </nc>
    </rcc>
    <rcc rId="0" sId="7">
      <nc r="N1">
        <v>277994</v>
      </nc>
    </rcc>
    <rcc rId="0" sId="7" dxf="1">
      <nc r="O1">
        <f>N1/M1-1</f>
      </nc>
      <ndxf>
        <numFmt numFmtId="14" formatCode="0.00%"/>
      </ndxf>
    </rcc>
  </rrc>
  <rrc rId="37390" sId="7" ref="A1:XFD1" action="deleteRow">
    <undo index="0" exp="ref" ref3D="1" v="1" dr="C1" r="C125" sId="8"/>
    <undo index="0" exp="ref" ref3D="1" v="1" dr="B1" r="B125" sId="8"/>
    <undo index="0" exp="area" dr="N1:N12" r="N13" sId="7"/>
    <undo index="0" exp="area" dr="M1:M12" r="M13" sId="7"/>
    <undo index="0" exp="area" dr="F1:F12" r="F13" sId="7"/>
    <undo index="0" exp="area" dr="C1:C12" r="C13" sId="7"/>
    <undo index="0" exp="area" dr="B1:B12" r="B13" sId="7"/>
    <rfmt sheetId="7" xfDxf="1" sqref="A1:XFD1" start="0" length="0"/>
    <rcc rId="0" sId="7" dxf="1">
      <nc r="A1" t="inlineStr">
        <is>
          <t>Department of Parks and Recreation</t>
        </is>
      </nc>
      <ndxf>
        <font>
          <sz val="10"/>
          <color auto="1"/>
          <name val="Arial"/>
          <scheme val="none"/>
        </font>
        <border outline="0">
          <left style="medium">
            <color indexed="64"/>
          </left>
        </border>
      </ndxf>
    </rcc>
    <rcc rId="0" sId="7" dxf="1" numFmtId="11">
      <nc r="B1">
        <v>54134</v>
      </nc>
      <ndxf>
        <font>
          <sz val="10"/>
          <color auto="1"/>
          <name val="Arial"/>
          <scheme val="none"/>
        </font>
        <numFmt numFmtId="10" formatCode="&quot;$&quot;#,##0_);[Red]\(&quot;$&quot;#,##0\)"/>
      </ndxf>
    </rcc>
    <rcc rId="0" sId="7" dxf="1" numFmtId="11">
      <nc r="C1">
        <v>48312</v>
      </nc>
      <ndxf>
        <font>
          <sz val="10"/>
          <color auto="1"/>
          <name val="Arial"/>
          <scheme val="none"/>
        </font>
        <numFmt numFmtId="10" formatCode="&quot;$&quot;#,##0_);[Red]\(&quot;$&quot;#,##0\)"/>
      </ndxf>
    </rcc>
    <rcc rId="0" sId="7" dxf="1">
      <nc r="D1">
        <f>C1-B1</f>
      </nc>
      <ndxf>
        <font>
          <sz val="10"/>
          <color auto="1"/>
          <name val="Arial"/>
          <scheme val="none"/>
        </font>
        <numFmt numFmtId="10" formatCode="&quot;$&quot;#,##0_);[Red]\(&quot;$&quot;#,##0\)"/>
      </ndxf>
    </rcc>
    <rcc rId="0" sId="7" s="1" dxf="1">
      <nc r="E1">
        <f>D1/B1</f>
      </nc>
      <ndxf>
        <font>
          <sz val="10"/>
          <color auto="1"/>
          <name val="Arial"/>
          <scheme val="none"/>
        </font>
        <numFmt numFmtId="13" formatCode="0%"/>
      </ndxf>
    </rcc>
    <rcc rId="0" sId="7" dxf="1" numFmtId="11">
      <nc r="F1">
        <v>45383</v>
      </nc>
      <ndxf>
        <font>
          <sz val="10"/>
          <color auto="1"/>
          <name val="Arial"/>
          <scheme val="none"/>
        </font>
        <numFmt numFmtId="10" formatCode="&quot;$&quot;#,##0_);[Red]\(&quot;$&quot;#,##0\)"/>
      </ndxf>
    </rcc>
    <rcc rId="0" sId="7" s="1" dxf="1">
      <nc r="G1">
        <f>F1-C1</f>
      </nc>
      <ndxf>
        <font>
          <sz val="10"/>
          <color auto="1"/>
          <name val="Arial"/>
          <scheme val="none"/>
        </font>
        <numFmt numFmtId="10" formatCode="&quot;$&quot;#,##0_);[Red]\(&quot;$&quot;#,##0\)"/>
      </ndxf>
    </rcc>
    <rcc rId="0" sId="7" dxf="1">
      <nc r="H1">
        <f>G1/C1</f>
      </nc>
      <ndxf>
        <font>
          <sz val="10"/>
          <color auto="1"/>
          <name val="Arial"/>
          <scheme val="none"/>
        </font>
        <numFmt numFmtId="13" formatCode="0%"/>
      </ndxf>
    </rcc>
    <rcc rId="0" sId="7" dxf="1" numFmtId="4">
      <nc r="I1">
        <v>53796</v>
      </nc>
      <ndxf>
        <numFmt numFmtId="3" formatCode="#,##0"/>
      </ndxf>
    </rcc>
    <rcc rId="0" sId="7" dxf="1">
      <nc r="J1">
        <f>I1/B1</f>
      </nc>
      <ndxf>
        <numFmt numFmtId="164" formatCode="0.0%"/>
      </ndxf>
    </rcc>
    <rcc rId="0" sId="7" dxf="1">
      <nc r="K1" t="inlineStr">
        <is>
          <t>*</t>
        </is>
      </nc>
      <ndxf>
        <font>
          <sz val="10"/>
          <color auto="1"/>
          <name val="Arial"/>
          <scheme val="none"/>
        </font>
      </ndxf>
    </rcc>
    <rcc rId="0" sId="7" dxf="1">
      <nc r="L1">
        <f>I1/C1</f>
      </nc>
      <ndxf>
        <numFmt numFmtId="164" formatCode="0.0%"/>
      </ndxf>
    </rcc>
    <rcc rId="0" sId="7">
      <nc r="M1">
        <v>48095</v>
      </nc>
    </rcc>
    <rcc rId="0" sId="7">
      <nc r="N1">
        <v>42758</v>
      </nc>
    </rcc>
    <rcc rId="0" sId="7" dxf="1">
      <nc r="O1">
        <f>N1/M1-1</f>
      </nc>
      <ndxf>
        <numFmt numFmtId="14" formatCode="0.00%"/>
      </ndxf>
    </rcc>
  </rrc>
  <rrc rId="37391" sId="7" ref="A1:XFD1" action="deleteRow">
    <undo index="0" exp="ref" ref3D="1" v="1" dr="C1" r="C126" sId="8"/>
    <undo index="0" exp="ref" ref3D="1" v="1" dr="B1" r="B126" sId="8"/>
    <undo index="0" exp="area" dr="N1:N11" r="N12" sId="7"/>
    <undo index="0" exp="area" dr="M1:M11" r="M12" sId="7"/>
    <undo index="0" exp="area" dr="F1:F11" r="F12" sId="7"/>
    <undo index="0" exp="area" dr="C1:C11" r="C12" sId="7"/>
    <undo index="0" exp="area" dr="B1:B11" r="B12" sId="7"/>
    <rfmt sheetId="7" xfDxf="1" sqref="A1:XFD1" start="0" length="0"/>
    <rcc rId="0" sId="7" dxf="1">
      <nc r="A1" t="inlineStr">
        <is>
          <t>Office of Aging</t>
        </is>
      </nc>
      <ndxf>
        <font>
          <sz val="10"/>
          <color auto="1"/>
          <name val="Arial"/>
          <scheme val="none"/>
        </font>
        <border outline="0">
          <left style="medium">
            <color indexed="64"/>
          </left>
        </border>
      </ndxf>
    </rcc>
    <rcc rId="0" sId="7" dxf="1" numFmtId="11">
      <nc r="B1">
        <v>24169</v>
      </nc>
      <ndxf>
        <font>
          <sz val="10"/>
          <color auto="1"/>
          <name val="Arial"/>
          <scheme val="none"/>
        </font>
        <numFmt numFmtId="10" formatCode="&quot;$&quot;#,##0_);[Red]\(&quot;$&quot;#,##0\)"/>
      </ndxf>
    </rcc>
    <rcc rId="0" sId="7" dxf="1" numFmtId="11">
      <nc r="C1">
        <v>24126</v>
      </nc>
      <ndxf>
        <font>
          <sz val="10"/>
          <color auto="1"/>
          <name val="Arial"/>
          <scheme val="none"/>
        </font>
        <numFmt numFmtId="10" formatCode="&quot;$&quot;#,##0_);[Red]\(&quot;$&quot;#,##0\)"/>
      </ndxf>
    </rcc>
    <rcc rId="0" sId="7" dxf="1">
      <nc r="D1">
        <f>C1-B1</f>
      </nc>
      <ndxf>
        <font>
          <sz val="10"/>
          <color auto="1"/>
          <name val="Arial"/>
          <scheme val="none"/>
        </font>
        <numFmt numFmtId="10" formatCode="&quot;$&quot;#,##0_);[Red]\(&quot;$&quot;#,##0\)"/>
      </ndxf>
    </rcc>
    <rcc rId="0" sId="7" s="1" dxf="1">
      <nc r="E1">
        <f>D1/B1</f>
      </nc>
      <ndxf>
        <font>
          <sz val="10"/>
          <color auto="1"/>
          <name val="Arial"/>
          <scheme val="none"/>
        </font>
        <numFmt numFmtId="13" formatCode="0%"/>
      </ndxf>
    </rcc>
    <rcc rId="0" sId="7" dxf="1" numFmtId="11">
      <nc r="F1">
        <v>22852</v>
      </nc>
      <ndxf>
        <font>
          <sz val="10"/>
          <color auto="1"/>
          <name val="Arial"/>
          <scheme val="none"/>
        </font>
        <numFmt numFmtId="10" formatCode="&quot;$&quot;#,##0_);[Red]\(&quot;$&quot;#,##0\)"/>
      </ndxf>
    </rcc>
    <rcc rId="0" sId="7" s="1" dxf="1">
      <nc r="G1">
        <f>F1-C1</f>
      </nc>
      <ndxf>
        <font>
          <sz val="10"/>
          <color auto="1"/>
          <name val="Arial"/>
          <scheme val="none"/>
        </font>
        <numFmt numFmtId="10" formatCode="&quot;$&quot;#,##0_);[Red]\(&quot;$&quot;#,##0\)"/>
      </ndxf>
    </rcc>
    <rcc rId="0" sId="7" dxf="1">
      <nc r="H1">
        <f>G1/C1</f>
      </nc>
      <ndxf>
        <font>
          <sz val="10"/>
          <color auto="1"/>
          <name val="Arial"/>
          <scheme val="none"/>
        </font>
        <numFmt numFmtId="13" formatCode="0%"/>
      </ndxf>
    </rcc>
    <rcc rId="0" sId="7" dxf="1" numFmtId="4">
      <nc r="I1">
        <v>23777</v>
      </nc>
      <ndxf>
        <numFmt numFmtId="3" formatCode="#,##0"/>
      </ndxf>
    </rcc>
    <rcc rId="0" sId="7" dxf="1">
      <nc r="J1">
        <f>I1/B1</f>
      </nc>
      <ndxf>
        <numFmt numFmtId="164" formatCode="0.0%"/>
      </ndxf>
    </rcc>
    <rcc rId="0" sId="7" dxf="1">
      <nc r="K1" t="inlineStr">
        <is>
          <t>*</t>
        </is>
      </nc>
      <ndxf>
        <font>
          <sz val="10"/>
          <color auto="1"/>
          <name val="Arial"/>
          <scheme val="none"/>
        </font>
      </ndxf>
    </rcc>
    <rcc rId="0" sId="7" dxf="1">
      <nc r="L1">
        <f>I1/C1</f>
      </nc>
      <ndxf>
        <numFmt numFmtId="164" formatCode="0.0%"/>
      </ndxf>
    </rcc>
    <rcc rId="0" sId="7">
      <nc r="M1">
        <v>23004</v>
      </nc>
    </rcc>
    <rcc rId="0" sId="7">
      <nc r="N1">
        <v>23749</v>
      </nc>
    </rcc>
    <rcc rId="0" sId="7" dxf="1">
      <nc r="O1">
        <f>N1/M1-1</f>
      </nc>
      <ndxf>
        <numFmt numFmtId="14" formatCode="0.00%"/>
      </ndxf>
    </rcc>
  </rrc>
  <rrc rId="37392" sId="7" ref="A1:XFD1" action="deleteRow">
    <undo index="0" exp="ref" ref3D="1" v="1" dr="C1" r="C127" sId="8"/>
    <undo index="0" exp="ref" ref3D="1" v="1" dr="B1" r="B127" sId="8"/>
    <undo index="0" exp="area" dr="N1:N10" r="N11" sId="7"/>
    <undo index="0" exp="area" dr="M1:M10" r="M11" sId="7"/>
    <undo index="0" exp="area" dr="F1:F10" r="F11" sId="7"/>
    <undo index="0" exp="area" dr="C1:C10" r="C11" sId="7"/>
    <undo index="0" exp="area" dr="B1:B10" r="B11" sId="7"/>
    <rfmt sheetId="7" xfDxf="1" sqref="A1:XFD1" start="0" length="0"/>
    <rcc rId="0" sId="7" dxf="1">
      <nc r="A1" t="inlineStr">
        <is>
          <t>Unemployment Compensation</t>
        </is>
      </nc>
      <ndxf>
        <font>
          <sz val="10"/>
          <color auto="1"/>
          <name val="Arial"/>
          <scheme val="none"/>
        </font>
        <border outline="0">
          <left style="medium">
            <color indexed="64"/>
          </left>
        </border>
      </ndxf>
    </rcc>
    <rcc rId="0" sId="7" dxf="1" numFmtId="11">
      <nc r="B1">
        <v>6459</v>
      </nc>
      <ndxf>
        <font>
          <sz val="10"/>
          <color auto="1"/>
          <name val="Arial"/>
          <scheme val="none"/>
        </font>
        <numFmt numFmtId="10" formatCode="&quot;$&quot;#,##0_);[Red]\(&quot;$&quot;#,##0\)"/>
      </ndxf>
    </rcc>
    <rcc rId="0" sId="7" dxf="1" numFmtId="11">
      <nc r="C1">
        <v>5500</v>
      </nc>
      <ndxf>
        <font>
          <sz val="10"/>
          <color auto="1"/>
          <name val="Arial"/>
          <scheme val="none"/>
        </font>
        <numFmt numFmtId="10" formatCode="&quot;$&quot;#,##0_);[Red]\(&quot;$&quot;#,##0\)"/>
      </ndxf>
    </rcc>
    <rcc rId="0" sId="7" dxf="1">
      <nc r="D1">
        <f>C1-B1</f>
      </nc>
      <ndxf>
        <font>
          <sz val="10"/>
          <color auto="1"/>
          <name val="Arial"/>
          <scheme val="none"/>
        </font>
        <numFmt numFmtId="10" formatCode="&quot;$&quot;#,##0_);[Red]\(&quot;$&quot;#,##0\)"/>
      </ndxf>
    </rcc>
    <rcc rId="0" sId="7" s="1" dxf="1">
      <nc r="E1">
        <f>D1/B1</f>
      </nc>
      <ndxf>
        <font>
          <sz val="10"/>
          <color auto="1"/>
          <name val="Arial"/>
          <scheme val="none"/>
        </font>
        <numFmt numFmtId="13" formatCode="0%"/>
      </ndxf>
    </rcc>
    <rcc rId="0" sId="7" dxf="1" numFmtId="11">
      <nc r="F1">
        <v>11136</v>
      </nc>
      <ndxf>
        <font>
          <sz val="10"/>
          <color auto="1"/>
          <name val="Arial"/>
          <scheme val="none"/>
        </font>
        <numFmt numFmtId="10" formatCode="&quot;$&quot;#,##0_);[Red]\(&quot;$&quot;#,##0\)"/>
      </ndxf>
    </rcc>
    <rcc rId="0" sId="7" s="1" dxf="1">
      <nc r="G1">
        <f>F1-C1</f>
      </nc>
      <ndxf>
        <font>
          <sz val="10"/>
          <color auto="1"/>
          <name val="Arial"/>
          <scheme val="none"/>
        </font>
        <numFmt numFmtId="10" formatCode="&quot;$&quot;#,##0_);[Red]\(&quot;$&quot;#,##0\)"/>
      </ndxf>
    </rcc>
    <rcc rId="0" sId="7" dxf="1">
      <nc r="H1">
        <f>G1/C1</f>
      </nc>
      <ndxf>
        <font>
          <sz val="10"/>
          <color auto="1"/>
          <name val="Arial"/>
          <scheme val="none"/>
        </font>
        <numFmt numFmtId="13" formatCode="0%"/>
      </ndxf>
    </rcc>
    <rcc rId="0" sId="7" dxf="1" numFmtId="4">
      <nc r="I1">
        <v>11136</v>
      </nc>
      <ndxf>
        <numFmt numFmtId="3" formatCode="#,##0"/>
      </ndxf>
    </rcc>
    <rcc rId="0" sId="7" dxf="1">
      <nc r="J1">
        <f>I1/B1</f>
      </nc>
      <ndxf>
        <numFmt numFmtId="164" formatCode="0.0%"/>
      </ndxf>
    </rcc>
    <rcc rId="0" sId="7" dxf="1">
      <nc r="K1" t="inlineStr">
        <is>
          <t>***</t>
        </is>
      </nc>
      <ndxf>
        <font>
          <sz val="10"/>
          <color auto="1"/>
          <name val="Arial"/>
          <scheme val="none"/>
        </font>
      </ndxf>
    </rcc>
    <rcc rId="0" sId="7" dxf="1">
      <nc r="L1">
        <f>I1/C1</f>
      </nc>
      <ndxf>
        <numFmt numFmtId="164" formatCode="0.0%"/>
      </ndxf>
    </rcc>
    <rcc rId="0" sId="7">
      <nc r="M1">
        <v>11136</v>
      </nc>
    </rcc>
    <rcc rId="0" sId="7">
      <nc r="N1">
        <v>18512</v>
      </nc>
    </rcc>
    <rcc rId="0" sId="7" dxf="1">
      <nc r="O1">
        <f>N1/M1-1</f>
      </nc>
      <ndxf>
        <numFmt numFmtId="14" formatCode="0.00%"/>
      </ndxf>
    </rcc>
  </rrc>
  <rrc rId="37393" sId="7" ref="A1:XFD1" action="deleteRow">
    <undo index="0" exp="ref" ref3D="1" v="1" dr="C1" r="C128" sId="8"/>
    <undo index="0" exp="ref" ref3D="1" v="1" dr="B1" r="B128" sId="8"/>
    <undo index="0" exp="area" dr="N1:N9" r="N10" sId="7"/>
    <undo index="0" exp="area" dr="M1:M9" r="M10" sId="7"/>
    <undo index="0" exp="area" dr="F1:F9" r="F10" sId="7"/>
    <undo index="0" exp="area" dr="C1:C9" r="C10" sId="7"/>
    <undo index="0" exp="area" dr="B1:B9" r="B10" sId="7"/>
    <rfmt sheetId="7" xfDxf="1" sqref="A1:XFD1" start="0" length="0"/>
    <rcc rId="0" sId="7" dxf="1">
      <nc r="A1" t="inlineStr">
        <is>
          <t>Disability Compensation</t>
        </is>
      </nc>
      <ndxf>
        <font>
          <sz val="10"/>
          <color auto="1"/>
          <name val="Arial"/>
          <scheme val="none"/>
        </font>
        <border outline="0">
          <left style="medium">
            <color indexed="64"/>
          </left>
        </border>
      </ndxf>
    </rcc>
    <rcc rId="0" sId="7" dxf="1" numFmtId="11">
      <nc r="B1">
        <v>28220</v>
      </nc>
      <ndxf>
        <font>
          <sz val="10"/>
          <color auto="1"/>
          <name val="Arial"/>
          <scheme val="none"/>
        </font>
        <numFmt numFmtId="10" formatCode="&quot;$&quot;#,##0_);[Red]\(&quot;$&quot;#,##0\)"/>
      </ndxf>
    </rcc>
    <rcc rId="0" sId="7" dxf="1" numFmtId="11">
      <nc r="C1">
        <v>15030</v>
      </nc>
      <ndxf>
        <font>
          <sz val="10"/>
          <color auto="1"/>
          <name val="Arial"/>
          <scheme val="none"/>
        </font>
        <numFmt numFmtId="10" formatCode="&quot;$&quot;#,##0_);[Red]\(&quot;$&quot;#,##0\)"/>
      </ndxf>
    </rcc>
    <rcc rId="0" sId="7" dxf="1">
      <nc r="D1">
        <f>C1-B1</f>
      </nc>
      <ndxf>
        <font>
          <sz val="10"/>
          <color auto="1"/>
          <name val="Arial"/>
          <scheme val="none"/>
        </font>
        <numFmt numFmtId="10" formatCode="&quot;$&quot;#,##0_);[Red]\(&quot;$&quot;#,##0\)"/>
      </ndxf>
    </rcc>
    <rcc rId="0" sId="7" s="1" dxf="1">
      <nc r="E1">
        <f>D1/B1</f>
      </nc>
      <ndxf>
        <font>
          <sz val="10"/>
          <color auto="1"/>
          <name val="Arial"/>
          <scheme val="none"/>
        </font>
        <numFmt numFmtId="13" formatCode="0%"/>
      </ndxf>
    </rcc>
    <rcc rId="0" sId="7" dxf="1" numFmtId="11">
      <nc r="F1">
        <v>25163</v>
      </nc>
      <ndxf>
        <font>
          <sz val="10"/>
          <color auto="1"/>
          <name val="Arial"/>
          <scheme val="none"/>
        </font>
        <numFmt numFmtId="10" formatCode="&quot;$&quot;#,##0_);[Red]\(&quot;$&quot;#,##0\)"/>
      </ndxf>
    </rcc>
    <rcc rId="0" sId="7" s="1" dxf="1">
      <nc r="G1">
        <f>F1-C1</f>
      </nc>
      <ndxf>
        <font>
          <sz val="10"/>
          <color auto="1"/>
          <name val="Arial"/>
          <scheme val="none"/>
        </font>
        <numFmt numFmtId="10" formatCode="&quot;$&quot;#,##0_);[Red]\(&quot;$&quot;#,##0\)"/>
      </ndxf>
    </rcc>
    <rcc rId="0" sId="7" dxf="1">
      <nc r="H1">
        <f>G1/C1</f>
      </nc>
      <ndxf>
        <font>
          <sz val="10"/>
          <color auto="1"/>
          <name val="Arial"/>
          <scheme val="none"/>
        </font>
        <numFmt numFmtId="13" formatCode="0%"/>
      </ndxf>
    </rcc>
    <rcc rId="0" sId="7" dxf="1" numFmtId="4">
      <nc r="I1">
        <v>25163</v>
      </nc>
      <ndxf>
        <numFmt numFmtId="3" formatCode="#,##0"/>
      </ndxf>
    </rcc>
    <rcc rId="0" sId="7" dxf="1">
      <nc r="J1">
        <f>I1/B1</f>
      </nc>
      <ndxf>
        <numFmt numFmtId="164" formatCode="0.0%"/>
      </ndxf>
    </rcc>
    <rcc rId="0" sId="7" dxf="1">
      <nc r="K1" t="inlineStr">
        <is>
          <t>****</t>
        </is>
      </nc>
      <ndxf>
        <font>
          <sz val="10"/>
          <color auto="1"/>
          <name val="Arial"/>
          <scheme val="none"/>
        </font>
      </ndxf>
    </rcc>
    <rcc rId="0" sId="7" dxf="1">
      <nc r="L1">
        <f>I1/C1</f>
      </nc>
      <ndxf>
        <numFmt numFmtId="164" formatCode="0.0%"/>
      </ndxf>
    </rcc>
    <rcc rId="0" sId="7">
      <nc r="M1">
        <v>25163</v>
      </nc>
    </rcc>
    <rcc rId="0" sId="7">
      <nc r="N1">
        <v>28169</v>
      </nc>
    </rcc>
    <rcc rId="0" sId="7" dxf="1">
      <nc r="O1">
        <f>N1/M1-1</f>
      </nc>
      <ndxf>
        <numFmt numFmtId="14" formatCode="0.00%"/>
      </ndxf>
    </rcc>
  </rrc>
  <rrc rId="37394" sId="7" ref="A1:XFD1" action="deleteRow">
    <undo index="0" exp="ref" ref3D="1" v="1" dr="C1" r="C129" sId="8"/>
    <undo index="0" exp="ref" ref3D="1" v="1" dr="B1" r="B129" sId="8"/>
    <undo index="0" exp="area" dr="N1:N8" r="N9" sId="7"/>
    <undo index="0" exp="area" dr="M1:M8" r="M9" sId="7"/>
    <undo index="0" exp="area" dr="F1:F8" r="F9" sId="7"/>
    <undo index="0" exp="area" dr="C1:C8" r="C9" sId="7"/>
    <undo index="0" exp="area" dr="B1:B8" r="B9" sId="7"/>
    <rfmt sheetId="7" xfDxf="1" sqref="A1:XFD1" start="0" length="0"/>
    <rcc rId="0" sId="7" dxf="1">
      <nc r="A1" t="inlineStr">
        <is>
          <t>Office on Human Rights</t>
        </is>
      </nc>
      <ndxf>
        <font>
          <sz val="10"/>
          <color auto="1"/>
          <name val="Arial"/>
          <scheme val="none"/>
        </font>
        <border outline="0">
          <left style="medium">
            <color indexed="64"/>
          </left>
        </border>
      </ndxf>
    </rcc>
    <rcc rId="0" sId="7" dxf="1" numFmtId="11">
      <nc r="B1">
        <v>3247</v>
      </nc>
      <ndxf>
        <font>
          <sz val="10"/>
          <color auto="1"/>
          <name val="Arial"/>
          <scheme val="none"/>
        </font>
        <numFmt numFmtId="10" formatCode="&quot;$&quot;#,##0_);[Red]\(&quot;$&quot;#,##0\)"/>
      </ndxf>
    </rcc>
    <rcc rId="0" sId="7" dxf="1" numFmtId="11">
      <nc r="C1">
        <v>3211</v>
      </nc>
      <ndxf>
        <font>
          <sz val="10"/>
          <color auto="1"/>
          <name val="Arial"/>
          <scheme val="none"/>
        </font>
        <numFmt numFmtId="10" formatCode="&quot;$&quot;#,##0_);[Red]\(&quot;$&quot;#,##0\)"/>
      </ndxf>
    </rcc>
    <rcc rId="0" sId="7" dxf="1">
      <nc r="D1">
        <f>C1-B1</f>
      </nc>
      <ndxf>
        <font>
          <sz val="10"/>
          <color auto="1"/>
          <name val="Arial"/>
          <scheme val="none"/>
        </font>
        <numFmt numFmtId="10" formatCode="&quot;$&quot;#,##0_);[Red]\(&quot;$&quot;#,##0\)"/>
      </ndxf>
    </rcc>
    <rcc rId="0" sId="7" s="1" dxf="1">
      <nc r="E1">
        <f>D1/B1</f>
      </nc>
      <ndxf>
        <font>
          <sz val="10"/>
          <color auto="1"/>
          <name val="Arial"/>
          <scheme val="none"/>
        </font>
        <numFmt numFmtId="13" formatCode="0%"/>
      </ndxf>
    </rcc>
    <rcc rId="0" sId="7" dxf="1" numFmtId="11">
      <nc r="F1">
        <v>2854</v>
      </nc>
      <ndxf>
        <font>
          <sz val="10"/>
          <color auto="1"/>
          <name val="Arial"/>
          <scheme val="none"/>
        </font>
        <numFmt numFmtId="10" formatCode="&quot;$&quot;#,##0_);[Red]\(&quot;$&quot;#,##0\)"/>
      </ndxf>
    </rcc>
    <rcc rId="0" sId="7" s="1" dxf="1">
      <nc r="G1">
        <f>F1-C1</f>
      </nc>
      <ndxf>
        <font>
          <sz val="10"/>
          <color auto="1"/>
          <name val="Arial"/>
          <scheme val="none"/>
        </font>
        <numFmt numFmtId="10" formatCode="&quot;$&quot;#,##0_);[Red]\(&quot;$&quot;#,##0\)"/>
      </ndxf>
    </rcc>
    <rcc rId="0" sId="7" dxf="1">
      <nc r="H1">
        <f>G1/C1</f>
      </nc>
      <ndxf>
        <font>
          <sz val="10"/>
          <color auto="1"/>
          <name val="Arial"/>
          <scheme val="none"/>
        </font>
        <numFmt numFmtId="13" formatCode="0%"/>
      </ndxf>
    </rcc>
    <rcc rId="0" sId="7" dxf="1" numFmtId="4">
      <nc r="I1">
        <v>2935</v>
      </nc>
      <ndxf>
        <numFmt numFmtId="3" formatCode="#,##0"/>
      </ndxf>
    </rcc>
    <rcc rId="0" sId="7" dxf="1">
      <nc r="J1">
        <f>I1/B1</f>
      </nc>
      <ndxf>
        <numFmt numFmtId="164" formatCode="0.0%"/>
      </ndxf>
    </rcc>
    <rcc rId="0" sId="7" dxf="1">
      <nc r="K1" t="inlineStr">
        <is>
          <t>*</t>
        </is>
      </nc>
      <ndxf>
        <font>
          <sz val="10"/>
          <color auto="1"/>
          <name val="Arial"/>
          <scheme val="none"/>
        </font>
      </ndxf>
    </rcc>
    <rcc rId="0" sId="7" dxf="1">
      <nc r="L1">
        <f>I1/C1</f>
      </nc>
      <ndxf>
        <numFmt numFmtId="164" formatCode="0.0%"/>
      </ndxf>
    </rcc>
    <rcc rId="0" sId="7">
      <nc r="M1">
        <v>2935</v>
      </nc>
    </rcc>
    <rcc rId="0" sId="7">
      <nc r="N1">
        <v>2477</v>
      </nc>
    </rcc>
    <rcc rId="0" sId="7" dxf="1">
      <nc r="O1">
        <f>N1/M1-1</f>
      </nc>
      <ndxf>
        <numFmt numFmtId="14" formatCode="0.00%"/>
      </ndxf>
    </rcc>
  </rrc>
  <rrc rId="37395" sId="7" ref="A1:XFD1" action="deleteRow">
    <undo index="0" exp="ref" ref3D="1" v="1" dr="C1" r="C130" sId="8"/>
    <undo index="0" exp="ref" ref3D="1" v="1" dr="B1" r="B130" sId="8"/>
    <undo index="0" exp="area" dr="N1:N7" r="N8" sId="7"/>
    <undo index="0" exp="area" dr="M1:M7" r="M8" sId="7"/>
    <undo index="0" exp="area" dr="F1:F7" r="F8" sId="7"/>
    <undo index="0" exp="area" dr="C1:C7" r="C8" sId="7"/>
    <undo index="0" exp="area" dr="B1:B7" r="B8" sId="7"/>
    <rfmt sheetId="7" xfDxf="1" sqref="A1:XFD1" start="0" length="0"/>
    <rcc rId="0" sId="7" dxf="1">
      <nc r="A1" t="inlineStr">
        <is>
          <t>Office of Latino Affairs</t>
        </is>
      </nc>
      <ndxf>
        <font>
          <sz val="10"/>
          <color auto="1"/>
          <name val="Arial"/>
          <scheme val="none"/>
        </font>
        <border outline="0">
          <left style="medium">
            <color indexed="64"/>
          </left>
        </border>
      </ndxf>
    </rcc>
    <rcc rId="0" sId="7" dxf="1" numFmtId="11">
      <nc r="B1">
        <v>4120</v>
      </nc>
      <ndxf>
        <font>
          <sz val="10"/>
          <color auto="1"/>
          <name val="Arial"/>
          <scheme val="none"/>
        </font>
        <numFmt numFmtId="10" formatCode="&quot;$&quot;#,##0_);[Red]\(&quot;$&quot;#,##0\)"/>
      </ndxf>
    </rcc>
    <rcc rId="0" sId="7" dxf="1" numFmtId="11">
      <nc r="C1">
        <v>4587</v>
      </nc>
      <ndxf>
        <font>
          <sz val="10"/>
          <color auto="1"/>
          <name val="Arial"/>
          <scheme val="none"/>
        </font>
        <numFmt numFmtId="10" formatCode="&quot;$&quot;#,##0_);[Red]\(&quot;$&quot;#,##0\)"/>
      </ndxf>
    </rcc>
    <rcc rId="0" sId="7" dxf="1">
      <nc r="D1">
        <f>C1-B1</f>
      </nc>
      <ndxf>
        <font>
          <sz val="10"/>
          <color auto="1"/>
          <name val="Arial"/>
          <scheme val="none"/>
        </font>
        <numFmt numFmtId="10" formatCode="&quot;$&quot;#,##0_);[Red]\(&quot;$&quot;#,##0\)"/>
      </ndxf>
    </rcc>
    <rcc rId="0" sId="7" s="1" dxf="1">
      <nc r="E1">
        <f>D1/B1</f>
      </nc>
      <ndxf>
        <font>
          <sz val="10"/>
          <color auto="1"/>
          <name val="Arial"/>
          <scheme val="none"/>
        </font>
        <numFmt numFmtId="13" formatCode="0%"/>
      </ndxf>
    </rcc>
    <rcc rId="0" sId="7" dxf="1" numFmtId="11">
      <nc r="F1">
        <v>4360</v>
      </nc>
      <ndxf>
        <font>
          <sz val="10"/>
          <color auto="1"/>
          <name val="Arial"/>
          <scheme val="none"/>
        </font>
        <numFmt numFmtId="10" formatCode="&quot;$&quot;#,##0_);[Red]\(&quot;$&quot;#,##0\)"/>
      </ndxf>
    </rcc>
    <rcc rId="0" sId="7" s="1" dxf="1">
      <nc r="G1">
        <f>F1-C1</f>
      </nc>
      <ndxf>
        <font>
          <sz val="10"/>
          <color auto="1"/>
          <name val="Arial"/>
          <scheme val="none"/>
        </font>
        <numFmt numFmtId="10" formatCode="&quot;$&quot;#,##0_);[Red]\(&quot;$&quot;#,##0\)"/>
      </ndxf>
    </rcc>
    <rcc rId="0" sId="7" dxf="1">
      <nc r="H1">
        <f>G1/C1</f>
      </nc>
      <ndxf>
        <font>
          <sz val="10"/>
          <color auto="1"/>
          <name val="Arial"/>
          <scheme val="none"/>
        </font>
        <numFmt numFmtId="13" formatCode="0%"/>
      </ndxf>
    </rcc>
    <rcc rId="0" sId="7" dxf="1" numFmtId="4">
      <nc r="I1">
        <v>4685</v>
      </nc>
      <ndxf>
        <numFmt numFmtId="3" formatCode="#,##0"/>
      </ndxf>
    </rcc>
    <rcc rId="0" sId="7" dxf="1">
      <nc r="J1">
        <f>I1/B1</f>
      </nc>
      <ndxf>
        <numFmt numFmtId="164" formatCode="0.0%"/>
      </ndxf>
    </rcc>
    <rcc rId="0" sId="7" dxf="1">
      <nc r="K1" t="inlineStr">
        <is>
          <t>*</t>
        </is>
      </nc>
      <ndxf>
        <font>
          <sz val="10"/>
          <color auto="1"/>
          <name val="Arial"/>
          <scheme val="none"/>
        </font>
      </ndxf>
    </rcc>
    <rcc rId="0" sId="7" dxf="1">
      <nc r="L1">
        <f>I1/C1</f>
      </nc>
      <ndxf>
        <numFmt numFmtId="164" formatCode="0.0%"/>
      </ndxf>
    </rcc>
    <rcc rId="0" sId="7">
      <nc r="M1">
        <v>4021</v>
      </nc>
    </rcc>
    <rcc rId="0" sId="7">
      <nc r="N1">
        <v>2300</v>
      </nc>
    </rcc>
    <rcc rId="0" sId="7" dxf="1">
      <nc r="O1">
        <f>N1/M1-1</f>
      </nc>
      <ndxf>
        <numFmt numFmtId="14" formatCode="0.00%"/>
      </ndxf>
    </rcc>
  </rrc>
  <rrc rId="37396" sId="7" ref="A1:XFD1" action="deleteRow">
    <undo index="0" exp="ref" ref3D="1" v="1" dr="C1" r="C131" sId="8"/>
    <undo index="0" exp="ref" ref3D="1" v="1" dr="B1" r="B131" sId="8"/>
    <undo index="0" exp="area" dr="N1:N6" r="N7" sId="7"/>
    <undo index="0" exp="area" dr="M1:M6" r="M7" sId="7"/>
    <undo index="0" exp="area" dr="F1:F6" r="F7" sId="7"/>
    <undo index="0" exp="area" dr="C1:C6" r="C7" sId="7"/>
    <undo index="0" exp="area" dr="B1:B6" r="B7" sId="7"/>
    <rfmt sheetId="7" xfDxf="1" sqref="A1:XFD1" start="0" length="0"/>
    <rcc rId="0" sId="7" dxf="1">
      <nc r="A1" t="inlineStr">
        <is>
          <t>Children and Youth Investment Collaborative</t>
        </is>
      </nc>
      <ndxf>
        <font>
          <sz val="10"/>
          <color auto="1"/>
          <name val="Arial"/>
          <scheme val="none"/>
        </font>
        <border outline="0">
          <left style="medium">
            <color indexed="64"/>
          </left>
        </border>
      </ndxf>
    </rcc>
    <rcc rId="0" sId="7" dxf="1" numFmtId="11">
      <nc r="B1">
        <v>20811</v>
      </nc>
      <ndxf>
        <font>
          <sz val="10"/>
          <color auto="1"/>
          <name val="Arial"/>
          <scheme val="none"/>
        </font>
        <numFmt numFmtId="10" formatCode="&quot;$&quot;#,##0_);[Red]\(&quot;$&quot;#,##0\)"/>
      </ndxf>
    </rcc>
    <rcc rId="0" sId="7" dxf="1" numFmtId="11">
      <nc r="C1">
        <v>18460</v>
      </nc>
      <ndxf>
        <font>
          <sz val="10"/>
          <color auto="1"/>
          <name val="Arial"/>
          <scheme val="none"/>
        </font>
        <numFmt numFmtId="10" formatCode="&quot;$&quot;#,##0_);[Red]\(&quot;$&quot;#,##0\)"/>
      </ndxf>
    </rcc>
    <rcc rId="0" sId="7" dxf="1">
      <nc r="D1">
        <f>C1-B1</f>
      </nc>
      <ndxf>
        <font>
          <sz val="10"/>
          <color auto="1"/>
          <name val="Arial"/>
          <scheme val="none"/>
        </font>
        <numFmt numFmtId="10" formatCode="&quot;$&quot;#,##0_);[Red]\(&quot;$&quot;#,##0\)"/>
      </ndxf>
    </rcc>
    <rcc rId="0" sId="7" s="1" dxf="1">
      <nc r="E1">
        <f>D1/B1</f>
      </nc>
      <ndxf>
        <font>
          <sz val="10"/>
          <color auto="1"/>
          <name val="Arial"/>
          <scheme val="none"/>
        </font>
        <numFmt numFmtId="13" formatCode="0%"/>
      </ndxf>
    </rcc>
    <rcc rId="0" sId="7" dxf="1" numFmtId="11">
      <nc r="F1">
        <v>9520</v>
      </nc>
      <ndxf>
        <font>
          <sz val="10"/>
          <color auto="1"/>
          <name val="Arial"/>
          <scheme val="none"/>
        </font>
        <numFmt numFmtId="10" formatCode="&quot;$&quot;#,##0_);[Red]\(&quot;$&quot;#,##0\)"/>
      </ndxf>
    </rcc>
    <rcc rId="0" sId="7" s="1" dxf="1">
      <nc r="G1">
        <f>F1-C1</f>
      </nc>
      <ndxf>
        <font>
          <sz val="10"/>
          <color auto="1"/>
          <name val="Arial"/>
          <scheme val="none"/>
        </font>
        <numFmt numFmtId="10" formatCode="&quot;$&quot;#,##0_);[Red]\(&quot;$&quot;#,##0\)"/>
      </ndxf>
    </rcc>
    <rcc rId="0" sId="7" dxf="1">
      <nc r="H1">
        <f>G1/C1</f>
      </nc>
      <ndxf>
        <font>
          <sz val="10"/>
          <color auto="1"/>
          <name val="Arial"/>
          <scheme val="none"/>
        </font>
        <numFmt numFmtId="13" formatCode="0%"/>
      </ndxf>
    </rcc>
    <rcc rId="0" sId="7" dxf="1" numFmtId="4">
      <nc r="I1">
        <v>13665</v>
      </nc>
      <ndxf>
        <numFmt numFmtId="3" formatCode="#,##0"/>
      </ndxf>
    </rcc>
    <rcc rId="0" sId="7" dxf="1">
      <nc r="J1">
        <f>I1/B1</f>
      </nc>
      <ndxf>
        <numFmt numFmtId="164" formatCode="0.0%"/>
      </ndxf>
    </rcc>
    <rcc rId="0" sId="7" dxf="1">
      <nc r="K1" t="inlineStr">
        <is>
          <t>**</t>
        </is>
      </nc>
      <ndxf>
        <font>
          <sz val="10"/>
          <color auto="1"/>
          <name val="Arial"/>
          <scheme val="none"/>
        </font>
      </ndxf>
    </rcc>
    <rcc rId="0" sId="7" dxf="1">
      <nc r="L1">
        <f>I1/C1</f>
      </nc>
      <ndxf>
        <numFmt numFmtId="164" formatCode="0.0%"/>
      </ndxf>
    </rcc>
    <rcc rId="0" sId="7">
      <nc r="M1">
        <v>10602</v>
      </nc>
    </rcc>
    <rcc rId="0" sId="7">
      <nc r="N1">
        <v>7200</v>
      </nc>
    </rcc>
    <rcc rId="0" sId="7" dxf="1">
      <nc r="O1">
        <f>N1/M1-1</f>
      </nc>
      <ndxf>
        <numFmt numFmtId="14" formatCode="0.00%"/>
      </ndxf>
    </rcc>
  </rrc>
  <rrc rId="37397" sId="7" ref="A1:XFD1" action="deleteRow">
    <undo index="0" exp="ref" ref3D="1" v="1" dr="C1" r="C132" sId="8"/>
    <undo index="0" exp="ref" ref3D="1" v="1" dr="B1" r="B132" sId="8"/>
    <undo index="0" exp="area" dr="N1:N5" r="N6" sId="7"/>
    <undo index="0" exp="area" dr="M1:M5" r="M6" sId="7"/>
    <undo index="0" exp="area" dr="F1:F5" r="F6" sId="7"/>
    <undo index="0" exp="area" dr="C1:C5" r="C6" sId="7"/>
    <undo index="0" exp="area" dr="B1:B5" r="B6" sId="7"/>
    <rfmt sheetId="7" xfDxf="1" sqref="A1:XFD1" start="0" length="0"/>
    <rcc rId="0" sId="7" dxf="1">
      <nc r="A1" t="inlineStr">
        <is>
          <t>Asian and Pacific Islander Affairs</t>
        </is>
      </nc>
      <ndxf>
        <font>
          <sz val="10"/>
          <color auto="1"/>
          <name val="Arial"/>
          <scheme val="none"/>
        </font>
        <border outline="0">
          <left style="medium">
            <color indexed="64"/>
          </left>
        </border>
      </ndxf>
    </rcc>
    <rcc rId="0" sId="7" dxf="1" numFmtId="11">
      <nc r="B1">
        <v>940</v>
      </nc>
      <ndxf>
        <font>
          <sz val="10"/>
          <color auto="1"/>
          <name val="Arial"/>
          <scheme val="none"/>
        </font>
        <numFmt numFmtId="10" formatCode="&quot;$&quot;#,##0_);[Red]\(&quot;$&quot;#,##0\)"/>
      </ndxf>
    </rcc>
    <rcc rId="0" sId="7" dxf="1" numFmtId="11">
      <nc r="C1">
        <v>965</v>
      </nc>
      <ndxf>
        <font>
          <sz val="10"/>
          <color auto="1"/>
          <name val="Arial"/>
          <scheme val="none"/>
        </font>
        <numFmt numFmtId="10" formatCode="&quot;$&quot;#,##0_);[Red]\(&quot;$&quot;#,##0\)"/>
      </ndxf>
    </rcc>
    <rcc rId="0" sId="7" dxf="1">
      <nc r="D1">
        <f>C1-B1</f>
      </nc>
      <ndxf>
        <font>
          <sz val="10"/>
          <color auto="1"/>
          <name val="Arial"/>
          <scheme val="none"/>
        </font>
        <numFmt numFmtId="10" formatCode="&quot;$&quot;#,##0_);[Red]\(&quot;$&quot;#,##0\)"/>
      </ndxf>
    </rcc>
    <rcc rId="0" sId="7" s="1" dxf="1">
      <nc r="E1">
        <f>D1/B1</f>
      </nc>
      <ndxf>
        <font>
          <sz val="10"/>
          <color auto="1"/>
          <name val="Arial"/>
          <scheme val="none"/>
        </font>
        <numFmt numFmtId="13" formatCode="0%"/>
      </ndxf>
    </rcc>
    <rcc rId="0" sId="7" dxf="1" numFmtId="11">
      <nc r="F1">
        <v>0</v>
      </nc>
      <ndxf>
        <font>
          <sz val="10"/>
          <color auto="1"/>
          <name val="Arial"/>
          <scheme val="none"/>
        </font>
        <numFmt numFmtId="10" formatCode="&quot;$&quot;#,##0_);[Red]\(&quot;$&quot;#,##0\)"/>
      </ndxf>
    </rcc>
    <rcc rId="0" sId="7" s="1" dxf="1">
      <nc r="G1">
        <f>F1-C1</f>
      </nc>
      <ndxf>
        <font>
          <sz val="10"/>
          <color auto="1"/>
          <name val="Arial"/>
          <scheme val="none"/>
        </font>
        <numFmt numFmtId="10" formatCode="&quot;$&quot;#,##0_);[Red]\(&quot;$&quot;#,##0\)"/>
      </ndxf>
    </rcc>
    <rcc rId="0" sId="7" dxf="1">
      <nc r="H1">
        <f>G1/C1</f>
      </nc>
      <ndxf>
        <font>
          <sz val="10"/>
          <color auto="1"/>
          <name val="Arial"/>
          <scheme val="none"/>
        </font>
        <numFmt numFmtId="13" formatCode="0%"/>
      </ndxf>
    </rcc>
    <rcc rId="0" sId="7" dxf="1" numFmtId="4">
      <nc r="I1">
        <v>1065</v>
      </nc>
      <ndxf>
        <numFmt numFmtId="3" formatCode="#,##0"/>
      </ndxf>
    </rcc>
    <rcc rId="0" sId="7" dxf="1">
      <nc r="J1">
        <f>I1/B1</f>
      </nc>
      <ndxf>
        <numFmt numFmtId="164" formatCode="0.0%"/>
      </ndxf>
    </rcc>
    <rcc rId="0" sId="7" dxf="1">
      <nc r="K1" t="inlineStr">
        <is>
          <t>*</t>
        </is>
      </nc>
      <ndxf>
        <font>
          <sz val="10"/>
          <color auto="1"/>
          <name val="Arial"/>
          <scheme val="none"/>
        </font>
      </ndxf>
    </rcc>
    <rcc rId="0" sId="7" dxf="1">
      <nc r="L1">
        <f>I1/C1</f>
      </nc>
      <ndxf>
        <numFmt numFmtId="164" formatCode="0.0%"/>
      </ndxf>
    </rcc>
    <rcc rId="0" sId="7">
      <nc r="M1">
        <v>965</v>
      </nc>
    </rcc>
    <rcc rId="0" sId="7">
      <nc r="N1">
        <v>815</v>
      </nc>
    </rcc>
    <rcc rId="0" sId="7" dxf="1">
      <nc r="O1">
        <f>N1/M1-1</f>
      </nc>
      <ndxf>
        <numFmt numFmtId="14" formatCode="0.00%"/>
      </ndxf>
    </rcc>
  </rrc>
  <rrc rId="37398" sId="7" ref="A1:XFD1" action="deleteRow">
    <undo index="0" exp="ref" ref3D="1" v="1" dr="C1" r="C133" sId="8"/>
    <undo index="0" exp="ref" ref3D="1" v="1" dr="B1" r="B133" sId="8"/>
    <undo index="0" exp="area" dr="N1:N4" r="N5" sId="7"/>
    <undo index="0" exp="area" dr="M1:M4" r="M5" sId="7"/>
    <undo index="0" exp="area" dr="F1:F4" r="F5" sId="7"/>
    <undo index="0" exp="area" dr="C1:C4" r="C5" sId="7"/>
    <undo index="0" exp="area" dr="B1:B4" r="B5" sId="7"/>
    <rfmt sheetId="7" xfDxf="1" sqref="A1:XFD1" start="0" length="0"/>
    <rcc rId="0" sId="7" dxf="1">
      <nc r="A1" t="inlineStr">
        <is>
          <t>Office of Veterans Affairs</t>
        </is>
      </nc>
      <ndxf>
        <font>
          <sz val="10"/>
          <color auto="1"/>
          <name val="Arial"/>
          <scheme val="none"/>
        </font>
        <border outline="0">
          <left style="medium">
            <color indexed="64"/>
          </left>
        </border>
      </ndxf>
    </rcc>
    <rcc rId="0" sId="7" dxf="1" numFmtId="11">
      <nc r="B1">
        <v>295</v>
      </nc>
      <ndxf>
        <font>
          <sz val="10"/>
          <color auto="1"/>
          <name val="Arial"/>
          <scheme val="none"/>
        </font>
        <numFmt numFmtId="10" formatCode="&quot;$&quot;#,##0_);[Red]\(&quot;$&quot;#,##0\)"/>
      </ndxf>
    </rcc>
    <rcc rId="0" sId="7" dxf="1" numFmtId="11">
      <nc r="C1">
        <v>462</v>
      </nc>
      <ndxf>
        <font>
          <sz val="10"/>
          <color auto="1"/>
          <name val="Arial"/>
          <scheme val="none"/>
        </font>
        <numFmt numFmtId="10" formatCode="&quot;$&quot;#,##0_);[Red]\(&quot;$&quot;#,##0\)"/>
      </ndxf>
    </rcc>
    <rcc rId="0" sId="7" dxf="1">
      <nc r="D1">
        <f>C1-B1</f>
      </nc>
      <ndxf>
        <font>
          <sz val="10"/>
          <color auto="1"/>
          <name val="Arial"/>
          <scheme val="none"/>
        </font>
        <numFmt numFmtId="10" formatCode="&quot;$&quot;#,##0_);[Red]\(&quot;$&quot;#,##0\)"/>
      </ndxf>
    </rcc>
    <rcc rId="0" sId="7" s="1" dxf="1">
      <nc r="E1">
        <f>D1/B1</f>
      </nc>
      <ndxf>
        <font>
          <sz val="10"/>
          <color auto="1"/>
          <name val="Arial"/>
          <scheme val="none"/>
        </font>
        <numFmt numFmtId="13" formatCode="0%"/>
      </ndxf>
    </rcc>
    <rcc rId="0" sId="7" dxf="1" numFmtId="11">
      <nc r="F1">
        <v>0</v>
      </nc>
      <ndxf>
        <font>
          <sz val="10"/>
          <color auto="1"/>
          <name val="Arial"/>
          <scheme val="none"/>
        </font>
        <numFmt numFmtId="10" formatCode="&quot;$&quot;#,##0_);[Red]\(&quot;$&quot;#,##0\)"/>
      </ndxf>
    </rcc>
    <rcc rId="0" sId="7" s="1" dxf="1">
      <nc r="G1">
        <f>F1-C1</f>
      </nc>
      <ndxf>
        <font>
          <sz val="10"/>
          <color auto="1"/>
          <name val="Arial"/>
          <scheme val="none"/>
        </font>
        <numFmt numFmtId="10" formatCode="&quot;$&quot;#,##0_);[Red]\(&quot;$&quot;#,##0\)"/>
      </ndxf>
    </rcc>
    <rcc rId="0" sId="7" dxf="1">
      <nc r="H1">
        <f>G1/C1</f>
      </nc>
      <ndxf>
        <font>
          <sz val="10"/>
          <color auto="1"/>
          <name val="Arial"/>
          <scheme val="none"/>
        </font>
        <numFmt numFmtId="13" formatCode="0%"/>
      </ndxf>
    </rcc>
    <rcc rId="0" sId="7" dxf="1" numFmtId="4">
      <nc r="I1">
        <v>463</v>
      </nc>
      <ndxf>
        <numFmt numFmtId="3" formatCode="#,##0"/>
      </ndxf>
    </rcc>
    <rcc rId="0" sId="7" dxf="1">
      <nc r="J1">
        <f>I1/B1</f>
      </nc>
      <ndxf>
        <numFmt numFmtId="164" formatCode="0.0%"/>
      </ndxf>
    </rcc>
    <rcc rId="0" sId="7" dxf="1">
      <nc r="K1" t="inlineStr">
        <is>
          <t>***</t>
        </is>
      </nc>
      <ndxf>
        <font>
          <sz val="10"/>
          <color auto="1"/>
          <name val="Arial"/>
          <scheme val="none"/>
        </font>
      </ndxf>
    </rcc>
    <rcc rId="0" sId="7" dxf="1">
      <nc r="L1">
        <f>I1/C1</f>
      </nc>
      <ndxf>
        <numFmt numFmtId="164" formatCode="0.0%"/>
      </ndxf>
    </rcc>
    <rcc rId="0" sId="7">
      <nc r="M1">
        <v>463</v>
      </nc>
    </rcc>
    <rcc rId="0" sId="7">
      <nc r="N1">
        <v>392</v>
      </nc>
    </rcc>
    <rcc rId="0" sId="7" dxf="1">
      <nc r="O1">
        <f>N1/M1-1</f>
      </nc>
      <ndxf>
        <numFmt numFmtId="14" formatCode="0.00%"/>
      </ndxf>
    </rcc>
  </rrc>
  <rrc rId="37399" sId="7" ref="A1:XFD1" action="deleteRow">
    <undo index="0" exp="ref" ref3D="1" v="1" dr="C1" r="C134" sId="8"/>
    <undo index="0" exp="ref" ref3D="1" v="1" dr="B1" r="B134" sId="8"/>
    <undo index="0" exp="area" dr="N1:N3" r="N4" sId="7"/>
    <undo index="0" exp="area" dr="M1:M3" r="M4" sId="7"/>
    <undo index="0" exp="area" dr="F1:F3" r="F4" sId="7"/>
    <undo index="0" exp="area" dr="C1:C3" r="C4" sId="7"/>
    <undo index="0" exp="area" dr="B1:B3" r="B4" sId="7"/>
    <rfmt sheetId="7" xfDxf="1" sqref="A1:XFD1" start="0" length="0"/>
    <rcc rId="0" sId="7" dxf="1">
      <nc r="A1" t="inlineStr">
        <is>
          <t>Department of Youth Rehabilitation Services****</t>
        </is>
      </nc>
      <ndxf>
        <font>
          <sz val="10"/>
          <color auto="1"/>
          <name val="Arial"/>
          <scheme val="none"/>
        </font>
      </ndxf>
    </rcc>
    <rcc rId="0" sId="7" dxf="1" numFmtId="11">
      <nc r="B1">
        <v>84463</v>
      </nc>
      <ndxf>
        <font>
          <sz val="10"/>
          <color auto="1"/>
          <name val="Arial"/>
          <scheme val="none"/>
        </font>
        <numFmt numFmtId="10" formatCode="&quot;$&quot;#,##0_);[Red]\(&quot;$&quot;#,##0\)"/>
      </ndxf>
    </rcc>
    <rcc rId="0" sId="7" dxf="1" numFmtId="11">
      <nc r="C1">
        <v>81143</v>
      </nc>
      <ndxf>
        <font>
          <sz val="10"/>
          <color auto="1"/>
          <name val="Arial"/>
          <scheme val="none"/>
        </font>
        <numFmt numFmtId="10" formatCode="&quot;$&quot;#,##0_);[Red]\(&quot;$&quot;#,##0\)"/>
      </ndxf>
    </rcc>
    <rcc rId="0" sId="7" dxf="1">
      <nc r="D1">
        <f>C1-B1</f>
      </nc>
      <ndxf>
        <font>
          <sz val="10"/>
          <color auto="1"/>
          <name val="Arial"/>
          <scheme val="none"/>
        </font>
        <numFmt numFmtId="10" formatCode="&quot;$&quot;#,##0_);[Red]\(&quot;$&quot;#,##0\)"/>
      </ndxf>
    </rcc>
    <rcc rId="0" sId="7" s="1" dxf="1">
      <nc r="E1">
        <f>D1/B1</f>
      </nc>
      <ndxf>
        <font>
          <sz val="10"/>
          <color auto="1"/>
          <name val="Arial"/>
          <scheme val="none"/>
        </font>
        <numFmt numFmtId="13" formatCode="0%"/>
      </ndxf>
    </rcc>
    <rcc rId="0" sId="7" dxf="1" numFmtId="11">
      <nc r="F1">
        <v>88377</v>
      </nc>
      <ndxf>
        <font>
          <sz val="10"/>
          <color auto="1"/>
          <name val="Arial"/>
          <scheme val="none"/>
        </font>
        <numFmt numFmtId="10" formatCode="&quot;$&quot;#,##0_);[Red]\(&quot;$&quot;#,##0\)"/>
      </ndxf>
    </rcc>
    <rcc rId="0" sId="7" s="1" dxf="1">
      <nc r="G1">
        <f>F1-C1</f>
      </nc>
      <ndxf>
        <font>
          <sz val="10"/>
          <color auto="1"/>
          <name val="Arial"/>
          <scheme val="none"/>
        </font>
        <numFmt numFmtId="10" formatCode="&quot;$&quot;#,##0_);[Red]\(&quot;$&quot;#,##0\)"/>
      </ndxf>
    </rcc>
    <rcc rId="0" sId="7" dxf="1">
      <nc r="H1">
        <f>G1/C1</f>
      </nc>
      <ndxf>
        <font>
          <sz val="10"/>
          <color auto="1"/>
          <name val="Arial"/>
          <scheme val="none"/>
        </font>
        <numFmt numFmtId="13" formatCode="0%"/>
      </ndxf>
    </rcc>
    <rcc rId="0" sId="7" dxf="1" numFmtId="4">
      <nc r="I1">
        <v>88717</v>
      </nc>
      <ndxf>
        <numFmt numFmtId="3" formatCode="#,##0"/>
      </ndxf>
    </rcc>
    <rcc rId="0" sId="7" dxf="1">
      <nc r="J1">
        <f>I1/B1</f>
      </nc>
      <ndxf>
        <numFmt numFmtId="164" formatCode="0.0%"/>
      </ndxf>
    </rcc>
    <rcc rId="0" sId="7" dxf="1">
      <nc r="K1" t="inlineStr">
        <is>
          <t>*</t>
        </is>
      </nc>
      <ndxf>
        <font>
          <sz val="10"/>
          <color auto="1"/>
          <name val="Arial"/>
          <scheme val="none"/>
        </font>
      </ndxf>
    </rcc>
    <rcc rId="0" sId="7" dxf="1">
      <nc r="L1">
        <f>I1/C1</f>
      </nc>
      <ndxf>
        <numFmt numFmtId="164" formatCode="0.0%"/>
      </ndxf>
    </rcc>
    <rcc rId="0" sId="7">
      <nc r="M1">
        <v>89356</v>
      </nc>
    </rcc>
    <rcc rId="0" sId="7">
      <nc r="N1">
        <v>91089</v>
      </nc>
    </rcc>
    <rcc rId="0" sId="7" dxf="1">
      <nc r="O1">
        <f>N1/M1-1</f>
      </nc>
      <ndxf>
        <numFmt numFmtId="14" formatCode="0.00%"/>
      </ndxf>
    </rcc>
  </rrc>
  <rrc rId="37400" sId="7" ref="A1:XFD1" action="deleteRow">
    <undo index="0" exp="ref" ref3D="1" v="1" dr="C1" r="C135" sId="8"/>
    <undo index="0" exp="ref" ref3D="1" v="1" dr="B1" r="B135" sId="8"/>
    <undo index="0" exp="area" dr="N1:N2" r="N3" sId="7"/>
    <undo index="0" exp="area" dr="M1:M2" r="M3" sId="7"/>
    <undo index="0" exp="area" dr="F1:F2" r="F3" sId="7"/>
    <undo index="0" exp="area" dr="C1:C2" r="C3" sId="7"/>
    <undo index="0" exp="area" dr="B1:B2" r="B3" sId="7"/>
    <rfmt sheetId="7" xfDxf="1" sqref="A1:XFD1" start="0" length="0"/>
    <rcc rId="0" sId="7" dxf="1">
      <nc r="A1" t="inlineStr">
        <is>
          <t>Department of Disability Services*****</t>
        </is>
      </nc>
      <ndxf>
        <font>
          <sz val="10"/>
          <color auto="1"/>
          <name val="Arial"/>
          <scheme val="none"/>
        </font>
      </ndxf>
    </rcc>
    <rcc rId="0" sId="7" dxf="1" numFmtId="11">
      <nc r="B1">
        <v>107944</v>
      </nc>
      <ndxf>
        <font>
          <sz val="10"/>
          <color auto="1"/>
          <name val="Arial"/>
          <scheme val="none"/>
        </font>
        <numFmt numFmtId="10" formatCode="&quot;$&quot;#,##0_);[Red]\(&quot;$&quot;#,##0\)"/>
      </ndxf>
    </rcc>
    <rcc rId="0" sId="7" dxf="1" numFmtId="11">
      <nc r="C1">
        <v>120955</v>
      </nc>
      <ndxf>
        <font>
          <sz val="10"/>
          <color auto="1"/>
          <name val="Arial"/>
          <scheme val="none"/>
        </font>
        <numFmt numFmtId="10" formatCode="&quot;$&quot;#,##0_);[Red]\(&quot;$&quot;#,##0\)"/>
      </ndxf>
    </rcc>
    <rcc rId="0" sId="7" dxf="1">
      <nc r="D1">
        <f>C1-B1</f>
      </nc>
      <ndxf>
        <font>
          <sz val="10"/>
          <color auto="1"/>
          <name val="Arial"/>
          <scheme val="none"/>
        </font>
        <numFmt numFmtId="10" formatCode="&quot;$&quot;#,##0_);[Red]\(&quot;$&quot;#,##0\)"/>
      </ndxf>
    </rcc>
    <rcc rId="0" sId="7" s="1" dxf="1">
      <nc r="E1">
        <f>D1/B1</f>
      </nc>
      <ndxf>
        <font>
          <sz val="10"/>
          <color auto="1"/>
          <name val="Arial"/>
          <scheme val="none"/>
        </font>
        <numFmt numFmtId="13" formatCode="0%"/>
      </ndxf>
    </rcc>
    <rcc rId="0" sId="7" dxf="1" numFmtId="11">
      <nc r="F1">
        <v>99663</v>
      </nc>
      <ndxf>
        <font>
          <sz val="10"/>
          <color auto="1"/>
          <name val="Arial"/>
          <scheme val="none"/>
        </font>
        <numFmt numFmtId="10" formatCode="&quot;$&quot;#,##0_);[Red]\(&quot;$&quot;#,##0\)"/>
      </ndxf>
    </rcc>
    <rcc rId="0" sId="7" s="1" dxf="1">
      <nc r="G1">
        <f>F1-C1</f>
      </nc>
      <ndxf>
        <font>
          <sz val="10"/>
          <color auto="1"/>
          <name val="Arial"/>
          <scheme val="none"/>
        </font>
        <numFmt numFmtId="10" formatCode="&quot;$&quot;#,##0_);[Red]\(&quot;$&quot;#,##0\)"/>
      </ndxf>
    </rcc>
    <rcc rId="0" sId="7" dxf="1">
      <nc r="H1">
        <f>G1/C1</f>
      </nc>
      <ndxf>
        <font>
          <sz val="10"/>
          <color auto="1"/>
          <name val="Arial"/>
          <scheme val="none"/>
        </font>
        <numFmt numFmtId="13" formatCode="0%"/>
      </ndxf>
    </rcc>
    <rcc rId="0" sId="7" dxf="1" numFmtId="4">
      <nc r="I1">
        <v>99763</v>
      </nc>
      <ndxf>
        <numFmt numFmtId="3" formatCode="#,##0"/>
      </ndxf>
    </rcc>
    <rcc rId="0" sId="7" dxf="1">
      <nc r="J1">
        <f>I1/B1</f>
      </nc>
      <ndxf>
        <numFmt numFmtId="164" formatCode="0.0%"/>
      </ndxf>
    </rcc>
    <rcc rId="0" sId="7" dxf="1">
      <nc r="K1" t="inlineStr">
        <is>
          <t>*</t>
        </is>
      </nc>
      <ndxf>
        <font>
          <sz val="10"/>
          <color auto="1"/>
          <name val="Arial"/>
          <scheme val="none"/>
        </font>
      </ndxf>
    </rcc>
    <rcc rId="0" sId="7" dxf="1">
      <nc r="L1">
        <f>I1/C1</f>
      </nc>
      <ndxf>
        <numFmt numFmtId="164" formatCode="0.0%"/>
      </ndxf>
    </rcc>
    <rcc rId="0" sId="7">
      <nc r="M1">
        <v>95130</v>
      </nc>
    </rcc>
    <rcc rId="0" sId="7">
      <nc r="N1">
        <v>91966</v>
      </nc>
    </rcc>
    <rcc rId="0" sId="7" dxf="1">
      <nc r="O1">
        <f>N1/M1-1</f>
      </nc>
      <ndxf>
        <numFmt numFmtId="14" formatCode="0.00%"/>
      </ndxf>
    </rcc>
  </rrc>
  <rrc rId="37401" sId="7" ref="A1:XFD1" action="deleteRow">
    <undo index="0" exp="ref" ref3D="1" v="1" dr="C1" r="C136" sId="8"/>
    <undo index="0" exp="ref" ref3D="1" v="1" dr="B1" r="B136" sId="8"/>
    <undo index="0" exp="area" dr="N1" r="N2" sId="7"/>
    <undo index="0" exp="area" dr="M1" r="M2" sId="7"/>
    <undo index="0" exp="area" dr="F1" r="F2" sId="7"/>
    <undo index="0" exp="area" dr="C1" r="C2" sId="7"/>
    <undo index="0" exp="area" dr="B1" r="B2" sId="7"/>
    <rfmt sheetId="7" xfDxf="1" sqref="A1:XFD1" start="0" length="0">
      <dxf>
        <border outline="0">
          <bottom style="medium">
            <color indexed="64"/>
          </bottom>
        </border>
      </dxf>
    </rfmt>
    <rcc rId="0" sId="7" dxf="1">
      <nc r="A1" t="inlineStr">
        <is>
          <t>Department of Health Care Finance**</t>
        </is>
      </nc>
      <ndxf>
        <font>
          <sz val="10"/>
          <color auto="1"/>
          <name val="Arial"/>
          <scheme val="none"/>
        </font>
      </ndxf>
    </rcc>
    <rcc rId="0" sId="7" dxf="1" numFmtId="11">
      <nc r="B1">
        <v>0</v>
      </nc>
      <ndxf>
        <font>
          <sz val="10"/>
          <color auto="1"/>
          <name val="Arial"/>
          <scheme val="none"/>
        </font>
        <numFmt numFmtId="10" formatCode="&quot;$&quot;#,##0_);[Red]\(&quot;$&quot;#,##0\)"/>
      </ndxf>
    </rcc>
    <rcc rId="0" sId="7" dxf="1" numFmtId="11">
      <nc r="C1">
        <v>1822619</v>
      </nc>
      <ndxf>
        <font>
          <sz val="10"/>
          <color auto="1"/>
          <name val="Arial"/>
          <scheme val="none"/>
        </font>
        <numFmt numFmtId="10" formatCode="&quot;$&quot;#,##0_);[Red]\(&quot;$&quot;#,##0\)"/>
      </ndxf>
    </rcc>
    <rcc rId="0" sId="7" dxf="1">
      <nc r="D1">
        <f>C1-B1</f>
      </nc>
      <ndxf>
        <font>
          <sz val="10"/>
          <color auto="1"/>
          <name val="Arial"/>
          <scheme val="none"/>
        </font>
        <numFmt numFmtId="10" formatCode="&quot;$&quot;#,##0_);[Red]\(&quot;$&quot;#,##0\)"/>
      </ndxf>
    </rcc>
    <rcc rId="0" sId="7" dxf="1">
      <nc r="E1" t="inlineStr">
        <is>
          <t>—</t>
        </is>
      </nc>
      <ndxf>
        <font>
          <sz val="10"/>
          <color auto="1"/>
          <name val="Arial"/>
          <scheme val="none"/>
        </font>
        <numFmt numFmtId="164" formatCode="0.0%"/>
        <alignment horizontal="right" vertical="top" readingOrder="0"/>
      </ndxf>
    </rcc>
    <rcc rId="0" sId="7" dxf="1" numFmtId="11">
      <nc r="F1">
        <v>2056710</v>
      </nc>
      <ndxf>
        <font>
          <sz val="10"/>
          <color auto="1"/>
          <name val="Arial"/>
          <scheme val="none"/>
        </font>
        <numFmt numFmtId="10" formatCode="&quot;$&quot;#,##0_);[Red]\(&quot;$&quot;#,##0\)"/>
      </ndxf>
    </rcc>
    <rcc rId="0" sId="7" s="1" dxf="1">
      <nc r="G1">
        <f>F1-C1</f>
      </nc>
      <ndxf>
        <font>
          <sz val="10"/>
          <color auto="1"/>
          <name val="Arial"/>
          <scheme val="none"/>
        </font>
        <numFmt numFmtId="10" formatCode="&quot;$&quot;#,##0_);[Red]\(&quot;$&quot;#,##0\)"/>
      </ndxf>
    </rcc>
    <rcc rId="0" sId="7" dxf="1">
      <nc r="H1">
        <f>G1/C1</f>
      </nc>
      <ndxf>
        <font>
          <sz val="10"/>
          <color auto="1"/>
          <name val="Arial"/>
          <scheme val="none"/>
        </font>
        <numFmt numFmtId="13" formatCode="0%"/>
      </ndxf>
    </rcc>
    <rcc rId="0" sId="7" dxf="1" numFmtId="4">
      <nc r="I1">
        <v>2083216</v>
      </nc>
      <ndxf>
        <numFmt numFmtId="3" formatCode="#,##0"/>
      </ndxf>
    </rcc>
    <rcc rId="0" sId="7" dxf="1">
      <nc r="J1">
        <f>I1/B1</f>
      </nc>
      <ndxf/>
    </rcc>
    <rcc rId="0" sId="7" dxf="1">
      <nc r="L1">
        <f>I1/C1</f>
      </nc>
      <ndxf>
        <numFmt numFmtId="164" formatCode="0.0%"/>
      </ndxf>
    </rcc>
    <rcc rId="0" sId="7">
      <nc r="M1">
        <v>2075214</v>
      </nc>
    </rcc>
    <rcc rId="0" sId="7">
      <nc r="N1">
        <v>2179125</v>
      </nc>
    </rcc>
    <rcc rId="0" sId="7" dxf="1">
      <nc r="O1">
        <f>N1/M1-1</f>
      </nc>
      <ndxf>
        <numFmt numFmtId="14" formatCode="0.00%"/>
        <border outline="0">
          <bottom/>
        </border>
      </ndxf>
    </rcc>
  </rrc>
  <rrc rId="37402" sId="7" ref="A1:XFD1" action="deleteRow">
    <undo index="3" exp="ref" v="1" dr="N1" r="N54" sId="7"/>
    <undo index="3" exp="ref" v="1" dr="M1" r="M54" sId="7"/>
    <undo index="2" exp="ref" dr="G1" r="G54" sId="7"/>
    <undo index="2" exp="ref" dr="F1" r="F54" sId="7"/>
    <undo index="2" exp="ref" dr="D1" r="D54" sId="7"/>
    <undo index="2" exp="ref" dr="C1" r="C54" sId="7"/>
    <undo index="2" exp="ref" dr="B1" r="B54" sId="7"/>
    <rfmt sheetId="7" xfDxf="1" sqref="A1:XFD1" start="0" length="0">
      <dxf>
        <font>
          <b/>
        </font>
      </dxf>
    </rfmt>
    <rcc rId="0" sId="7" dxf="1">
      <nc r="A1" t="inlineStr">
        <is>
          <t>Subtotal: Human Support Services</t>
        </is>
      </nc>
      <ndxf/>
    </rcc>
    <rcc rId="0" sId="7" dxf="1">
      <nc r="B1">
        <f>SUM(#REF!)</f>
      </nc>
      <ndxf>
        <numFmt numFmtId="10" formatCode="&quot;$&quot;#,##0_);[Red]\(&quot;$&quot;#,##0\)"/>
      </ndxf>
    </rcc>
    <rcc rId="0" sId="7" dxf="1">
      <nc r="C1">
        <f>SUM(#REF!)</f>
      </nc>
      <ndxf>
        <numFmt numFmtId="10" formatCode="&quot;$&quot;#,##0_);[Red]\(&quot;$&quot;#,##0\)"/>
      </ndxf>
    </rcc>
    <rcc rId="0" sId="7" dxf="1">
      <nc r="D1">
        <f>C1-B1</f>
      </nc>
      <ndxf>
        <numFmt numFmtId="10" formatCode="&quot;$&quot;#,##0_);[Red]\(&quot;$&quot;#,##0\)"/>
      </ndxf>
    </rcc>
    <rcc rId="0" sId="7" s="1" dxf="1">
      <nc r="E1">
        <f>D1/B1</f>
      </nc>
      <ndxf>
        <numFmt numFmtId="13" formatCode="0%"/>
      </ndxf>
    </rcc>
    <rcc rId="0" sId="7" dxf="1">
      <nc r="F1">
        <f>SUM(#REF!)</f>
      </nc>
      <ndxf>
        <numFmt numFmtId="10" formatCode="&quot;$&quot;#,##0_);[Red]\(&quot;$&quot;#,##0\)"/>
      </ndxf>
    </rcc>
    <rcc rId="0" sId="7" s="1" dxf="1">
      <nc r="G1">
        <f>F1-C1</f>
      </nc>
      <ndxf>
        <numFmt numFmtId="10" formatCode="&quot;$&quot;#,##0_);[Red]\(&quot;$&quot;#,##0\)"/>
      </ndxf>
    </rcc>
    <rcc rId="0" sId="7" dxf="1">
      <nc r="H1">
        <f>G1/C1</f>
      </nc>
      <ndxf>
        <numFmt numFmtId="13" formatCode="0%"/>
      </ndxf>
    </rcc>
    <rcc rId="0" sId="7" dxf="1" numFmtId="4">
      <nc r="I1">
        <v>3492288</v>
      </nc>
      <ndxf>
        <numFmt numFmtId="3" formatCode="#,##0"/>
      </ndxf>
    </rcc>
    <rcc rId="0" sId="7" dxf="1">
      <nc r="J1">
        <f>I1/B1</f>
      </nc>
      <ndxf>
        <numFmt numFmtId="164" formatCode="0.0%"/>
      </ndxf>
    </rcc>
    <rcc rId="0" sId="7">
      <nc r="K1" t="inlineStr">
        <is>
          <t>*</t>
        </is>
      </nc>
    </rcc>
    <rcc rId="0" sId="7" dxf="1">
      <nc r="L1">
        <f>I1/C1</f>
      </nc>
      <ndxf>
        <numFmt numFmtId="164" formatCode="0.0%"/>
      </ndxf>
    </rcc>
    <rcc rId="0" sId="7">
      <nc r="M1">
        <f>SUM(#REF!)</f>
      </nc>
    </rcc>
    <rcc rId="0" sId="7">
      <nc r="N1">
        <f>SUM(#REF!)</f>
      </nc>
    </rcc>
    <rcc rId="0" sId="7" dxf="1">
      <nc r="O1">
        <f>N1/M1-1</f>
      </nc>
      <ndxf>
        <font>
          <b val="0"/>
          <sz val="10"/>
          <color auto="1"/>
          <name val="Arial"/>
          <scheme val="none"/>
        </font>
        <numFmt numFmtId="14" formatCode="0.00%"/>
      </ndxf>
    </rcc>
  </rrc>
  <rrc rId="37403" sId="7" ref="A1:XFD1" action="deleteRow">
    <rfmt sheetId="7" xfDxf="1" sqref="A1:XFD1" start="0" length="0"/>
    <rfmt sheetId="7" sqref="A1" start="0" length="0">
      <dxf>
        <font>
          <b/>
          <sz val="10"/>
          <color auto="1"/>
          <name val="Arial"/>
          <scheme val="none"/>
        </font>
      </dxf>
    </rfmt>
    <rfmt sheetId="7" sqref="B1" start="0" length="0">
      <dxf>
        <font>
          <b/>
          <sz val="10"/>
          <color auto="1"/>
          <name val="Arial"/>
          <scheme val="none"/>
        </font>
        <numFmt numFmtId="10" formatCode="&quot;$&quot;#,##0_);[Red]\(&quot;$&quot;#,##0\)"/>
      </dxf>
    </rfmt>
    <rfmt sheetId="7" sqref="C1" start="0" length="0">
      <dxf>
        <font>
          <b/>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1" sqref="E1" start="0" length="0">
      <dxf>
        <font>
          <sz val="10"/>
          <color auto="1"/>
          <name val="Arial"/>
          <scheme val="none"/>
        </font>
        <numFmt numFmtId="13" formatCode="0%"/>
      </dxf>
    </rfmt>
    <rfmt sheetId="7" sqref="F1" start="0" length="0">
      <dxf>
        <font>
          <b/>
          <sz val="10"/>
          <color auto="1"/>
          <name val="Arial"/>
          <scheme val="none"/>
        </font>
        <numFmt numFmtId="10" formatCode="&quot;$&quot;#,##0_);[Red]\(&quot;$&quot;#,##0\)"/>
      </dxf>
    </rfmt>
    <rfmt sheetId="7" s="1"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404" sId="7" ref="A1:XFD1" action="deleteRow">
    <rfmt sheetId="7" xfDxf="1" sqref="A1:XFD1" start="0" length="0"/>
    <rcc rId="0" sId="7" dxf="1">
      <nc r="A1" t="inlineStr">
        <is>
          <t>Notes for Human Support Services:</t>
        </is>
      </nc>
      <ndxf>
        <font>
          <i/>
          <sz val="10"/>
          <color auto="1"/>
          <name val="Arial"/>
          <scheme val="none"/>
        </font>
      </ndxf>
    </rcc>
    <rfmt sheetId="7" sqref="B1" start="0" length="0">
      <dxf>
        <font>
          <b/>
          <sz val="10"/>
          <color auto="1"/>
          <name val="Arial"/>
          <scheme val="none"/>
        </font>
        <numFmt numFmtId="10" formatCode="&quot;$&quot;#,##0_);[Red]\(&quot;$&quot;#,##0\)"/>
      </dxf>
    </rfmt>
    <rfmt sheetId="7" sqref="C1" start="0" length="0">
      <dxf>
        <font>
          <b/>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1" sqref="E1" start="0" length="0">
      <dxf>
        <font>
          <sz val="10"/>
          <color auto="1"/>
          <name val="Arial"/>
          <scheme val="none"/>
        </font>
        <numFmt numFmtId="13" formatCode="0%"/>
      </dxf>
    </rfmt>
    <rfmt sheetId="7" sqref="F1" start="0" length="0">
      <dxf>
        <font>
          <b/>
          <sz val="10"/>
          <color auto="1"/>
          <name val="Arial"/>
          <scheme val="none"/>
        </font>
        <numFmt numFmtId="10" formatCode="&quot;$&quot;#,##0_);[Red]\(&quot;$&quot;#,##0\)"/>
      </dxf>
    </rfmt>
    <rfmt sheetId="7" s="1"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405" sId="7" ref="A1:XFD1" action="deleteRow">
    <rfmt sheetId="7" xfDxf="1" sqref="A1:XFD1" start="0" length="0"/>
    <rfmt sheetId="7" sqref="A1" start="0" length="0">
      <dxf>
        <font>
          <i/>
          <sz val="10"/>
          <color auto="1"/>
          <name val="Arial"/>
          <scheme val="none"/>
        </font>
      </dxf>
    </rfmt>
    <rfmt sheetId="7" sqref="B1" start="0" length="0">
      <dxf>
        <font>
          <b/>
          <sz val="10"/>
          <color auto="1"/>
          <name val="Arial"/>
          <scheme val="none"/>
        </font>
        <numFmt numFmtId="10" formatCode="&quot;$&quot;#,##0_);[Red]\(&quot;$&quot;#,##0\)"/>
      </dxf>
    </rfmt>
    <rfmt sheetId="7" sqref="C1" start="0" length="0">
      <dxf>
        <font>
          <b/>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1" sqref="E1" start="0" length="0">
      <dxf>
        <font>
          <sz val="10"/>
          <color auto="1"/>
          <name val="Arial"/>
          <scheme val="none"/>
        </font>
        <numFmt numFmtId="13" formatCode="0%"/>
      </dxf>
    </rfmt>
    <rfmt sheetId="7" sqref="F1" start="0" length="0">
      <dxf>
        <font>
          <b/>
          <sz val="10"/>
          <color auto="1"/>
          <name val="Arial"/>
          <scheme val="none"/>
        </font>
        <numFmt numFmtId="10" formatCode="&quot;$&quot;#,##0_);[Red]\(&quot;$&quot;#,##0\)"/>
      </dxf>
    </rfmt>
    <rfmt sheetId="7" s="1"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406" sId="7" ref="A1:XFD1" action="deleteRow">
    <rfmt sheetId="7" xfDxf="1" sqref="A1:XFD1" start="0" length="0"/>
    <rcc rId="0" sId="7" dxf="1">
      <nc r="A1" t="inlineStr">
        <is>
          <r>
            <t xml:space="preserve">* </t>
          </r>
          <r>
            <rPr>
              <i/>
              <sz val="10"/>
              <rFont val="Arial"/>
              <family val="2"/>
            </rPr>
            <t>Eliminated in 2004</t>
          </r>
        </is>
      </nc>
      <ndxf>
        <font>
          <b/>
          <sz val="10"/>
          <color auto="1"/>
          <name val="Arial"/>
          <scheme val="none"/>
        </font>
      </ndxf>
    </rcc>
    <rfmt sheetId="7" sqref="B1" start="0" length="0">
      <dxf>
        <font>
          <b/>
          <sz val="10"/>
          <color auto="1"/>
          <name val="Arial"/>
          <scheme val="none"/>
        </font>
        <numFmt numFmtId="10" formatCode="&quot;$&quot;#,##0_);[Red]\(&quot;$&quot;#,##0\)"/>
      </dxf>
    </rfmt>
    <rfmt sheetId="7" sqref="C1" start="0" length="0">
      <dxf>
        <font>
          <b/>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1" sqref="E1" start="0" length="0">
      <dxf>
        <font>
          <sz val="10"/>
          <color auto="1"/>
          <name val="Arial"/>
          <scheme val="none"/>
        </font>
        <numFmt numFmtId="13" formatCode="0%"/>
      </dxf>
    </rfmt>
    <rfmt sheetId="7" sqref="F1" start="0" length="0">
      <dxf>
        <font>
          <b/>
          <sz val="10"/>
          <color auto="1"/>
          <name val="Arial"/>
          <scheme val="none"/>
        </font>
        <numFmt numFmtId="10" formatCode="&quot;$&quot;#,##0_);[Red]\(&quot;$&quot;#,##0\)"/>
      </dxf>
    </rfmt>
    <rfmt sheetId="7" s="1"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407" sId="7" ref="A1:XFD1" action="deleteRow">
    <rfmt sheetId="7" xfDxf="1" sqref="A1:XFD1" start="0" length="0"/>
    <rcc rId="0" sId="7" dxf="1">
      <nc r="A1" t="inlineStr">
        <is>
          <t>** Before FY 2009, the Dept. of Health Care Finance was part of the Dept. of Health</t>
        </is>
      </nc>
      <ndxf>
        <font>
          <i/>
          <sz val="10"/>
          <color auto="1"/>
          <name val="Arial"/>
          <scheme val="none"/>
        </font>
      </ndxf>
    </rcc>
    <rfmt sheetId="7" sqref="B1" start="0" length="0">
      <dxf>
        <font>
          <b/>
          <sz val="10"/>
          <color auto="1"/>
          <name val="Arial"/>
          <scheme val="none"/>
        </font>
        <numFmt numFmtId="10" formatCode="&quot;$&quot;#,##0_);[Red]\(&quot;$&quot;#,##0\)"/>
      </dxf>
    </rfmt>
    <rfmt sheetId="7" sqref="C1" start="0" length="0">
      <dxf>
        <font>
          <b/>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1" sqref="E1" start="0" length="0">
      <dxf>
        <font>
          <sz val="10"/>
          <color auto="1"/>
          <name val="Arial"/>
          <scheme val="none"/>
        </font>
        <numFmt numFmtId="13" formatCode="0%"/>
      </dxf>
    </rfmt>
    <rfmt sheetId="7" sqref="F1" start="0" length="0">
      <dxf>
        <font>
          <b/>
          <sz val="10"/>
          <color auto="1"/>
          <name val="Arial"/>
          <scheme val="none"/>
        </font>
        <numFmt numFmtId="10" formatCode="&quot;$&quot;#,##0_);[Red]\(&quot;$&quot;#,##0\)"/>
      </dxf>
    </rfmt>
    <rfmt sheetId="7" s="1"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408" sId="7" ref="A1:XFD1" action="deleteRow">
    <rfmt sheetId="7" xfDxf="1" sqref="A1:XFD1" start="0" length="0"/>
    <rcc rId="0" sId="7" dxf="1">
      <nc r="A1" t="inlineStr">
        <is>
          <t>*** Before FY 2007, this agency was part of the Human Services Cluster.  As of FY 2007 it is part of the Department of the Environment, under the Public Works *cluster.</t>
        </is>
      </nc>
      <ndxf>
        <font>
          <i/>
          <sz val="10"/>
          <color auto="1"/>
          <name val="Arial"/>
          <scheme val="none"/>
        </font>
      </ndxf>
    </rcc>
    <rfmt sheetId="7" sqref="B1" start="0" length="0">
      <dxf>
        <font>
          <b/>
          <sz val="10"/>
          <color auto="1"/>
          <name val="Arial"/>
          <scheme val="none"/>
        </font>
        <numFmt numFmtId="10" formatCode="&quot;$&quot;#,##0_);[Red]\(&quot;$&quot;#,##0\)"/>
      </dxf>
    </rfmt>
    <rfmt sheetId="7" sqref="C1" start="0" length="0">
      <dxf>
        <font>
          <b/>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1" sqref="E1" start="0" length="0">
      <dxf>
        <font>
          <sz val="10"/>
          <color auto="1"/>
          <name val="Arial"/>
          <scheme val="none"/>
        </font>
        <numFmt numFmtId="13" formatCode="0%"/>
      </dxf>
    </rfmt>
    <rfmt sheetId="7" sqref="F1" start="0" length="0">
      <dxf>
        <font>
          <b/>
          <sz val="10"/>
          <color auto="1"/>
          <name val="Arial"/>
          <scheme val="none"/>
        </font>
        <numFmt numFmtId="10" formatCode="&quot;$&quot;#,##0_);[Red]\(&quot;$&quot;#,##0\)"/>
      </dxf>
    </rfmt>
    <rfmt sheetId="7" s="1"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409" sId="7" ref="A1:XFD1" action="deleteRow">
    <rfmt sheetId="7" xfDxf="1" sqref="A1:XFD1" start="0" length="0"/>
    <rcc rId="0" sId="7" dxf="1">
      <nc r="A1" t="inlineStr">
        <is>
          <t>**** Before FY 2007, this agency was part of the Department of Human Services.</t>
        </is>
      </nc>
      <ndxf>
        <font>
          <i/>
          <sz val="10"/>
          <color auto="1"/>
          <name val="Arial"/>
          <scheme val="none"/>
        </font>
      </ndxf>
    </rcc>
    <rfmt sheetId="7" sqref="B1" start="0" length="0">
      <dxf>
        <font>
          <b/>
          <sz val="10"/>
          <color auto="1"/>
          <name val="Arial"/>
          <scheme val="none"/>
        </font>
        <numFmt numFmtId="10" formatCode="&quot;$&quot;#,##0_);[Red]\(&quot;$&quot;#,##0\)"/>
      </dxf>
    </rfmt>
    <rfmt sheetId="7" sqref="C1" start="0" length="0">
      <dxf>
        <font>
          <b/>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1" sqref="E1" start="0" length="0">
      <dxf>
        <font>
          <sz val="10"/>
          <color auto="1"/>
          <name val="Arial"/>
          <scheme val="none"/>
        </font>
        <numFmt numFmtId="13" formatCode="0%"/>
      </dxf>
    </rfmt>
    <rfmt sheetId="7" sqref="F1" start="0" length="0">
      <dxf>
        <font>
          <b/>
          <sz val="10"/>
          <color auto="1"/>
          <name val="Arial"/>
          <scheme val="none"/>
        </font>
        <numFmt numFmtId="10" formatCode="&quot;$&quot;#,##0_);[Red]\(&quot;$&quot;#,##0\)"/>
      </dxf>
    </rfmt>
    <rfmt sheetId="7" s="1"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410" sId="7" ref="A1:XFD1" action="deleteRow">
    <rfmt sheetId="7" xfDxf="1" sqref="A1:XFD1" start="0" length="0"/>
    <rcc rId="0" sId="7" dxf="1">
      <nc r="A1" t="inlineStr">
        <is>
          <t>***** Before FY 2008, this agency was part of the Department of Human Services.</t>
        </is>
      </nc>
      <ndxf>
        <font>
          <i/>
          <sz val="10"/>
          <color auto="1"/>
          <name val="Arial"/>
          <scheme val="none"/>
        </font>
      </ndxf>
    </rcc>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1" sqref="E1" start="0" length="0">
      <dxf>
        <font>
          <sz val="10"/>
          <color auto="1"/>
          <name val="Arial"/>
          <scheme val="none"/>
        </font>
        <numFmt numFmtId="13" formatCode="0%"/>
      </dxf>
    </rfmt>
    <rfmt sheetId="7" sqref="F1" start="0" length="0">
      <dxf>
        <font>
          <sz val="10"/>
          <color auto="1"/>
          <name val="Arial"/>
          <scheme val="none"/>
        </font>
        <numFmt numFmtId="10" formatCode="&quot;$&quot;#,##0_);[Red]\(&quot;$&quot;#,##0\)"/>
      </dxf>
    </rfmt>
    <rfmt sheetId="7" s="1"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411" sId="7" ref="A1:XFD1" action="deleteRow">
    <rfmt sheetId="7" xfDxf="1" sqref="A1:XFD1" start="0" length="0"/>
    <rfmt sheetId="7" sqref="A1" start="0" length="0">
      <dxf>
        <font>
          <i/>
          <sz val="10"/>
          <color auto="1"/>
          <name val="Arial"/>
          <scheme val="none"/>
        </font>
      </dxf>
    </rfmt>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1" sqref="E1" start="0" length="0">
      <dxf>
        <font>
          <sz val="10"/>
          <color auto="1"/>
          <name val="Arial"/>
          <scheme val="none"/>
        </font>
        <numFmt numFmtId="13" formatCode="0%"/>
      </dxf>
    </rfmt>
    <rfmt sheetId="7" sqref="F1" start="0" length="0">
      <dxf>
        <font>
          <sz val="10"/>
          <color auto="1"/>
          <name val="Arial"/>
          <scheme val="none"/>
        </font>
        <numFmt numFmtId="10" formatCode="&quot;$&quot;#,##0_);[Red]\(&quot;$&quot;#,##0\)"/>
      </dxf>
    </rfmt>
    <rfmt sheetId="7" s="1"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412" sId="7" ref="A1:XFD1" action="deleteRow">
    <rfmt sheetId="7" xfDxf="1" sqref="A1:XFD1" start="0" length="0">
      <dxf>
        <font/>
        <fill>
          <patternFill patternType="solid">
            <bgColor theme="0" tint="-0.249977111117893"/>
          </patternFill>
        </fill>
        <border outline="0">
          <bottom style="medium">
            <color indexed="64"/>
          </bottom>
        </border>
      </dxf>
    </rfmt>
    <rcc rId="0" sId="7" dxf="1">
      <nc r="A1" t="inlineStr">
        <is>
          <t>Public Works</t>
        </is>
      </nc>
      <ndxf>
        <font>
          <b/>
        </font>
      </ndxf>
    </rcc>
    <rfmt sheetId="7" sqref="B1" start="0" length="0">
      <dxf>
        <numFmt numFmtId="10" formatCode="&quot;$&quot;#,##0_);[Red]\(&quot;$&quot;#,##0\)"/>
      </dxf>
    </rfmt>
    <rfmt sheetId="7" sqref="C1" start="0" length="0">
      <dxf>
        <numFmt numFmtId="10" formatCode="&quot;$&quot;#,##0_);[Red]\(&quot;$&quot;#,##0\)"/>
      </dxf>
    </rfmt>
    <rfmt sheetId="7" sqref="D1" start="0" length="0">
      <dxf>
        <numFmt numFmtId="10" formatCode="&quot;$&quot;#,##0_);[Red]\(&quot;$&quot;#,##0\)"/>
      </dxf>
    </rfmt>
    <rfmt sheetId="7" s="1" sqref="E1" start="0" length="0">
      <dxf>
        <numFmt numFmtId="13" formatCode="0%"/>
      </dxf>
    </rfmt>
    <rfmt sheetId="7" sqref="F1" start="0" length="0">
      <dxf>
        <numFmt numFmtId="10" formatCode="&quot;$&quot;#,##0_);[Red]\(&quot;$&quot;#,##0\)"/>
      </dxf>
    </rfmt>
    <rfmt sheetId="7" s="1" sqref="G1" start="0" length="0">
      <dxf>
        <numFmt numFmtId="10" formatCode="&quot;$&quot;#,##0_);[Red]\(&quot;$&quot;#,##0\)"/>
      </dxf>
    </rfmt>
    <rfmt sheetId="7" sqref="H1" start="0" length="0">
      <dxf>
        <numFmt numFmtId="13" formatCode="0%"/>
      </dxf>
    </rfmt>
  </rrc>
  <rrc rId="37413" sId="7" ref="A1:XFD1" action="deleteRow">
    <undo index="0" exp="ref" ref3D="1" v="1" dr="C1" r="C148" sId="8"/>
    <undo index="0" exp="ref" ref3D="1" v="1" dr="B1" r="B148" sId="8"/>
    <undo index="0" exp="area" dr="N1:N8" r="N9" sId="7"/>
    <undo index="0" exp="area" dr="M1:M8" r="M9" sId="7"/>
    <undo index="0" exp="area" dr="F1:F8" r="F9" sId="7"/>
    <undo index="0" exp="area" dr="C1:C8" r="C9" sId="7"/>
    <undo index="0" exp="area" dr="B1:B8" r="B9" sId="7"/>
    <rfmt sheetId="7" xfDxf="1" sqref="A1:XFD1" start="0" length="0"/>
    <rcc rId="0" sId="7" dxf="1">
      <nc r="A1" t="inlineStr">
        <is>
          <t>Department of Public Works</t>
        </is>
      </nc>
      <ndxf>
        <font>
          <sz val="10"/>
          <color auto="1"/>
          <name val="Arial"/>
          <scheme val="none"/>
        </font>
        <border outline="0">
          <left style="medium">
            <color indexed="64"/>
          </left>
        </border>
      </ndxf>
    </rcc>
    <rcc rId="0" sId="7" dxf="1" numFmtId="11">
      <nc r="B1">
        <v>129293</v>
      </nc>
      <ndxf>
        <font>
          <sz val="10"/>
          <color auto="1"/>
          <name val="Arial"/>
          <scheme val="none"/>
        </font>
        <numFmt numFmtId="10" formatCode="&quot;$&quot;#,##0_);[Red]\(&quot;$&quot;#,##0\)"/>
      </ndxf>
    </rcc>
    <rcc rId="0" sId="7" dxf="1" numFmtId="11">
      <nc r="C1">
        <v>137128</v>
      </nc>
      <ndxf>
        <font>
          <sz val="10"/>
          <color auto="1"/>
          <name val="Arial"/>
          <scheme val="none"/>
        </font>
        <numFmt numFmtId="10" formatCode="&quot;$&quot;#,##0_);[Red]\(&quot;$&quot;#,##0\)"/>
      </ndxf>
    </rcc>
    <rcc rId="0" sId="7" dxf="1">
      <nc r="D1">
        <f>C1-B1</f>
      </nc>
      <ndxf>
        <font>
          <sz val="10"/>
          <color auto="1"/>
          <name val="Arial"/>
          <scheme val="none"/>
        </font>
        <numFmt numFmtId="10" formatCode="&quot;$&quot;#,##0_);[Red]\(&quot;$&quot;#,##0\)"/>
      </ndxf>
    </rcc>
    <rcc rId="0" sId="7" s="1" dxf="1">
      <nc r="E1">
        <f>D1/B1</f>
      </nc>
      <ndxf>
        <font>
          <sz val="10"/>
          <color auto="1"/>
          <name val="Arial"/>
          <scheme val="none"/>
        </font>
        <numFmt numFmtId="13" formatCode="0%"/>
      </ndxf>
    </rcc>
    <rcc rId="0" sId="7" dxf="1" numFmtId="11">
      <nc r="F1">
        <v>120999</v>
      </nc>
      <ndxf>
        <font>
          <sz val="10"/>
          <color auto="1"/>
          <name val="Arial"/>
          <scheme val="none"/>
        </font>
        <numFmt numFmtId="10" formatCode="&quot;$&quot;#,##0_);[Red]\(&quot;$&quot;#,##0\)"/>
      </ndxf>
    </rcc>
    <rcc rId="0" sId="7" s="1" dxf="1">
      <nc r="G1">
        <f>F1-C1</f>
      </nc>
      <ndxf>
        <font>
          <sz val="10"/>
          <color auto="1"/>
          <name val="Arial"/>
          <scheme val="none"/>
        </font>
        <numFmt numFmtId="10" formatCode="&quot;$&quot;#,##0_);[Red]\(&quot;$&quot;#,##0\)"/>
      </ndxf>
    </rcc>
    <rcc rId="0" sId="7" dxf="1">
      <nc r="H1">
        <f>G1/C1</f>
      </nc>
      <ndxf>
        <font>
          <sz val="10"/>
          <color auto="1"/>
          <name val="Arial"/>
          <scheme val="none"/>
        </font>
        <numFmt numFmtId="13" formatCode="0%"/>
      </ndxf>
    </rcc>
    <rcc rId="0" sId="7" dxf="1" numFmtId="4">
      <nc r="I1">
        <v>165235</v>
      </nc>
      <ndxf>
        <numFmt numFmtId="3" formatCode="#,##0"/>
      </ndxf>
    </rcc>
    <rcc rId="0" sId="7" dxf="1">
      <nc r="J1">
        <f>I1/B1</f>
      </nc>
      <ndxf>
        <numFmt numFmtId="164" formatCode="0.0%"/>
      </ndxf>
    </rcc>
    <rcc rId="0" sId="7" dxf="1">
      <nc r="K1" t="inlineStr">
        <is>
          <t>*</t>
        </is>
      </nc>
      <ndxf>
        <font>
          <sz val="10"/>
          <color auto="1"/>
          <name val="Arial"/>
          <scheme val="none"/>
        </font>
      </ndxf>
    </rcc>
    <rcc rId="0" sId="7" dxf="1">
      <nc r="L1">
        <f>I1/C1</f>
      </nc>
      <ndxf>
        <numFmt numFmtId="164" formatCode="0.0%"/>
      </ndxf>
    </rcc>
    <rcc rId="0" sId="7">
      <nc r="M1">
        <v>160797</v>
      </nc>
    </rcc>
    <rcc rId="0" sId="7">
      <nc r="N1">
        <v>123799</v>
      </nc>
    </rcc>
    <rcc rId="0" sId="7" dxf="1">
      <nc r="O1">
        <f>N1/M1-1</f>
      </nc>
      <ndxf>
        <numFmt numFmtId="14" formatCode="0.00%"/>
      </ndxf>
    </rcc>
  </rrc>
  <rrc rId="37414" sId="7" ref="A1:XFD1" action="deleteRow">
    <undo index="0" exp="ref" ref3D="1" v="1" dr="C1" r="C149" sId="8"/>
    <undo index="0" exp="ref" ref3D="1" v="1" dr="B1" r="B149" sId="8"/>
    <undo index="0" exp="area" dr="N1:N7" r="N8" sId="7"/>
    <undo index="0" exp="area" dr="M1:M7" r="M8" sId="7"/>
    <undo index="0" exp="area" dr="F1:F7" r="F8" sId="7"/>
    <undo index="0" exp="area" dr="C1:C7" r="C8" sId="7"/>
    <undo index="0" exp="area" dr="B1:B7" r="B8" sId="7"/>
    <rfmt sheetId="7" xfDxf="1" sqref="A1:XFD1" start="0" length="0"/>
    <rcc rId="0" sId="7" dxf="1">
      <nc r="A1" t="inlineStr">
        <is>
          <t>Department of Transportation*</t>
        </is>
      </nc>
      <ndxf>
        <font>
          <sz val="10"/>
          <color auto="1"/>
          <name val="Arial"/>
          <scheme val="none"/>
        </font>
        <border outline="0">
          <left style="medium">
            <color indexed="64"/>
          </left>
        </border>
      </ndxf>
    </rcc>
    <rcc rId="0" sId="7" dxf="1" numFmtId="11">
      <nc r="B1">
        <v>141016</v>
      </nc>
      <ndxf>
        <font>
          <sz val="10"/>
          <color auto="1"/>
          <name val="Arial"/>
          <scheme val="none"/>
        </font>
        <numFmt numFmtId="10" formatCode="&quot;$&quot;#,##0_);[Red]\(&quot;$&quot;#,##0\)"/>
      </ndxf>
    </rcc>
    <rcc rId="0" sId="7" dxf="1" numFmtId="11">
      <nc r="C1">
        <v>127267</v>
      </nc>
      <ndxf>
        <font>
          <sz val="10"/>
          <color auto="1"/>
          <name val="Arial"/>
          <scheme val="none"/>
        </font>
        <numFmt numFmtId="10" formatCode="&quot;$&quot;#,##0_);[Red]\(&quot;$&quot;#,##0\)"/>
      </ndxf>
    </rcc>
    <rcc rId="0" sId="7" dxf="1">
      <nc r="D1">
        <f>C1-B1</f>
      </nc>
      <ndxf>
        <font>
          <sz val="10"/>
          <color auto="1"/>
          <name val="Arial"/>
          <scheme val="none"/>
        </font>
        <numFmt numFmtId="10" formatCode="&quot;$&quot;#,##0_);[Red]\(&quot;$&quot;#,##0\)"/>
      </ndxf>
    </rcc>
    <rcc rId="0" sId="7" s="1" dxf="1">
      <nc r="E1">
        <f>D1/B1</f>
      </nc>
      <ndxf>
        <font>
          <sz val="10"/>
          <color auto="1"/>
          <name val="Arial"/>
          <scheme val="none"/>
        </font>
        <numFmt numFmtId="13" formatCode="0%"/>
      </ndxf>
    </rcc>
    <rcc rId="0" sId="7" dxf="1" numFmtId="11">
      <nc r="F1">
        <v>145463</v>
      </nc>
      <ndxf>
        <font>
          <sz val="10"/>
          <color auto="1"/>
          <name val="Arial"/>
          <scheme val="none"/>
        </font>
        <numFmt numFmtId="10" formatCode="&quot;$&quot;#,##0_);[Red]\(&quot;$&quot;#,##0\)"/>
      </ndxf>
    </rcc>
    <rcc rId="0" sId="7" s="1" dxf="1">
      <nc r="G1">
        <f>F1-C1</f>
      </nc>
      <ndxf>
        <font>
          <sz val="10"/>
          <color auto="1"/>
          <name val="Arial"/>
          <scheme val="none"/>
        </font>
        <numFmt numFmtId="10" formatCode="&quot;$&quot;#,##0_);[Red]\(&quot;$&quot;#,##0\)"/>
      </ndxf>
    </rcc>
    <rcc rId="0" sId="7" dxf="1">
      <nc r="H1">
        <f>G1/C1</f>
      </nc>
      <ndxf>
        <font>
          <sz val="10"/>
          <color auto="1"/>
          <name val="Arial"/>
          <scheme val="none"/>
        </font>
        <numFmt numFmtId="13" formatCode="0%"/>
      </ndxf>
    </rcc>
    <rcc rId="0" sId="7" dxf="1" numFmtId="4">
      <nc r="I1">
        <v>128292</v>
      </nc>
      <ndxf>
        <numFmt numFmtId="3" formatCode="#,##0"/>
      </ndxf>
    </rcc>
    <rcc rId="0" sId="7" dxf="1">
      <nc r="J1">
        <f>I1/B1</f>
      </nc>
      <ndxf>
        <numFmt numFmtId="164" formatCode="0.0%"/>
      </ndxf>
    </rcc>
    <rcc rId="0" sId="7" dxf="1">
      <nc r="K1" t="inlineStr">
        <is>
          <t>*</t>
        </is>
      </nc>
      <ndxf>
        <font>
          <sz val="10"/>
          <color auto="1"/>
          <name val="Arial"/>
          <scheme val="none"/>
        </font>
      </ndxf>
    </rcc>
    <rcc rId="0" sId="7" dxf="1">
      <nc r="L1">
        <f>I1/C1</f>
      </nc>
      <ndxf>
        <numFmt numFmtId="164" formatCode="0.0%"/>
      </ndxf>
    </rcc>
    <rcc rId="0" sId="7">
      <nc r="M1">
        <v>107680</v>
      </nc>
    </rcc>
    <rcc rId="0" sId="7">
      <nc r="N1">
        <v>99669</v>
      </nc>
    </rcc>
    <rcc rId="0" sId="7" dxf="1">
      <nc r="O1">
        <f>N1/M1-1</f>
      </nc>
      <ndxf>
        <numFmt numFmtId="14" formatCode="0.00%"/>
      </ndxf>
    </rcc>
  </rrc>
  <rrc rId="37415" sId="7" ref="A1:XFD1" action="deleteRow">
    <undo index="0" exp="ref" ref3D="1" v="1" dr="C1" r="C150" sId="8"/>
    <undo index="0" exp="ref" ref3D="1" v="1" dr="B1" r="B150" sId="8"/>
    <undo index="0" exp="area" dr="N1:N6" r="N7" sId="7"/>
    <undo index="0" exp="area" dr="M1:M6" r="M7" sId="7"/>
    <undo index="0" exp="area" dr="F1:F6" r="F7" sId="7"/>
    <undo index="0" exp="area" dr="C1:C6" r="C7" sId="7"/>
    <undo index="0" exp="area" dr="B1:B6" r="B7" sId="7"/>
    <rfmt sheetId="7" xfDxf="1" sqref="A1:XFD1" start="0" length="0"/>
    <rcc rId="0" sId="7" dxf="1">
      <nc r="A1" t="inlineStr">
        <is>
          <t>Department of Motor Vehicles</t>
        </is>
      </nc>
      <ndxf>
        <font>
          <sz val="10"/>
          <color auto="1"/>
          <name val="Arial"/>
          <scheme val="none"/>
        </font>
        <border outline="0">
          <left style="medium">
            <color indexed="64"/>
          </left>
        </border>
      </ndxf>
    </rcc>
    <rcc rId="0" sId="7" dxf="1" numFmtId="11">
      <nc r="B1">
        <v>38668</v>
      </nc>
      <ndxf>
        <font>
          <sz val="10"/>
          <color auto="1"/>
          <name val="Arial"/>
          <scheme val="none"/>
        </font>
        <numFmt numFmtId="10" formatCode="&quot;$&quot;#,##0_);[Red]\(&quot;$&quot;#,##0\)"/>
      </ndxf>
    </rcc>
    <rcc rId="0" sId="7" dxf="1" numFmtId="11">
      <nc r="C1">
        <v>42952</v>
      </nc>
      <ndxf>
        <font>
          <sz val="10"/>
          <color auto="1"/>
          <name val="Arial"/>
          <scheme val="none"/>
        </font>
        <numFmt numFmtId="10" formatCode="&quot;$&quot;#,##0_);[Red]\(&quot;$&quot;#,##0\)"/>
      </ndxf>
    </rcc>
    <rcc rId="0" sId="7" dxf="1">
      <nc r="D1">
        <f>C1-B1</f>
      </nc>
      <ndxf>
        <font>
          <sz val="10"/>
          <color auto="1"/>
          <name val="Arial"/>
          <scheme val="none"/>
        </font>
        <numFmt numFmtId="10" formatCode="&quot;$&quot;#,##0_);[Red]\(&quot;$&quot;#,##0\)"/>
      </ndxf>
    </rcc>
    <rcc rId="0" sId="7" s="1" dxf="1">
      <nc r="E1">
        <f>D1/B1</f>
      </nc>
      <ndxf>
        <font>
          <sz val="10"/>
          <color auto="1"/>
          <name val="Arial"/>
          <scheme val="none"/>
        </font>
        <numFmt numFmtId="13" formatCode="0%"/>
      </ndxf>
    </rcc>
    <rcc rId="0" sId="7" dxf="1" numFmtId="11">
      <nc r="F1">
        <v>42258</v>
      </nc>
      <ndxf>
        <font>
          <sz val="10"/>
          <color auto="1"/>
          <name val="Arial"/>
          <scheme val="none"/>
        </font>
        <numFmt numFmtId="10" formatCode="&quot;$&quot;#,##0_);[Red]\(&quot;$&quot;#,##0\)"/>
      </ndxf>
    </rcc>
    <rcc rId="0" sId="7" s="1" dxf="1">
      <nc r="G1">
        <f>F1-C1</f>
      </nc>
      <ndxf>
        <font>
          <sz val="10"/>
          <color auto="1"/>
          <name val="Arial"/>
          <scheme val="none"/>
        </font>
        <numFmt numFmtId="10" formatCode="&quot;$&quot;#,##0_);[Red]\(&quot;$&quot;#,##0\)"/>
      </ndxf>
    </rcc>
    <rcc rId="0" sId="7" dxf="1">
      <nc r="H1">
        <f>G1/C1</f>
      </nc>
      <ndxf>
        <font>
          <sz val="10"/>
          <color auto="1"/>
          <name val="Arial"/>
          <scheme val="none"/>
        </font>
        <numFmt numFmtId="13" formatCode="0%"/>
      </ndxf>
    </rcc>
    <rcc rId="0" sId="7" dxf="1" numFmtId="4">
      <nc r="I1">
        <v>44969</v>
      </nc>
      <ndxf>
        <numFmt numFmtId="3" formatCode="#,##0"/>
      </ndxf>
    </rcc>
    <rcc rId="0" sId="7" dxf="1">
      <nc r="J1">
        <f>I1/B1</f>
      </nc>
      <ndxf>
        <numFmt numFmtId="164" formatCode="0.0%"/>
      </ndxf>
    </rcc>
    <rcc rId="0" sId="7" dxf="1">
      <nc r="K1" t="inlineStr">
        <is>
          <t>*</t>
        </is>
      </nc>
      <ndxf>
        <font>
          <sz val="10"/>
          <color auto="1"/>
          <name val="Arial"/>
          <scheme val="none"/>
        </font>
      </ndxf>
    </rcc>
    <rcc rId="0" sId="7" dxf="1">
      <nc r="L1">
        <f>I1/C1</f>
      </nc>
      <ndxf>
        <numFmt numFmtId="164" formatCode="0.0%"/>
      </ndxf>
    </rcc>
    <rcc rId="0" sId="7">
      <nc r="M1">
        <v>42953</v>
      </nc>
    </rcc>
    <rcc rId="0" sId="7">
      <nc r="N1">
        <v>39174</v>
      </nc>
    </rcc>
    <rcc rId="0" sId="7" dxf="1">
      <nc r="O1">
        <f>N1/M1-1</f>
      </nc>
      <ndxf>
        <numFmt numFmtId="14" formatCode="0.00%"/>
      </ndxf>
    </rcc>
  </rrc>
  <rrc rId="37416" sId="7" ref="A1:XFD1" action="deleteRow">
    <undo index="0" exp="ref" ref3D="1" v="1" dr="C1" r="C151" sId="8"/>
    <undo index="0" exp="ref" ref3D="1" v="1" dr="B1" r="B151" sId="8"/>
    <undo index="0" exp="area" dr="N1:N5" r="N6" sId="7"/>
    <undo index="0" exp="area" dr="M1:M5" r="M6" sId="7"/>
    <undo index="0" exp="area" dr="F1:F5" r="F6" sId="7"/>
    <undo index="0" exp="area" dr="C1:C5" r="C6" sId="7"/>
    <undo index="0" exp="area" dr="B1:B5" r="B6" sId="7"/>
    <rfmt sheetId="7" xfDxf="1" sqref="A1:XFD1" start="0" length="0"/>
    <rcc rId="0" sId="7" dxf="1">
      <nc r="A1" t="inlineStr">
        <is>
          <t>District Department of the Environment**</t>
        </is>
      </nc>
      <ndxf>
        <font>
          <sz val="10"/>
          <color auto="1"/>
          <name val="Arial"/>
          <scheme val="none"/>
        </font>
        <border outline="0">
          <left style="medium">
            <color indexed="64"/>
          </left>
        </border>
      </ndxf>
    </rcc>
    <rcc rId="0" sId="7" dxf="1" numFmtId="11">
      <nc r="B1">
        <v>55395</v>
      </nc>
      <ndxf>
        <font>
          <sz val="10"/>
          <color auto="1"/>
          <name val="Arial"/>
          <scheme val="none"/>
        </font>
        <numFmt numFmtId="10" formatCode="&quot;$&quot;#,##0_);[Red]\(&quot;$&quot;#,##0\)"/>
      </ndxf>
    </rcc>
    <rcc rId="0" sId="7" dxf="1" numFmtId="11">
      <nc r="C1">
        <v>77765</v>
      </nc>
      <ndxf>
        <font>
          <sz val="10"/>
          <color auto="1"/>
          <name val="Arial"/>
          <scheme val="none"/>
        </font>
        <numFmt numFmtId="10" formatCode="&quot;$&quot;#,##0_);[Red]\(&quot;$&quot;#,##0\)"/>
      </ndxf>
    </rcc>
    <rcc rId="0" sId="7" dxf="1">
      <nc r="D1">
        <f>C1-B1</f>
      </nc>
      <ndxf>
        <font>
          <sz val="10"/>
          <color auto="1"/>
          <name val="Arial"/>
          <scheme val="none"/>
        </font>
        <numFmt numFmtId="10" formatCode="&quot;$&quot;#,##0_);[Red]\(&quot;$&quot;#,##0\)"/>
      </ndxf>
    </rcc>
    <rcc rId="0" sId="7" s="1" dxf="1">
      <nc r="E1">
        <f>D1/B1</f>
      </nc>
      <ndxf>
        <font>
          <sz val="10"/>
          <color auto="1"/>
          <name val="Arial"/>
          <scheme val="none"/>
        </font>
        <numFmt numFmtId="13" formatCode="0%"/>
      </ndxf>
    </rcc>
    <rcc rId="0" sId="7" dxf="1" numFmtId="11">
      <nc r="F1">
        <v>100595</v>
      </nc>
      <ndxf>
        <font>
          <sz val="10"/>
          <color auto="1"/>
          <name val="Arial"/>
          <scheme val="none"/>
        </font>
        <numFmt numFmtId="10" formatCode="&quot;$&quot;#,##0_);[Red]\(&quot;$&quot;#,##0\)"/>
      </ndxf>
    </rcc>
    <rcc rId="0" sId="7" s="1" dxf="1">
      <nc r="G1">
        <f>F1-C1</f>
      </nc>
      <ndxf>
        <font>
          <sz val="10"/>
          <color auto="1"/>
          <name val="Arial"/>
          <scheme val="none"/>
        </font>
        <numFmt numFmtId="10" formatCode="&quot;$&quot;#,##0_);[Red]\(&quot;$&quot;#,##0\)"/>
      </ndxf>
    </rcc>
    <rcc rId="0" sId="7" dxf="1">
      <nc r="H1">
        <f>G1/C1</f>
      </nc>
      <ndxf>
        <font>
          <sz val="10"/>
          <color auto="1"/>
          <name val="Arial"/>
          <scheme val="none"/>
        </font>
        <numFmt numFmtId="13" formatCode="0%"/>
      </ndxf>
    </rcc>
    <rcc rId="0" sId="7" dxf="1" numFmtId="4">
      <nc r="I1">
        <v>112552</v>
      </nc>
      <ndxf>
        <numFmt numFmtId="3" formatCode="#,##0"/>
      </ndxf>
    </rcc>
    <rcc rId="0" sId="7" dxf="1">
      <nc r="J1">
        <f>I1/B1</f>
      </nc>
      <ndxf>
        <numFmt numFmtId="164" formatCode="0.0%"/>
      </ndxf>
    </rcc>
    <rcc rId="0" sId="7" dxf="1">
      <nc r="K1" t="inlineStr">
        <is>
          <t>***</t>
        </is>
      </nc>
      <ndxf>
        <font>
          <sz val="10"/>
          <color auto="1"/>
          <name val="Arial"/>
          <scheme val="none"/>
        </font>
      </ndxf>
    </rcc>
    <rcc rId="0" sId="7" dxf="1">
      <nc r="L1">
        <f>I1/C1</f>
      </nc>
      <ndxf>
        <numFmt numFmtId="164" formatCode="0.0%"/>
      </ndxf>
    </rcc>
    <rcc rId="0" sId="7">
      <nc r="M1">
        <v>111804</v>
      </nc>
    </rcc>
    <rcc rId="0" sId="7">
      <nc r="N1">
        <v>105153</v>
      </nc>
    </rcc>
    <rcc rId="0" sId="7" dxf="1">
      <nc r="O1">
        <f>N1/M1-1</f>
      </nc>
      <ndxf>
        <numFmt numFmtId="14" formatCode="0.00%"/>
      </ndxf>
    </rcc>
  </rrc>
  <rrc rId="37417" sId="7" ref="A1:XFD1" action="deleteRow">
    <undo index="0" exp="ref" ref3D="1" v="1" dr="C1" r="C152" sId="8"/>
    <undo index="0" exp="ref" ref3D="1" v="1" dr="B1" r="B152" sId="8"/>
    <undo index="0" exp="area" dr="N1:N4" r="N5" sId="7"/>
    <undo index="0" exp="area" dr="M1:M4" r="M5" sId="7"/>
    <undo index="0" exp="area" dr="F1:F4" r="F5" sId="7"/>
    <undo index="0" exp="area" dr="C1:C4" r="C5" sId="7"/>
    <undo index="0" exp="area" dr="B1:B4" r="B5" sId="7"/>
    <rfmt sheetId="7" xfDxf="1" sqref="A1:XFD1" start="0" length="0"/>
    <rcc rId="0" sId="7" dxf="1">
      <nc r="A1" t="inlineStr">
        <is>
          <t>Taxicab Commission</t>
        </is>
      </nc>
      <ndxf>
        <font>
          <sz val="10"/>
          <color auto="1"/>
          <name val="Arial"/>
          <scheme val="none"/>
        </font>
        <border outline="0">
          <left style="medium">
            <color indexed="64"/>
          </left>
        </border>
      </ndxf>
    </rcc>
    <rcc rId="0" sId="7" dxf="1" numFmtId="11">
      <nc r="B1">
        <v>1620</v>
      </nc>
      <ndxf>
        <font>
          <sz val="10"/>
          <color auto="1"/>
          <name val="Arial"/>
          <scheme val="none"/>
        </font>
        <numFmt numFmtId="10" formatCode="&quot;$&quot;#,##0_);[Red]\(&quot;$&quot;#,##0\)"/>
      </ndxf>
    </rcc>
    <rcc rId="0" sId="7" dxf="1" numFmtId="11">
      <nc r="C1">
        <v>1927</v>
      </nc>
      <ndxf>
        <font>
          <sz val="10"/>
          <color auto="1"/>
          <name val="Arial"/>
          <scheme val="none"/>
        </font>
        <numFmt numFmtId="10" formatCode="&quot;$&quot;#,##0_);[Red]\(&quot;$&quot;#,##0\)"/>
      </ndxf>
    </rcc>
    <rcc rId="0" sId="7" dxf="1">
      <nc r="D1">
        <f>C1-B1</f>
      </nc>
      <ndxf>
        <font>
          <sz val="10"/>
          <color auto="1"/>
          <name val="Arial"/>
          <scheme val="none"/>
        </font>
        <numFmt numFmtId="10" formatCode="&quot;$&quot;#,##0_);[Red]\(&quot;$&quot;#,##0\)"/>
      </ndxf>
    </rcc>
    <rcc rId="0" sId="7" s="1" dxf="1">
      <nc r="E1">
        <f>D1/B1</f>
      </nc>
      <ndxf>
        <font>
          <sz val="10"/>
          <color auto="1"/>
          <name val="Arial"/>
          <scheme val="none"/>
        </font>
        <numFmt numFmtId="13" formatCode="0%"/>
      </ndxf>
    </rcc>
    <rcc rId="0" sId="7" dxf="1" numFmtId="11">
      <nc r="F1">
        <v>1750</v>
      </nc>
      <ndxf>
        <font>
          <sz val="10"/>
          <color auto="1"/>
          <name val="Arial"/>
          <scheme val="none"/>
        </font>
        <numFmt numFmtId="10" formatCode="&quot;$&quot;#,##0_);[Red]\(&quot;$&quot;#,##0\)"/>
      </ndxf>
    </rcc>
    <rcc rId="0" sId="7" s="1" dxf="1">
      <nc r="G1">
        <f>F1-C1</f>
      </nc>
      <ndxf>
        <font>
          <sz val="10"/>
          <color auto="1"/>
          <name val="Arial"/>
          <scheme val="none"/>
        </font>
        <numFmt numFmtId="10" formatCode="&quot;$&quot;#,##0_);[Red]\(&quot;$&quot;#,##0\)"/>
      </ndxf>
    </rcc>
    <rcc rId="0" sId="7" dxf="1">
      <nc r="H1">
        <f>G1/C1</f>
      </nc>
      <ndxf>
        <font>
          <sz val="10"/>
          <color auto="1"/>
          <name val="Arial"/>
          <scheme val="none"/>
        </font>
        <numFmt numFmtId="13" formatCode="0%"/>
      </ndxf>
    </rcc>
    <rcc rId="0" sId="7" dxf="1" numFmtId="4">
      <nc r="I1">
        <v>2293</v>
      </nc>
      <ndxf>
        <numFmt numFmtId="3" formatCode="#,##0"/>
      </ndxf>
    </rcc>
    <rcc rId="0" sId="7" dxf="1">
      <nc r="J1">
        <f>I1/B1</f>
      </nc>
      <ndxf>
        <numFmt numFmtId="164" formatCode="0.0%"/>
      </ndxf>
    </rcc>
    <rcc rId="0" sId="7" dxf="1">
      <nc r="K1" t="inlineStr">
        <is>
          <t>**</t>
        </is>
      </nc>
      <ndxf>
        <font>
          <sz val="10"/>
          <color auto="1"/>
          <name val="Arial"/>
          <scheme val="none"/>
        </font>
      </ndxf>
    </rcc>
    <rcc rId="0" sId="7" dxf="1">
      <nc r="L1">
        <f>I1/C1</f>
      </nc>
      <ndxf>
        <numFmt numFmtId="164" formatCode="0.0%"/>
      </ndxf>
    </rcc>
    <rcc rId="0" sId="7">
      <nc r="M1">
        <v>2153</v>
      </nc>
    </rcc>
    <rcc rId="0" sId="7">
      <nc r="N1">
        <v>1918</v>
      </nc>
    </rcc>
    <rcc rId="0" sId="7" dxf="1">
      <nc r="O1">
        <f>N1/M1-1</f>
      </nc>
      <ndxf>
        <numFmt numFmtId="14" formatCode="0.00%"/>
      </ndxf>
    </rcc>
  </rrc>
  <rrc rId="37418" sId="7" ref="A1:XFD1" action="deleteRow">
    <undo index="0" exp="ref" ref3D="1" v="1" dr="C1" r="C153" sId="8"/>
    <undo index="0" exp="ref" ref3D="1" v="1" dr="B1" r="B153" sId="8"/>
    <undo index="0" exp="area" dr="N1:N3" r="N4" sId="7"/>
    <undo index="0" exp="area" dr="M1:M3" r="M4" sId="7"/>
    <undo index="0" exp="area" dr="F1:F3" r="F4" sId="7"/>
    <undo index="0" exp="area" dr="C1:C3" r="C4" sId="7"/>
    <undo index="0" exp="area" dr="B1:B3" r="B4" sId="7"/>
    <rfmt sheetId="7" xfDxf="1" sqref="A1:XFD1" start="0" length="0"/>
    <rcc rId="0" sId="7" dxf="1">
      <nc r="A1" t="inlineStr">
        <is>
          <t>Washington Metropolitan Area Transit Commission</t>
        </is>
      </nc>
      <ndxf>
        <font>
          <sz val="10"/>
          <color auto="1"/>
          <name val="Arial"/>
          <scheme val="none"/>
        </font>
        <border outline="0">
          <left style="medium">
            <color indexed="64"/>
          </left>
        </border>
      </ndxf>
    </rcc>
    <rcc rId="0" sId="7" dxf="1" numFmtId="11">
      <nc r="B1">
        <v>113</v>
      </nc>
      <ndxf>
        <font>
          <sz val="10"/>
          <color auto="1"/>
          <name val="Arial"/>
          <scheme val="none"/>
        </font>
        <numFmt numFmtId="10" formatCode="&quot;$&quot;#,##0_);[Red]\(&quot;$&quot;#,##0\)"/>
      </ndxf>
    </rcc>
    <rcc rId="0" sId="7" dxf="1" numFmtId="11">
      <nc r="C1">
        <v>113</v>
      </nc>
      <ndxf>
        <font>
          <sz val="10"/>
          <color auto="1"/>
          <name val="Arial"/>
          <scheme val="none"/>
        </font>
        <numFmt numFmtId="10" formatCode="&quot;$&quot;#,##0_);[Red]\(&quot;$&quot;#,##0\)"/>
      </ndxf>
    </rcc>
    <rcc rId="0" sId="7" dxf="1">
      <nc r="D1">
        <f>C1-B1</f>
      </nc>
      <ndxf>
        <font>
          <sz val="10"/>
          <color auto="1"/>
          <name val="Arial"/>
          <scheme val="none"/>
        </font>
        <numFmt numFmtId="10" formatCode="&quot;$&quot;#,##0_);[Red]\(&quot;$&quot;#,##0\)"/>
      </ndxf>
    </rcc>
    <rcc rId="0" sId="7" s="1" dxf="1">
      <nc r="E1">
        <f>D1/B1</f>
      </nc>
      <ndxf>
        <font>
          <sz val="10"/>
          <color auto="1"/>
          <name val="Arial"/>
          <scheme val="none"/>
        </font>
        <numFmt numFmtId="13" formatCode="0%"/>
      </ndxf>
    </rcc>
    <rcc rId="0" sId="7" dxf="1" numFmtId="11">
      <nc r="F1">
        <v>123</v>
      </nc>
      <ndxf>
        <font>
          <sz val="10"/>
          <color auto="1"/>
          <name val="Arial"/>
          <scheme val="none"/>
        </font>
        <numFmt numFmtId="10" formatCode="&quot;$&quot;#,##0_);[Red]\(&quot;$&quot;#,##0\)"/>
      </ndxf>
    </rcc>
    <rcc rId="0" sId="7" s="1" dxf="1">
      <nc r="G1">
        <f>F1-C1</f>
      </nc>
      <ndxf>
        <font>
          <sz val="10"/>
          <color auto="1"/>
          <name val="Arial"/>
          <scheme val="none"/>
        </font>
        <numFmt numFmtId="10" formatCode="&quot;$&quot;#,##0_);[Red]\(&quot;$&quot;#,##0\)"/>
      </ndxf>
    </rcc>
    <rcc rId="0" sId="7" dxf="1">
      <nc r="H1">
        <f>G1/C1</f>
      </nc>
      <ndxf>
        <font>
          <sz val="10"/>
          <color auto="1"/>
          <name val="Arial"/>
          <scheme val="none"/>
        </font>
        <numFmt numFmtId="13" formatCode="0%"/>
      </ndxf>
    </rcc>
    <rcc rId="0" sId="7" dxf="1" numFmtId="4">
      <nc r="I1">
        <v>123</v>
      </nc>
      <ndxf>
        <numFmt numFmtId="3" formatCode="#,##0"/>
      </ndxf>
    </rcc>
    <rcc rId="0" sId="7" dxf="1">
      <nc r="J1">
        <f>I1/B1</f>
      </nc>
      <ndxf>
        <numFmt numFmtId="164" formatCode="0.0%"/>
      </ndxf>
    </rcc>
    <rcc rId="0" sId="7" dxf="1">
      <nc r="L1">
        <f>I1/C1</f>
      </nc>
      <ndxf>
        <numFmt numFmtId="164" formatCode="0.0%"/>
      </ndxf>
    </rcc>
    <rcc rId="0" sId="7">
      <nc r="M1">
        <v>123</v>
      </nc>
    </rcc>
    <rcc rId="0" sId="7">
      <nc r="N1">
        <v>123</v>
      </nc>
    </rcc>
    <rcc rId="0" sId="7" dxf="1">
      <nc r="O1">
        <f>N1/M1-1</f>
      </nc>
      <ndxf>
        <numFmt numFmtId="14" formatCode="0.00%"/>
      </ndxf>
    </rcc>
  </rrc>
  <rrc rId="37419" sId="7" ref="A1:XFD1" action="deleteRow">
    <undo index="0" exp="ref" ref3D="1" v="1" dr="C1" r="C154" sId="8"/>
    <undo index="0" exp="ref" ref3D="1" v="1" dr="B1" r="B154" sId="8"/>
    <undo index="0" exp="area" dr="N1:N2" r="N3" sId="7"/>
    <undo index="0" exp="area" dr="M1:M2" r="M3" sId="7"/>
    <undo index="0" exp="area" dr="F1:F2" r="F3" sId="7"/>
    <undo index="0" exp="area" dr="C1:C2" r="C3" sId="7"/>
    <undo index="0" exp="area" dr="B1:B2" r="B3" sId="7"/>
    <rfmt sheetId="7" xfDxf="1" sqref="A1:XFD1" start="0" length="0"/>
    <rcc rId="0" sId="7" dxf="1">
      <nc r="A1" t="inlineStr">
        <is>
          <t>Washington Metropolitan Area Transit Authority</t>
        </is>
      </nc>
      <ndxf>
        <font>
          <sz val="10"/>
          <color auto="1"/>
          <name val="Arial"/>
          <scheme val="none"/>
        </font>
        <border outline="0">
          <left style="medium">
            <color indexed="64"/>
          </left>
        </border>
      </ndxf>
    </rcc>
    <rcc rId="0" sId="7" dxf="1" numFmtId="11">
      <nc r="B1">
        <v>214905</v>
      </nc>
      <ndxf>
        <font>
          <sz val="10"/>
          <color auto="1"/>
          <name val="Arial"/>
          <scheme val="none"/>
        </font>
        <numFmt numFmtId="10" formatCode="&quot;$&quot;#,##0_);[Red]\(&quot;$&quot;#,##0\)"/>
      </ndxf>
    </rcc>
    <rcc rId="0" sId="7" dxf="1" numFmtId="11">
      <nc r="C1">
        <v>230499</v>
      </nc>
      <ndxf>
        <font>
          <sz val="10"/>
          <color auto="1"/>
          <name val="Arial"/>
          <scheme val="none"/>
        </font>
        <numFmt numFmtId="10" formatCode="&quot;$&quot;#,##0_);[Red]\(&quot;$&quot;#,##0\)"/>
      </ndxf>
    </rcc>
    <rcc rId="0" sId="7" dxf="1">
      <nc r="D1">
        <f>C1-B1</f>
      </nc>
      <ndxf>
        <font>
          <sz val="10"/>
          <color auto="1"/>
          <name val="Arial"/>
          <scheme val="none"/>
        </font>
        <numFmt numFmtId="10" formatCode="&quot;$&quot;#,##0_);[Red]\(&quot;$&quot;#,##0\)"/>
      </ndxf>
    </rcc>
    <rcc rId="0" sId="7" s="1" dxf="1">
      <nc r="E1">
        <f>D1/B1</f>
      </nc>
      <ndxf>
        <font>
          <sz val="10"/>
          <color auto="1"/>
          <name val="Arial"/>
          <scheme val="none"/>
        </font>
        <numFmt numFmtId="13" formatCode="0%"/>
      </ndxf>
    </rcc>
    <rcc rId="0" sId="7" dxf="1" numFmtId="11">
      <nc r="F1">
        <v>248628</v>
      </nc>
      <ndxf>
        <font>
          <sz val="10"/>
          <color auto="1"/>
          <name val="Arial"/>
          <scheme val="none"/>
        </font>
        <numFmt numFmtId="10" formatCode="&quot;$&quot;#,##0_);[Red]\(&quot;$&quot;#,##0\)"/>
      </ndxf>
    </rcc>
    <rcc rId="0" sId="7" s="1" dxf="1">
      <nc r="G1">
        <f>F1-C1</f>
      </nc>
      <ndxf>
        <font>
          <sz val="10"/>
          <color auto="1"/>
          <name val="Arial"/>
          <scheme val="none"/>
        </font>
        <numFmt numFmtId="10" formatCode="&quot;$&quot;#,##0_);[Red]\(&quot;$&quot;#,##0\)"/>
      </ndxf>
    </rcc>
    <rcc rId="0" sId="7" dxf="1">
      <nc r="H1">
        <f>G1/C1</f>
      </nc>
      <ndxf>
        <font>
          <sz val="10"/>
          <color auto="1"/>
          <name val="Arial"/>
          <scheme val="none"/>
        </font>
        <numFmt numFmtId="13" formatCode="0%"/>
      </ndxf>
    </rcc>
    <rcc rId="0" sId="7" dxf="1" numFmtId="4">
      <nc r="I1">
        <v>246278</v>
      </nc>
      <ndxf>
        <numFmt numFmtId="3" formatCode="#,##0"/>
      </ndxf>
    </rcc>
    <rcc rId="0" sId="7" dxf="1">
      <nc r="J1">
        <f>I1/B1</f>
      </nc>
      <ndxf>
        <numFmt numFmtId="164" formatCode="0.0%"/>
      </ndxf>
    </rcc>
    <rcc rId="0" sId="7" dxf="1">
      <nc r="K1" t="inlineStr">
        <is>
          <t>*</t>
        </is>
      </nc>
      <ndxf>
        <font>
          <sz val="10"/>
          <color auto="1"/>
          <name val="Arial"/>
          <scheme val="none"/>
        </font>
      </ndxf>
    </rcc>
    <rcc rId="0" sId="7" dxf="1">
      <nc r="L1">
        <f>I1/C1</f>
      </nc>
      <ndxf>
        <numFmt numFmtId="164" formatCode="0.0%"/>
      </ndxf>
    </rcc>
    <rcc rId="0" sId="7">
      <nc r="M1">
        <v>243718</v>
      </nc>
    </rcc>
    <rcc rId="0" sId="7">
      <nc r="N1">
        <v>245318</v>
      </nc>
    </rcc>
    <rcc rId="0" sId="7" dxf="1">
      <nc r="O1">
        <f>N1/M1-1</f>
      </nc>
      <ndxf>
        <numFmt numFmtId="14" formatCode="0.00%"/>
      </ndxf>
    </rcc>
  </rrc>
  <rrc rId="37420" sId="7" ref="A1:XFD1" action="deleteRow">
    <undo index="0" exp="ref" ref3D="1" v="1" dr="C1" r="C155" sId="8"/>
    <undo index="0" exp="ref" ref3D="1" v="1" dr="B1" r="B155" sId="8"/>
    <undo index="0" exp="area" dr="N1" r="N2" sId="7"/>
    <undo index="0" exp="area" dr="M1" r="M2" sId="7"/>
    <undo index="0" exp="area" dr="F1" r="F2" sId="7"/>
    <undo index="0" exp="area" dr="C1" r="C2" sId="7"/>
    <undo index="0" exp="area" dr="B1" r="B2" sId="7"/>
    <rfmt sheetId="7" xfDxf="1" sqref="A1:XFD1" start="0" length="0">
      <dxf>
        <border outline="0">
          <bottom style="medium">
            <color indexed="64"/>
          </bottom>
        </border>
      </dxf>
    </rfmt>
    <rcc rId="0" sId="7" dxf="1">
      <nc r="A1" t="inlineStr">
        <is>
          <t>School Transit Subsidy</t>
        </is>
      </nc>
      <ndxf>
        <font>
          <sz val="10"/>
          <color auto="1"/>
          <name val="Arial"/>
          <scheme val="none"/>
        </font>
        <border outline="0">
          <left style="medium">
            <color indexed="64"/>
          </left>
        </border>
      </ndxf>
    </rcc>
    <rcc rId="0" sId="7" dxf="1" numFmtId="11">
      <nc r="B1">
        <v>5420</v>
      </nc>
      <ndxf>
        <font>
          <sz val="10"/>
          <color auto="1"/>
          <name val="Arial"/>
          <scheme val="none"/>
        </font>
        <numFmt numFmtId="10" formatCode="&quot;$&quot;#,##0_);[Red]\(&quot;$&quot;#,##0\)"/>
      </ndxf>
    </rcc>
    <rcc rId="0" sId="7" dxf="1" numFmtId="11">
      <nc r="C1">
        <v>7866</v>
      </nc>
      <ndxf>
        <font>
          <sz val="10"/>
          <color auto="1"/>
          <name val="Arial"/>
          <scheme val="none"/>
        </font>
        <numFmt numFmtId="10" formatCode="&quot;$&quot;#,##0_);[Red]\(&quot;$&quot;#,##0\)"/>
      </ndxf>
    </rcc>
    <rcc rId="0" sId="7" dxf="1">
      <nc r="D1">
        <f>C1-B1</f>
      </nc>
      <ndxf>
        <font>
          <sz val="10"/>
          <color auto="1"/>
          <name val="Arial"/>
          <scheme val="none"/>
        </font>
        <numFmt numFmtId="10" formatCode="&quot;$&quot;#,##0_);[Red]\(&quot;$&quot;#,##0\)"/>
      </ndxf>
    </rcc>
    <rcc rId="0" sId="7" s="1" dxf="1">
      <nc r="E1">
        <f>D1/B1</f>
      </nc>
      <ndxf>
        <font>
          <sz val="10"/>
          <color auto="1"/>
          <name val="Arial"/>
          <scheme val="none"/>
        </font>
        <numFmt numFmtId="13" formatCode="0%"/>
      </ndxf>
    </rcc>
    <rcc rId="0" sId="7" dxf="1" numFmtId="11">
      <nc r="F1">
        <v>7843</v>
      </nc>
      <ndxf>
        <font>
          <sz val="10"/>
          <color auto="1"/>
          <name val="Arial"/>
          <scheme val="none"/>
        </font>
        <numFmt numFmtId="10" formatCode="&quot;$&quot;#,##0_);[Red]\(&quot;$&quot;#,##0\)"/>
      </ndxf>
    </rcc>
    <rcc rId="0" sId="7" s="1" dxf="1">
      <nc r="G1">
        <f>F1-C1</f>
      </nc>
      <ndxf>
        <font>
          <sz val="10"/>
          <color auto="1"/>
          <name val="Arial"/>
          <scheme val="none"/>
        </font>
        <numFmt numFmtId="10" formatCode="&quot;$&quot;#,##0_);[Red]\(&quot;$&quot;#,##0\)"/>
      </ndxf>
    </rcc>
    <rcc rId="0" sId="7" dxf="1">
      <nc r="H1">
        <f>G1/C1</f>
      </nc>
      <ndxf>
        <font>
          <sz val="10"/>
          <color auto="1"/>
          <name val="Arial"/>
          <scheme val="none"/>
        </font>
        <numFmt numFmtId="13" formatCode="0%"/>
      </ndxf>
    </rcc>
    <rcc rId="0" sId="7" dxf="1" numFmtId="4">
      <nc r="I1">
        <v>7843</v>
      </nc>
      <ndxf>
        <numFmt numFmtId="3" formatCode="#,##0"/>
      </ndxf>
    </rcc>
    <rcc rId="0" sId="7" dxf="1">
      <nc r="J1">
        <f>I1/B1</f>
      </nc>
      <ndxf>
        <numFmt numFmtId="164" formatCode="0.0%"/>
      </ndxf>
    </rcc>
    <rcc rId="0" sId="7" dxf="1">
      <nc r="K1" t="inlineStr">
        <is>
          <t>**</t>
        </is>
      </nc>
      <ndxf>
        <font>
          <sz val="10"/>
          <color auto="1"/>
          <name val="Arial"/>
          <scheme val="none"/>
        </font>
      </ndxf>
    </rcc>
    <rcc rId="0" sId="7" dxf="1">
      <nc r="L1">
        <f>I1/C1</f>
      </nc>
      <ndxf>
        <numFmt numFmtId="164" formatCode="0.0%"/>
      </ndxf>
    </rcc>
    <rcc rId="0" sId="7">
      <nc r="M1">
        <v>7668</v>
      </nc>
    </rcc>
    <rcc rId="0" sId="7">
      <nc r="N1">
        <v>6058</v>
      </nc>
    </rcc>
    <rcc rId="0" sId="7" dxf="1">
      <nc r="O1">
        <f>N1/M1-1</f>
      </nc>
      <ndxf>
        <numFmt numFmtId="14" formatCode="0.00%"/>
        <border outline="0">
          <bottom/>
        </border>
      </ndxf>
    </rcc>
  </rrc>
  <rrc rId="37421" sId="7" ref="A1:XFD1" action="deleteRow">
    <undo index="1" exp="ref" v="1" dr="N1" r="N35" sId="7"/>
    <undo index="1" exp="ref" v="1" dr="M1" r="M35" sId="7"/>
    <undo index="1" exp="ref" dr="G1" r="G35" sId="7"/>
    <undo index="1" exp="ref" dr="F1" r="F35" sId="7"/>
    <undo index="1" exp="ref" dr="D1" r="D35" sId="7"/>
    <undo index="1" exp="ref" dr="C1" r="C35" sId="7"/>
    <undo index="1" exp="ref" dr="B1" r="B35" sId="7"/>
    <rfmt sheetId="7" xfDxf="1" sqref="A1:XFD1" start="0" length="0">
      <dxf>
        <font>
          <b/>
        </font>
      </dxf>
    </rfmt>
    <rcc rId="0" sId="7" dxf="1">
      <nc r="A1" t="inlineStr">
        <is>
          <t>Subtotal: Public Works</t>
        </is>
      </nc>
      <ndxf/>
    </rcc>
    <rcc rId="0" sId="7" dxf="1">
      <nc r="B1">
        <f>SUM(#REF!)</f>
      </nc>
      <ndxf>
        <numFmt numFmtId="10" formatCode="&quot;$&quot;#,##0_);[Red]\(&quot;$&quot;#,##0\)"/>
      </ndxf>
    </rcc>
    <rcc rId="0" sId="7" dxf="1">
      <nc r="C1">
        <f>SUM(#REF!)</f>
      </nc>
      <ndxf>
        <numFmt numFmtId="10" formatCode="&quot;$&quot;#,##0_);[Red]\(&quot;$&quot;#,##0\)"/>
      </ndxf>
    </rcc>
    <rcc rId="0" sId="7" dxf="1">
      <nc r="D1">
        <f>C1-B1</f>
      </nc>
      <ndxf>
        <numFmt numFmtId="10" formatCode="&quot;$&quot;#,##0_);[Red]\(&quot;$&quot;#,##0\)"/>
      </ndxf>
    </rcc>
    <rcc rId="0" sId="7" s="1" dxf="1">
      <nc r="E1">
        <f>D1/B1</f>
      </nc>
      <ndxf>
        <numFmt numFmtId="13" formatCode="0%"/>
      </ndxf>
    </rcc>
    <rcc rId="0" sId="7" dxf="1">
      <nc r="F1">
        <f>SUM(#REF!)</f>
      </nc>
      <ndxf>
        <numFmt numFmtId="10" formatCode="&quot;$&quot;#,##0_);[Red]\(&quot;$&quot;#,##0\)"/>
      </ndxf>
    </rcc>
    <rcc rId="0" sId="7" s="1" dxf="1">
      <nc r="G1">
        <f>F1-C1</f>
      </nc>
      <ndxf>
        <numFmt numFmtId="10" formatCode="&quot;$&quot;#,##0_);[Red]\(&quot;$&quot;#,##0\)"/>
      </ndxf>
    </rcc>
    <rcc rId="0" sId="7" dxf="1">
      <nc r="H1">
        <f>G1/C1</f>
      </nc>
      <ndxf>
        <numFmt numFmtId="13" formatCode="0%"/>
      </ndxf>
    </rcc>
    <rcc rId="0" sId="7" dxf="1" numFmtId="4">
      <nc r="I1">
        <v>707584</v>
      </nc>
      <ndxf>
        <numFmt numFmtId="3" formatCode="#,##0"/>
      </ndxf>
    </rcc>
    <rcc rId="0" sId="7" dxf="1">
      <nc r="J1">
        <f>I1/B1</f>
      </nc>
      <ndxf>
        <numFmt numFmtId="164" formatCode="0.0%"/>
      </ndxf>
    </rcc>
    <rcc rId="0" sId="7">
      <nc r="K1" t="inlineStr">
        <is>
          <t>*</t>
        </is>
      </nc>
    </rcc>
    <rcc rId="0" sId="7" dxf="1">
      <nc r="L1">
        <f>I1/C1</f>
      </nc>
      <ndxf>
        <numFmt numFmtId="164" formatCode="0.0%"/>
      </ndxf>
    </rcc>
    <rcc rId="0" sId="7">
      <nc r="M1">
        <f>SUM(#REF!)</f>
      </nc>
    </rcc>
    <rcc rId="0" sId="7">
      <nc r="N1">
        <f>SUM(#REF!)</f>
      </nc>
    </rcc>
    <rcc rId="0" sId="7" dxf="1">
      <nc r="O1">
        <f>N1/M1-1</f>
      </nc>
      <ndxf>
        <font>
          <b val="0"/>
          <sz val="10"/>
          <color auto="1"/>
          <name val="Arial"/>
          <scheme val="none"/>
        </font>
        <numFmt numFmtId="14" formatCode="0.00%"/>
      </ndxf>
    </rcc>
  </rrc>
  <rrc rId="37422" sId="7" ref="A1:XFD1" action="deleteRow">
    <rfmt sheetId="7" xfDxf="1" sqref="A1:XFD1" start="0" length="0"/>
    <rfmt sheetId="7" sqref="A1" start="0" length="0">
      <dxf>
        <font>
          <b/>
          <sz val="10"/>
          <color auto="1"/>
          <name val="Arial"/>
          <scheme val="none"/>
        </font>
      </dxf>
    </rfmt>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1" sqref="E1" start="0" length="0">
      <dxf>
        <font>
          <sz val="10"/>
          <color auto="1"/>
          <name val="Arial"/>
          <scheme val="none"/>
        </font>
        <numFmt numFmtId="13" formatCode="0%"/>
      </dxf>
    </rfmt>
    <rfmt sheetId="7" sqref="F1" start="0" length="0">
      <dxf>
        <font>
          <sz val="10"/>
          <color auto="1"/>
          <name val="Arial"/>
          <scheme val="none"/>
        </font>
        <numFmt numFmtId="10" formatCode="&quot;$&quot;#,##0_);[Red]\(&quot;$&quot;#,##0\)"/>
      </dxf>
    </rfmt>
    <rfmt sheetId="7" s="1"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423" sId="7" ref="A1:XFD1" action="deleteRow">
    <rfmt sheetId="7" xfDxf="1" sqref="A1:XFD1" start="0" length="0"/>
    <rcc rId="0" sId="7" dxf="1">
      <nc r="A1" t="inlineStr">
        <is>
          <t xml:space="preserve">Notes for Public Works: </t>
        </is>
      </nc>
      <ndxf>
        <font>
          <i/>
          <sz val="10"/>
          <color auto="1"/>
          <name val="Arial"/>
          <scheme val="none"/>
        </font>
      </ndxf>
    </rcc>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1" sqref="E1" start="0" length="0">
      <dxf>
        <font>
          <sz val="10"/>
          <color auto="1"/>
          <name val="Arial"/>
          <scheme val="none"/>
        </font>
        <numFmt numFmtId="13" formatCode="0%"/>
      </dxf>
    </rfmt>
    <rfmt sheetId="7" sqref="F1" start="0" length="0">
      <dxf>
        <font>
          <sz val="10"/>
          <color auto="1"/>
          <name val="Arial"/>
          <scheme val="none"/>
        </font>
        <numFmt numFmtId="10" formatCode="&quot;$&quot;#,##0_);[Red]\(&quot;$&quot;#,##0\)"/>
      </dxf>
    </rfmt>
    <rfmt sheetId="7" s="1"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424" sId="7" ref="A1:XFD1" action="deleteRow">
    <rfmt sheetId="7" xfDxf="1" sqref="A1:XFD1" start="0" length="0"/>
    <rcc rId="0" sId="7" dxf="1">
      <nc r="A1" t="inlineStr">
        <is>
          <t>* The FY 2008 budget includes roughly $68 million in transportation funds that in prior year were reported in the DOT capital budget</t>
        </is>
      </nc>
      <ndxf>
        <font>
          <i/>
          <sz val="10"/>
          <color auto="1"/>
          <name val="Arial"/>
          <scheme val="none"/>
        </font>
      </ndxf>
    </rcc>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1" sqref="E1" start="0" length="0">
      <dxf>
        <font>
          <sz val="10"/>
          <color auto="1"/>
          <name val="Arial"/>
          <scheme val="none"/>
        </font>
        <numFmt numFmtId="13" formatCode="0%"/>
      </dxf>
    </rfmt>
    <rfmt sheetId="7" sqref="F1" start="0" length="0">
      <dxf>
        <font>
          <sz val="10"/>
          <color auto="1"/>
          <name val="Arial"/>
          <scheme val="none"/>
        </font>
        <numFmt numFmtId="10" formatCode="&quot;$&quot;#,##0_);[Red]\(&quot;$&quot;#,##0\)"/>
      </dxf>
    </rfmt>
    <rfmt sheetId="7" s="1"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425" sId="7" ref="A1:XFD1" action="deleteRow">
    <rfmt sheetId="7" xfDxf="1" sqref="A1:XFD1" start="0" length="0"/>
    <rcc rId="0" sId="7" dxf="1">
      <nc r="A1" t="inlineStr">
        <is>
          <t>**This agency was established in FY 2007.</t>
        </is>
      </nc>
      <ndxf>
        <font>
          <i/>
          <sz val="10"/>
          <color auto="1"/>
          <name val="Arial"/>
          <scheme val="none"/>
        </font>
      </ndxf>
    </rcc>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1" sqref="E1" start="0" length="0">
      <dxf>
        <font>
          <sz val="10"/>
          <color auto="1"/>
          <name val="Arial"/>
          <scheme val="none"/>
        </font>
        <numFmt numFmtId="13" formatCode="0%"/>
      </dxf>
    </rfmt>
    <rfmt sheetId="7" sqref="F1" start="0" length="0">
      <dxf>
        <font>
          <sz val="10"/>
          <color auto="1"/>
          <name val="Arial"/>
          <scheme val="none"/>
        </font>
        <numFmt numFmtId="10" formatCode="&quot;$&quot;#,##0_);[Red]\(&quot;$&quot;#,##0\)"/>
      </dxf>
    </rfmt>
    <rfmt sheetId="7" s="1"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426" sId="7" ref="A1:XFD1" action="deleteRow">
    <rfmt sheetId="7" xfDxf="1" sqref="A1:XFD1" start="0" length="0"/>
    <rfmt sheetId="7" sqref="A1" start="0" length="0">
      <dxf>
        <font>
          <sz val="10"/>
          <color auto="1"/>
          <name val="Arial"/>
          <scheme val="none"/>
        </font>
      </dxf>
    </rfmt>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1" sqref="E1" start="0" length="0">
      <dxf>
        <font>
          <sz val="10"/>
          <color auto="1"/>
          <name val="Arial"/>
          <scheme val="none"/>
        </font>
        <numFmt numFmtId="13" formatCode="0%"/>
      </dxf>
    </rfmt>
    <rfmt sheetId="7" sqref="F1" start="0" length="0">
      <dxf>
        <font>
          <sz val="10"/>
          <color auto="1"/>
          <name val="Arial"/>
          <scheme val="none"/>
        </font>
        <numFmt numFmtId="10" formatCode="&quot;$&quot;#,##0_);[Red]\(&quot;$&quot;#,##0\)"/>
      </dxf>
    </rfmt>
    <rfmt sheetId="7" s="1"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427" sId="7" ref="A1:XFD1" action="deleteRow">
    <rfmt sheetId="7" xfDxf="1" sqref="A1:XFD1" start="0" length="0">
      <dxf>
        <fill>
          <patternFill patternType="solid">
            <bgColor theme="0" tint="-0.249977111117893"/>
          </patternFill>
        </fill>
        <border outline="0">
          <bottom style="medium">
            <color indexed="64"/>
          </bottom>
        </border>
      </dxf>
    </rfmt>
    <rcc rId="0" sId="7" dxf="1">
      <nc r="A1" t="inlineStr">
        <is>
          <t>Financing and Other</t>
        </is>
      </nc>
      <ndxf>
        <font>
          <b/>
          <sz val="10"/>
          <color auto="1"/>
          <name val="Arial"/>
          <scheme val="none"/>
        </font>
      </ndxf>
    </rcc>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1" sqref="E1" start="0" length="0">
      <dxf>
        <font>
          <sz val="10"/>
          <color auto="1"/>
          <name val="Arial"/>
          <scheme val="none"/>
        </font>
        <numFmt numFmtId="13" formatCode="0%"/>
      </dxf>
    </rfmt>
    <rfmt sheetId="7" sqref="F1" start="0" length="0">
      <dxf>
        <font>
          <sz val="10"/>
          <color auto="1"/>
          <name val="Arial"/>
          <scheme val="none"/>
        </font>
        <numFmt numFmtId="10" formatCode="&quot;$&quot;#,##0_);[Red]\(&quot;$&quot;#,##0\)"/>
      </dxf>
    </rfmt>
    <rfmt sheetId="7" s="1"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428" sId="7" ref="A1:XFD1" action="deleteRow">
    <undo index="0" exp="ref" ref3D="1" v="1" dr="C1" r="C163" sId="8"/>
    <undo index="0" exp="area" dr="N1:N22" r="N23" sId="7"/>
    <undo index="0" exp="area" dr="M1:M22" r="M23" sId="7"/>
    <rfmt sheetId="7" xfDxf="1" sqref="A1:XFD1" start="0" length="0"/>
    <rcc rId="0" sId="7" dxf="1">
      <nc r="A1" t="inlineStr">
        <is>
          <t>TOTAL: Debt Services Agencies (includes DS0, ZA0, CP0, ZB0, SM0, DT0)</t>
        </is>
      </nc>
      <ndxf>
        <font>
          <sz val="10"/>
          <color auto="1"/>
          <name val="Arial"/>
          <scheme val="none"/>
        </font>
      </ndxf>
    </rcc>
    <rcc rId="0" sId="7" dxf="1" numFmtId="11">
      <nc r="B1">
        <v>482785</v>
      </nc>
      <ndxf>
        <font>
          <sz val="10"/>
          <color auto="1"/>
          <name val="Arial"/>
          <scheme val="none"/>
        </font>
        <numFmt numFmtId="10" formatCode="&quot;$&quot;#,##0_);[Red]\(&quot;$&quot;#,##0\)"/>
      </ndxf>
    </rcc>
    <rcc rId="0" sId="7" dxf="1" numFmtId="11">
      <nc r="C1">
        <v>531131</v>
      </nc>
      <ndxf>
        <font>
          <sz val="10"/>
          <color auto="1"/>
          <name val="Arial"/>
          <scheme val="none"/>
        </font>
        <numFmt numFmtId="10" formatCode="&quot;$&quot;#,##0_);[Red]\(&quot;$&quot;#,##0\)"/>
      </ndxf>
    </rcc>
    <rcc rId="0" sId="7" dxf="1">
      <nc r="D1">
        <f>C1-B1</f>
      </nc>
      <ndxf>
        <font>
          <sz val="10"/>
          <color auto="1"/>
          <name val="Arial"/>
          <scheme val="none"/>
        </font>
        <numFmt numFmtId="10" formatCode="&quot;$&quot;#,##0_);[Red]\(&quot;$&quot;#,##0\)"/>
      </ndxf>
    </rcc>
    <rcc rId="0" sId="7" s="1" dxf="1">
      <nc r="E1">
        <f>D1/B1</f>
      </nc>
      <ndxf>
        <font>
          <sz val="10"/>
          <color auto="1"/>
          <name val="Arial"/>
          <scheme val="none"/>
        </font>
        <numFmt numFmtId="13" formatCode="0%"/>
      </ndxf>
    </rcc>
    <rcc rId="0" sId="7" dxf="1" numFmtId="11">
      <nc r="F1">
        <v>546045</v>
      </nc>
      <ndxf>
        <font>
          <sz val="10"/>
          <color auto="1"/>
          <name val="Arial"/>
          <scheme val="none"/>
        </font>
        <numFmt numFmtId="10" formatCode="&quot;$&quot;#,##0_);[Red]\(&quot;$&quot;#,##0\)"/>
      </ndxf>
    </rcc>
    <rcc rId="0" sId="7" s="1" dxf="1">
      <nc r="G1">
        <f>F1-C1</f>
      </nc>
      <ndxf>
        <font>
          <sz val="10"/>
          <color auto="1"/>
          <name val="Arial"/>
          <scheme val="none"/>
        </font>
        <numFmt numFmtId="10" formatCode="&quot;$&quot;#,##0_);[Red]\(&quot;$&quot;#,##0\)"/>
      </ndxf>
    </rcc>
    <rcc rId="0" sId="7" dxf="1">
      <nc r="H1">
        <f>G1/C1</f>
      </nc>
      <ndxf>
        <font>
          <sz val="10"/>
          <color auto="1"/>
          <name val="Arial"/>
          <scheme val="none"/>
        </font>
        <numFmt numFmtId="13" formatCode="0%"/>
      </ndxf>
    </rcc>
    <rcc rId="0" sId="7" dxf="1" numFmtId="4">
      <nc r="I1">
        <v>535045</v>
      </nc>
      <ndxf>
        <numFmt numFmtId="3" formatCode="#,##0"/>
      </ndxf>
    </rcc>
    <rcc rId="0" sId="7" dxf="1">
      <nc r="J1">
        <f>I1/B1</f>
      </nc>
      <ndxf>
        <numFmt numFmtId="164" formatCode="0.0%"/>
      </ndxf>
    </rcc>
    <rcc rId="0" sId="7" dxf="1">
      <nc r="K1" t="inlineStr">
        <is>
          <t>*</t>
        </is>
      </nc>
      <ndxf>
        <font>
          <sz val="10"/>
          <color auto="1"/>
          <name val="Arial"/>
          <scheme val="none"/>
        </font>
      </ndxf>
    </rcc>
    <rcc rId="0" sId="7" dxf="1">
      <nc r="L1">
        <f>I1/C1</f>
      </nc>
      <ndxf>
        <numFmt numFmtId="164" formatCode="0.0%"/>
      </ndxf>
    </rcc>
    <rcc rId="0" sId="7">
      <nc r="M1">
        <v>541819</v>
      </nc>
    </rcc>
    <rcc rId="0" sId="7">
      <nc r="N1">
        <v>486141</v>
      </nc>
    </rcc>
    <rcc rId="0" sId="7" dxf="1">
      <nc r="O1">
        <f>N1/M1-1</f>
      </nc>
      <ndxf>
        <numFmt numFmtId="14" formatCode="0.00%"/>
      </ndxf>
    </rcc>
  </rrc>
  <rrc rId="37429" sId="7" ref="A1:XFD1" action="deleteRow">
    <undo index="0" exp="ref" ref3D="1" v="1" dr="C1" r="C164" sId="8"/>
    <undo index="0" exp="area" dr="N1:N21" r="N22" sId="7"/>
    <undo index="0" exp="area" dr="M1:M21" r="M22" sId="7"/>
    <undo index="0" exp="area" dr="F1:F21" r="F22" sId="7"/>
    <undo index="0" exp="area" dr="C1:C21" r="C22" sId="7"/>
    <undo index="0" exp="area" dr="B1:B21" r="B22" sId="7"/>
    <rfmt sheetId="7" xfDxf="1" sqref="A1:XFD1" start="0" length="0"/>
    <rcc rId="0" sId="7" dxf="1">
      <nc r="A1" t="inlineStr">
        <is>
          <t xml:space="preserve">Repayment of Loans and Interest </t>
        </is>
      </nc>
      <ndxf>
        <font>
          <sz val="10"/>
          <color auto="1"/>
          <name val="Arial"/>
          <scheme val="none"/>
        </font>
        <border outline="0">
          <left style="medium">
            <color indexed="64"/>
          </left>
        </border>
      </ndxf>
    </rcc>
    <rcc rId="0" sId="7" dxf="1" numFmtId="11">
      <nc r="B1">
        <v>420827</v>
      </nc>
      <ndxf>
        <font>
          <sz val="10"/>
          <color auto="1"/>
          <name val="Arial"/>
          <scheme val="none"/>
        </font>
        <numFmt numFmtId="10" formatCode="&quot;$&quot;#,##0_);[Red]\(&quot;$&quot;#,##0\)"/>
      </ndxf>
    </rcc>
    <rcc rId="0" sId="7" dxf="1" numFmtId="11">
      <nc r="C1">
        <v>459727</v>
      </nc>
      <ndxf>
        <font>
          <sz val="10"/>
          <color auto="1"/>
          <name val="Arial"/>
          <scheme val="none"/>
        </font>
        <numFmt numFmtId="10" formatCode="&quot;$&quot;#,##0_);[Red]\(&quot;$&quot;#,##0\)"/>
      </ndxf>
    </rcc>
    <rcc rId="0" sId="7" dxf="1">
      <nc r="D1">
        <f>C1-B1</f>
      </nc>
      <ndxf>
        <font>
          <sz val="10"/>
          <color auto="1"/>
          <name val="Arial"/>
          <scheme val="none"/>
        </font>
        <numFmt numFmtId="10" formatCode="&quot;$&quot;#,##0_);[Red]\(&quot;$&quot;#,##0\)"/>
      </ndxf>
    </rcc>
    <rcc rId="0" sId="7" s="1" dxf="1">
      <nc r="E1">
        <f>D1/B1</f>
      </nc>
      <ndxf>
        <font>
          <sz val="10"/>
          <color auto="1"/>
          <name val="Arial"/>
          <scheme val="none"/>
        </font>
        <numFmt numFmtId="13" formatCode="0%"/>
      </ndxf>
    </rcc>
    <rcc rId="0" sId="7" dxf="1" numFmtId="11">
      <nc r="F1">
        <v>475148</v>
      </nc>
      <ndxf>
        <font>
          <sz val="10"/>
          <color auto="1"/>
          <name val="Arial"/>
          <scheme val="none"/>
        </font>
        <numFmt numFmtId="10" formatCode="&quot;$&quot;#,##0_);[Red]\(&quot;$&quot;#,##0\)"/>
      </ndxf>
    </rcc>
    <rcc rId="0" sId="7" s="1" dxf="1">
      <nc r="G1">
        <f>F1-C1</f>
      </nc>
      <ndxf>
        <font>
          <sz val="10"/>
          <color auto="1"/>
          <name val="Arial"/>
          <scheme val="none"/>
        </font>
        <numFmt numFmtId="10" formatCode="&quot;$&quot;#,##0_);[Red]\(&quot;$&quot;#,##0\)"/>
      </ndxf>
    </rcc>
    <rcc rId="0" sId="7" dxf="1">
      <nc r="H1">
        <f>G1/C1</f>
      </nc>
      <ndxf>
        <font>
          <sz val="10"/>
          <color auto="1"/>
          <name val="Arial"/>
          <scheme val="none"/>
        </font>
        <numFmt numFmtId="13" formatCode="0%"/>
      </ndxf>
    </rcc>
    <rcc rId="0" sId="7" dxf="1" numFmtId="4">
      <nc r="I1">
        <v>470148</v>
      </nc>
      <ndxf>
        <numFmt numFmtId="3" formatCode="#,##0"/>
      </ndxf>
    </rcc>
    <rcc rId="0" sId="7" dxf="1">
      <nc r="J1">
        <f>I1/B1</f>
      </nc>
      <ndxf>
        <numFmt numFmtId="164" formatCode="0.0%"/>
      </ndxf>
    </rcc>
    <rcc rId="0" sId="7" dxf="1">
      <nc r="K1" t="inlineStr">
        <is>
          <t>*</t>
        </is>
      </nc>
      <ndxf>
        <font>
          <sz val="10"/>
          <color auto="1"/>
          <name val="Arial"/>
          <scheme val="none"/>
        </font>
      </ndxf>
    </rcc>
    <rcc rId="0" sId="7" dxf="1">
      <nc r="L1">
        <f>I1/C1</f>
      </nc>
      <ndxf>
        <numFmt numFmtId="164" formatCode="0.0%"/>
      </ndxf>
    </rcc>
    <rcc rId="0" sId="7">
      <nc r="M1">
        <v>21477</v>
      </nc>
    </rcc>
    <rcc rId="0" sId="7">
      <nc r="N1">
        <v>21477</v>
      </nc>
    </rcc>
    <rcc rId="0" sId="7" dxf="1">
      <nc r="O1">
        <f>N1/M1-1</f>
      </nc>
      <ndxf>
        <numFmt numFmtId="14" formatCode="0.00%"/>
      </ndxf>
    </rcc>
  </rrc>
  <rrc rId="37430" sId="7" ref="A1:XFD1" action="deleteRow">
    <undo index="0" exp="ref" ref3D="1" v="1" dr="C1" r="C165" sId="8"/>
    <undo index="0" exp="area" dr="N1:N20" r="N21" sId="7"/>
    <undo index="0" exp="area" dr="M1:M20" r="M21" sId="7"/>
    <undo index="0" exp="area" dr="F1:F20" r="F21" sId="7"/>
    <undo index="0" exp="area" dr="C1:C20" r="C21" sId="7"/>
    <undo index="0" exp="area" dr="B1:B20" r="B21" sId="7"/>
    <rfmt sheetId="7" xfDxf="1" sqref="A1:XFD1" start="0" length="0"/>
    <rcc rId="0" sId="7" dxf="1">
      <nc r="A1" t="inlineStr">
        <is>
          <t>Short-term Borrowing</t>
        </is>
      </nc>
      <ndxf>
        <font>
          <sz val="10"/>
          <color auto="1"/>
          <name val="Arial"/>
          <scheme val="none"/>
        </font>
        <border outline="0">
          <left style="medium">
            <color indexed="64"/>
          </left>
        </border>
      </ndxf>
    </rcc>
    <rcc rId="0" sId="7" dxf="1" numFmtId="11">
      <nc r="B1">
        <v>7849</v>
      </nc>
      <ndxf>
        <font>
          <sz val="10"/>
          <color auto="1"/>
          <name val="Arial"/>
          <scheme val="none"/>
        </font>
        <numFmt numFmtId="10" formatCode="&quot;$&quot;#,##0_);[Red]\(&quot;$&quot;#,##0\)"/>
      </ndxf>
    </rcc>
    <rcc rId="0" sId="7" dxf="1" numFmtId="11">
      <nc r="C1">
        <v>9000</v>
      </nc>
      <ndxf>
        <font>
          <sz val="10"/>
          <color auto="1"/>
          <name val="Arial"/>
          <scheme val="none"/>
        </font>
        <numFmt numFmtId="10" formatCode="&quot;$&quot;#,##0_);[Red]\(&quot;$&quot;#,##0\)"/>
      </ndxf>
    </rcc>
    <rcc rId="0" sId="7" dxf="1">
      <nc r="D1">
        <f>C1-B1</f>
      </nc>
      <ndxf>
        <font>
          <sz val="10"/>
          <color auto="1"/>
          <name val="Arial"/>
          <scheme val="none"/>
        </font>
        <numFmt numFmtId="10" formatCode="&quot;$&quot;#,##0_);[Red]\(&quot;$&quot;#,##0\)"/>
      </ndxf>
    </rcc>
    <rcc rId="0" sId="7" s="1" dxf="1">
      <nc r="E1">
        <f>D1/B1</f>
      </nc>
      <ndxf>
        <font>
          <sz val="10"/>
          <color auto="1"/>
          <name val="Arial"/>
          <scheme val="none"/>
        </font>
        <numFmt numFmtId="13" formatCode="0%"/>
      </ndxf>
    </rcc>
    <rcc rId="0" sId="7" dxf="1" numFmtId="11">
      <nc r="F1">
        <v>9000</v>
      </nc>
      <ndxf>
        <font>
          <sz val="10"/>
          <color auto="1"/>
          <name val="Arial"/>
          <scheme val="none"/>
        </font>
        <numFmt numFmtId="10" formatCode="&quot;$&quot;#,##0_);[Red]\(&quot;$&quot;#,##0\)"/>
      </ndxf>
    </rcc>
    <rcc rId="0" sId="7" s="1" dxf="1">
      <nc r="G1">
        <f>F1-C1</f>
      </nc>
      <ndxf>
        <font>
          <sz val="10"/>
          <color auto="1"/>
          <name val="Arial"/>
          <scheme val="none"/>
        </font>
        <numFmt numFmtId="10" formatCode="&quot;$&quot;#,##0_);[Red]\(&quot;$&quot;#,##0\)"/>
      </ndxf>
    </rcc>
    <rcc rId="0" sId="7" dxf="1">
      <nc r="H1">
        <f>G1/C1</f>
      </nc>
      <ndxf>
        <font>
          <sz val="10"/>
          <color auto="1"/>
          <name val="Arial"/>
          <scheme val="none"/>
        </font>
        <numFmt numFmtId="13" formatCode="0%"/>
      </ndxf>
    </rcc>
    <rcc rId="0" sId="7" dxf="1" numFmtId="4">
      <nc r="I1">
        <v>9000</v>
      </nc>
      <ndxf>
        <numFmt numFmtId="3" formatCode="#,##0"/>
      </ndxf>
    </rcc>
    <rcc rId="0" sId="7" dxf="1">
      <nc r="J1">
        <f>I1/B1</f>
      </nc>
      <ndxf>
        <numFmt numFmtId="164" formatCode="0.0%"/>
      </ndxf>
    </rcc>
    <rcc rId="0" sId="7" dxf="1">
      <nc r="K1" t="inlineStr">
        <is>
          <t>**</t>
        </is>
      </nc>
      <ndxf>
        <font>
          <sz val="10"/>
          <color auto="1"/>
          <name val="Arial"/>
          <scheme val="none"/>
        </font>
      </ndxf>
    </rcc>
    <rcc rId="0" sId="7" dxf="1">
      <nc r="L1">
        <f>I1/C1</f>
      </nc>
      <ndxf>
        <numFmt numFmtId="164" formatCode="0.0%"/>
      </ndxf>
    </rcc>
    <rcc rId="0" sId="7">
      <nc r="M1">
        <v>3625</v>
      </nc>
    </rcc>
    <rcc rId="0" sId="7">
      <nc r="N1">
        <v>3598</v>
      </nc>
    </rcc>
    <rcc rId="0" sId="7" dxf="1">
      <nc r="O1">
        <f>N1/M1-1</f>
      </nc>
      <ndxf>
        <numFmt numFmtId="14" formatCode="0.00%"/>
      </ndxf>
    </rcc>
  </rrc>
  <rrc rId="37431" sId="7" ref="A1:XFD1" action="deleteRow">
    <undo index="0" exp="ref" ref3D="1" v="1" dr="C1" r="C166" sId="8"/>
    <undo index="0" exp="area" dr="N1:N19" r="N20" sId="7"/>
    <undo index="0" exp="area" dr="M1:M19" r="M20" sId="7"/>
    <undo index="0" exp="area" dr="F1:F19" r="F20" sId="7"/>
    <undo index="0" exp="area" dr="C1:C19" r="C20" sId="7"/>
    <undo index="0" exp="area" dr="B1:B19" r="B20" sId="7"/>
    <rfmt sheetId="7" xfDxf="1" sqref="A1:XFD1" start="0" length="0"/>
    <rcc rId="0" sId="7" dxf="1">
      <nc r="A1" t="inlineStr">
        <is>
          <t>Certificate of Participation - One Judiciary Square</t>
        </is>
      </nc>
      <ndxf>
        <font>
          <sz val="10"/>
          <color auto="1"/>
          <name val="Arial"/>
          <scheme val="none"/>
        </font>
        <border outline="0">
          <left style="medium">
            <color indexed="64"/>
          </left>
        </border>
      </ndxf>
    </rcc>
    <rcc rId="0" sId="7" dxf="1" numFmtId="11">
      <nc r="B1">
        <v>30664</v>
      </nc>
      <ndxf>
        <font>
          <sz val="10"/>
          <color auto="1"/>
          <name val="Arial"/>
          <scheme val="none"/>
        </font>
        <numFmt numFmtId="10" formatCode="&quot;$&quot;#,##0_);[Red]\(&quot;$&quot;#,##0\)"/>
      </ndxf>
    </rcc>
    <rcc rId="0" sId="7" dxf="1" numFmtId="11">
      <nc r="C1">
        <v>32791</v>
      </nc>
      <ndxf>
        <font>
          <sz val="10"/>
          <color auto="1"/>
          <name val="Arial"/>
          <scheme val="none"/>
        </font>
        <numFmt numFmtId="10" formatCode="&quot;$&quot;#,##0_);[Red]\(&quot;$&quot;#,##0\)"/>
      </ndxf>
    </rcc>
    <rcc rId="0" sId="7" dxf="1">
      <nc r="D1">
        <f>C1-B1</f>
      </nc>
      <ndxf>
        <font>
          <sz val="10"/>
          <color auto="1"/>
          <name val="Arial"/>
          <scheme val="none"/>
        </font>
        <numFmt numFmtId="10" formatCode="&quot;$&quot;#,##0_);[Red]\(&quot;$&quot;#,##0\)"/>
      </ndxf>
    </rcc>
    <rcc rId="0" sId="7" s="1" dxf="1">
      <nc r="E1">
        <f>D1/B1</f>
      </nc>
      <ndxf>
        <font>
          <sz val="10"/>
          <color auto="1"/>
          <name val="Arial"/>
          <scheme val="none"/>
        </font>
        <numFmt numFmtId="13" formatCode="0%"/>
      </ndxf>
    </rcc>
    <rcc rId="0" sId="7" dxf="1" numFmtId="11">
      <nc r="F1">
        <v>32285</v>
      </nc>
      <ndxf>
        <font>
          <sz val="10"/>
          <color auto="1"/>
          <name val="Arial"/>
          <scheme val="none"/>
        </font>
        <numFmt numFmtId="10" formatCode="&quot;$&quot;#,##0_);[Red]\(&quot;$&quot;#,##0\)"/>
      </ndxf>
    </rcc>
    <rcc rId="0" sId="7" s="1" dxf="1">
      <nc r="G1">
        <f>F1-C1</f>
      </nc>
      <ndxf>
        <font>
          <sz val="10"/>
          <color auto="1"/>
          <name val="Arial"/>
          <scheme val="none"/>
        </font>
        <numFmt numFmtId="10" formatCode="&quot;$&quot;#,##0_);[Red]\(&quot;$&quot;#,##0\)"/>
      </ndxf>
    </rcc>
    <rcc rId="0" sId="7" dxf="1">
      <nc r="H1">
        <f>G1/C1</f>
      </nc>
      <ndxf>
        <font>
          <sz val="10"/>
          <color auto="1"/>
          <name val="Arial"/>
          <scheme val="none"/>
        </font>
        <numFmt numFmtId="13" formatCode="0%"/>
      </ndxf>
    </rcc>
    <rcc rId="0" sId="7" dxf="1" numFmtId="4">
      <nc r="I1">
        <v>32285</v>
      </nc>
      <ndxf>
        <numFmt numFmtId="3" formatCode="#,##0"/>
      </ndxf>
    </rcc>
    <rcc rId="0" sId="7" dxf="1">
      <nc r="J1">
        <f>I1/B1</f>
      </nc>
      <ndxf>
        <numFmt numFmtId="164" formatCode="0.0%"/>
      </ndxf>
    </rcc>
    <rcc rId="0" sId="7" dxf="1">
      <nc r="K1" t="inlineStr">
        <is>
          <t>*</t>
        </is>
      </nc>
      <ndxf>
        <font>
          <sz val="10"/>
          <color auto="1"/>
          <name val="Arial"/>
          <scheme val="none"/>
        </font>
      </ndxf>
    </rcc>
    <rcc rId="0" sId="7" dxf="1">
      <nc r="L1">
        <f>I1/C1</f>
      </nc>
      <ndxf>
        <numFmt numFmtId="164" formatCode="0.0%"/>
      </ndxf>
    </rcc>
    <rcc rId="0" sId="7" dxf="1">
      <nc r="O1">
        <f>N1/M1-1</f>
      </nc>
      <ndxf>
        <numFmt numFmtId="14" formatCode="0.00%"/>
      </ndxf>
    </rcc>
  </rrc>
  <rrc rId="37432" sId="7" ref="A1:XFD1" action="deleteRow">
    <undo index="0" exp="ref" ref3D="1" v="1" dr="C1" r="C167" sId="8"/>
    <undo index="0" exp="area" dr="N1:N18" r="N19" sId="7"/>
    <undo index="0" exp="area" dr="M1:M18" r="M19" sId="7"/>
    <undo index="0" exp="area" dr="F1:F18" r="F19" sId="7"/>
    <undo index="0" exp="area" dr="C1:C18" r="C19" sId="7"/>
    <undo index="0" exp="area" dr="B1:B18" r="B19" sId="7"/>
    <rfmt sheetId="7" xfDxf="1" sqref="A1:XFD1" start="0" length="0"/>
    <rcc rId="0" sId="7" dxf="1">
      <nc r="A1" t="inlineStr">
        <is>
          <t>Settlements and Judgements</t>
        </is>
      </nc>
      <ndxf>
        <font>
          <sz val="10"/>
          <color auto="1"/>
          <name val="Arial"/>
          <scheme val="none"/>
        </font>
        <border outline="0">
          <left style="medium">
            <color indexed="64"/>
          </left>
        </border>
      </ndxf>
    </rcc>
    <rcc rId="0" sId="7" dxf="1" numFmtId="11">
      <nc r="B1">
        <v>21015</v>
      </nc>
      <ndxf>
        <font>
          <sz val="10"/>
          <color auto="1"/>
          <name val="Arial"/>
          <scheme val="none"/>
        </font>
        <numFmt numFmtId="10" formatCode="&quot;$&quot;#,##0_);[Red]\(&quot;$&quot;#,##0\)"/>
      </ndxf>
    </rcc>
    <rcc rId="0" sId="7" dxf="1" numFmtId="11">
      <nc r="C1">
        <v>21477</v>
      </nc>
      <ndxf>
        <font>
          <sz val="10"/>
          <color auto="1"/>
          <name val="Arial"/>
          <scheme val="none"/>
        </font>
        <numFmt numFmtId="10" formatCode="&quot;$&quot;#,##0_);[Red]\(&quot;$&quot;#,##0\)"/>
      </ndxf>
    </rcc>
    <rcc rId="0" sId="7" dxf="1">
      <nc r="D1">
        <f>C1-B1</f>
      </nc>
      <ndxf>
        <font>
          <sz val="10"/>
          <color auto="1"/>
          <name val="Arial"/>
          <scheme val="none"/>
        </font>
        <numFmt numFmtId="10" formatCode="&quot;$&quot;#,##0_);[Red]\(&quot;$&quot;#,##0\)"/>
      </ndxf>
    </rcc>
    <rcc rId="0" sId="7" s="1" dxf="1">
      <nc r="E1">
        <f>D1/B1</f>
      </nc>
      <ndxf>
        <font>
          <sz val="10"/>
          <color auto="1"/>
          <name val="Arial"/>
          <scheme val="none"/>
        </font>
        <numFmt numFmtId="13" formatCode="0%"/>
      </ndxf>
    </rcc>
    <rcc rId="0" sId="7" dxf="1" numFmtId="11">
      <nc r="F1">
        <v>21477</v>
      </nc>
      <ndxf>
        <font>
          <sz val="10"/>
          <color auto="1"/>
          <name val="Arial"/>
          <scheme val="none"/>
        </font>
        <numFmt numFmtId="10" formatCode="&quot;$&quot;#,##0_);[Red]\(&quot;$&quot;#,##0\)"/>
      </ndxf>
    </rcc>
    <rcc rId="0" sId="7" s="1" dxf="1">
      <nc r="G1">
        <f>F1-C1</f>
      </nc>
      <ndxf>
        <font>
          <sz val="10"/>
          <color auto="1"/>
          <name val="Arial"/>
          <scheme val="none"/>
        </font>
        <numFmt numFmtId="10" formatCode="&quot;$&quot;#,##0_);[Red]\(&quot;$&quot;#,##0\)"/>
      </ndxf>
    </rcc>
    <rcc rId="0" sId="7" dxf="1">
      <nc r="H1">
        <f>G1/C1</f>
      </nc>
      <ndxf>
        <font>
          <sz val="10"/>
          <color auto="1"/>
          <name val="Arial"/>
          <scheme val="none"/>
        </font>
        <numFmt numFmtId="13" formatCode="0%"/>
      </ndxf>
    </rcc>
    <rcc rId="0" sId="7" dxf="1" numFmtId="4">
      <nc r="I1">
        <v>21477</v>
      </nc>
      <ndxf>
        <numFmt numFmtId="3" formatCode="#,##0"/>
      </ndxf>
    </rcc>
    <rcc rId="0" sId="7" dxf="1">
      <nc r="J1">
        <f>I1/B1</f>
      </nc>
      <ndxf>
        <numFmt numFmtId="164" formatCode="0.0%"/>
      </ndxf>
    </rcc>
    <rcc rId="0" sId="7" dxf="1">
      <nc r="K1" t="inlineStr">
        <is>
          <t>*</t>
        </is>
      </nc>
      <ndxf>
        <font>
          <sz val="10"/>
          <color auto="1"/>
          <name val="Arial"/>
          <scheme val="none"/>
        </font>
      </ndxf>
    </rcc>
    <rcc rId="0" sId="7" dxf="1">
      <nc r="L1">
        <f>I1/C1</f>
      </nc>
      <ndxf>
        <numFmt numFmtId="164" formatCode="0.0%"/>
      </ndxf>
    </rcc>
    <rcc rId="0" sId="7" dxf="1">
      <nc r="O1">
        <f>N1/M1-1</f>
      </nc>
      <ndxf>
        <numFmt numFmtId="14" formatCode="0.00%"/>
      </ndxf>
    </rcc>
  </rrc>
  <rrc rId="37433" sId="7" ref="A1:XFD1" action="deleteRow">
    <undo index="0" exp="ref" ref3D="1" v="1" dr="C1" r="C168" sId="8"/>
    <undo index="0" exp="area" dr="N1:N17" r="N18" sId="7"/>
    <undo index="0" exp="area" dr="M1:M17" r="M18" sId="7"/>
    <undo index="0" exp="area" dr="F1:F17" r="F18" sId="7"/>
    <undo index="0" exp="area" dr="C1:C17" r="C18" sId="7"/>
    <undo index="0" exp="area" dr="B1:B17" r="B18" sId="7"/>
    <rfmt sheetId="7" xfDxf="1" sqref="A1:XFD1" start="0" length="0"/>
    <rcc rId="0" sId="7" dxf="1">
      <nc r="A1" t="inlineStr">
        <is>
          <t>John A. Wilson Building Fund</t>
        </is>
      </nc>
      <ndxf>
        <font>
          <sz val="10"/>
          <color auto="1"/>
          <name val="Arial"/>
          <scheme val="none"/>
        </font>
        <border outline="0">
          <left style="medium">
            <color indexed="64"/>
          </left>
        </border>
      </ndxf>
    </rcc>
    <rcc rId="0" sId="7" dxf="1" numFmtId="11">
      <nc r="B1">
        <v>4147</v>
      </nc>
      <ndxf>
        <font>
          <sz val="10"/>
          <color auto="1"/>
          <name val="Arial"/>
          <scheme val="none"/>
        </font>
        <numFmt numFmtId="10" formatCode="&quot;$&quot;#,##0_);[Red]\(&quot;$&quot;#,##0\)"/>
      </ndxf>
    </rcc>
    <rcc rId="0" sId="7" dxf="1" numFmtId="11">
      <nc r="C1">
        <v>4058</v>
      </nc>
      <ndxf>
        <font>
          <sz val="10"/>
          <color auto="1"/>
          <name val="Arial"/>
          <scheme val="none"/>
        </font>
        <numFmt numFmtId="10" formatCode="&quot;$&quot;#,##0_);[Red]\(&quot;$&quot;#,##0\)"/>
      </ndxf>
    </rcc>
    <rcc rId="0" sId="7" dxf="1">
      <nc r="D1">
        <f>C1-B1</f>
      </nc>
      <ndxf>
        <font>
          <sz val="10"/>
          <color auto="1"/>
          <name val="Arial"/>
          <scheme val="none"/>
        </font>
        <numFmt numFmtId="10" formatCode="&quot;$&quot;#,##0_);[Red]\(&quot;$&quot;#,##0\)"/>
      </ndxf>
    </rcc>
    <rcc rId="0" sId="7" s="1" dxf="1">
      <nc r="E1">
        <f>D1/B1</f>
      </nc>
      <ndxf>
        <font>
          <sz val="10"/>
          <color auto="1"/>
          <name val="Arial"/>
          <scheme val="none"/>
        </font>
        <numFmt numFmtId="13" formatCode="0%"/>
      </ndxf>
    </rcc>
    <rcc rId="0" sId="7" dxf="1" numFmtId="11">
      <nc r="F1">
        <v>3625</v>
      </nc>
      <ndxf>
        <font>
          <sz val="10"/>
          <color auto="1"/>
          <name val="Arial"/>
          <scheme val="none"/>
        </font>
        <numFmt numFmtId="10" formatCode="&quot;$&quot;#,##0_);[Red]\(&quot;$&quot;#,##0\)"/>
      </ndxf>
    </rcc>
    <rcc rId="0" sId="7" s="1" dxf="1">
      <nc r="G1">
        <f>F1-C1</f>
      </nc>
      <ndxf>
        <font>
          <sz val="10"/>
          <color auto="1"/>
          <name val="Arial"/>
          <scheme val="none"/>
        </font>
        <numFmt numFmtId="10" formatCode="&quot;$&quot;#,##0_);[Red]\(&quot;$&quot;#,##0\)"/>
      </ndxf>
    </rcc>
    <rcc rId="0" sId="7" dxf="1">
      <nc r="H1">
        <f>G1/C1</f>
      </nc>
      <ndxf>
        <font>
          <sz val="10"/>
          <color auto="1"/>
          <name val="Arial"/>
          <scheme val="none"/>
        </font>
        <numFmt numFmtId="13" formatCode="0%"/>
      </ndxf>
    </rcc>
    <rcc rId="0" sId="7" dxf="1" numFmtId="4">
      <nc r="I1">
        <v>3625</v>
      </nc>
      <ndxf>
        <numFmt numFmtId="3" formatCode="#,##0"/>
      </ndxf>
    </rcc>
    <rcc rId="0" sId="7" dxf="1">
      <nc r="J1">
        <f>I1/B1</f>
      </nc>
      <ndxf>
        <numFmt numFmtId="164" formatCode="0.0%"/>
      </ndxf>
    </rcc>
    <rcc rId="0" sId="7" dxf="1">
      <nc r="K1" t="inlineStr">
        <is>
          <t>*</t>
        </is>
      </nc>
      <ndxf>
        <font>
          <sz val="10"/>
          <color auto="1"/>
          <name val="Arial"/>
          <scheme val="none"/>
        </font>
      </ndxf>
    </rcc>
    <rcc rId="0" sId="7" dxf="1">
      <nc r="L1">
        <f>I1/C1</f>
      </nc>
      <ndxf>
        <numFmt numFmtId="164" formatCode="0.0%"/>
      </ndxf>
    </rcc>
    <rcc rId="0" sId="7" dxf="1">
      <nc r="O1">
        <f>N1/M1-1</f>
      </nc>
      <ndxf>
        <numFmt numFmtId="14" formatCode="0.00%"/>
      </ndxf>
    </rcc>
  </rrc>
  <rrc rId="37434" sId="7" ref="A1:XFD1" action="deleteRow">
    <undo index="0" exp="ref" ref3D="1" v="1" dr="C1" r="C169" sId="8"/>
    <undo index="0" exp="area" dr="N1:N16" r="N17" sId="7"/>
    <undo index="0" exp="area" dr="M1:M16" r="M17" sId="7"/>
    <undo index="0" exp="area" dr="F1:F16" r="F17" sId="7"/>
    <undo index="0" exp="area" dr="C1:C16" r="C17" sId="7"/>
    <undo index="0" exp="area" dr="B1:B16" r="B17" sId="7"/>
    <rfmt sheetId="7" xfDxf="1" sqref="A1:XFD1" start="0" length="0"/>
    <rcc rId="0" sId="7" dxf="1">
      <nc r="A1" t="inlineStr">
        <is>
          <t>Workforce Investments</t>
        </is>
      </nc>
      <ndxf>
        <font>
          <sz val="10"/>
          <color auto="1"/>
          <name val="Arial"/>
          <scheme val="none"/>
        </font>
        <border outline="0">
          <left style="medium">
            <color indexed="64"/>
          </left>
        </border>
      </ndxf>
    </rcc>
    <rcc rId="0" sId="7" dxf="1" numFmtId="11">
      <nc r="B1">
        <v>21044</v>
      </nc>
      <ndxf>
        <font>
          <sz val="10"/>
          <color auto="1"/>
          <name val="Arial"/>
          <scheme val="none"/>
        </font>
        <numFmt numFmtId="10" formatCode="&quot;$&quot;#,##0_);[Red]\(&quot;$&quot;#,##0\)"/>
      </ndxf>
    </rcc>
    <rcc rId="0" sId="7" dxf="1" numFmtId="11">
      <nc r="C1">
        <v>26691</v>
      </nc>
      <ndxf>
        <font>
          <sz val="10"/>
          <color auto="1"/>
          <name val="Arial"/>
          <scheme val="none"/>
        </font>
        <numFmt numFmtId="10" formatCode="&quot;$&quot;#,##0_);[Red]\(&quot;$&quot;#,##0\)"/>
      </ndxf>
    </rcc>
    <rcc rId="0" sId="7" dxf="1">
      <nc r="D1">
        <f>C1-B1</f>
      </nc>
      <ndxf>
        <font>
          <sz val="10"/>
          <color auto="1"/>
          <name val="Arial"/>
          <scheme val="none"/>
        </font>
        <numFmt numFmtId="10" formatCode="&quot;$&quot;#,##0_);[Red]\(&quot;$&quot;#,##0\)"/>
      </ndxf>
    </rcc>
    <rcc rId="0" sId="7" s="1" dxf="1">
      <nc r="E1">
        <f>D1/B1</f>
      </nc>
      <ndxf>
        <font>
          <sz val="10"/>
          <color auto="1"/>
          <name val="Arial"/>
          <scheme val="none"/>
        </font>
        <numFmt numFmtId="13" formatCode="0%"/>
      </ndxf>
    </rcc>
    <rcc rId="0" sId="7" dxf="1" numFmtId="11">
      <nc r="F1">
        <v>0</v>
      </nc>
      <ndxf>
        <font>
          <sz val="10"/>
          <color auto="1"/>
          <name val="Arial"/>
          <scheme val="none"/>
        </font>
        <numFmt numFmtId="10" formatCode="&quot;$&quot;#,##0_);[Red]\(&quot;$&quot;#,##0\)"/>
      </ndxf>
    </rcc>
    <rcc rId="0" sId="7" s="1" dxf="1">
      <nc r="G1">
        <f>F1-C1</f>
      </nc>
      <ndxf>
        <font>
          <sz val="10"/>
          <color auto="1"/>
          <name val="Arial"/>
          <scheme val="none"/>
        </font>
        <numFmt numFmtId="10" formatCode="&quot;$&quot;#,##0_);[Red]\(&quot;$&quot;#,##0\)"/>
      </ndxf>
    </rcc>
    <rcc rId="0" sId="7" dxf="1">
      <nc r="H1">
        <f>G1/C1</f>
      </nc>
      <ndxf>
        <font>
          <sz val="10"/>
          <color auto="1"/>
          <name val="Arial"/>
          <scheme val="none"/>
        </font>
        <numFmt numFmtId="13" formatCode="0%"/>
      </ndxf>
    </rcc>
    <rcc rId="0" sId="7" dxf="1" numFmtId="4">
      <nc r="I1">
        <v>0</v>
      </nc>
      <ndxf>
        <numFmt numFmtId="3" formatCode="#,##0"/>
      </ndxf>
    </rcc>
    <rcc rId="0" sId="7" dxf="1">
      <nc r="J1">
        <f>I1/B1</f>
      </nc>
      <ndxf>
        <numFmt numFmtId="164" formatCode="0.0%"/>
      </ndxf>
    </rcc>
    <rcc rId="0" sId="7" dxf="1">
      <nc r="L1">
        <f>I1/C1</f>
      </nc>
      <ndxf>
        <numFmt numFmtId="164" formatCode="0.0%"/>
      </ndxf>
    </rcc>
    <rcc rId="0" sId="7" dxf="1">
      <nc r="O1">
        <f>N1/M1-1</f>
      </nc>
      <ndxf>
        <numFmt numFmtId="14" formatCode="0.00%"/>
      </ndxf>
    </rcc>
  </rrc>
  <rrc rId="37435" sId="7" ref="A1:XFD1" action="deleteRow">
    <undo index="0" exp="ref" ref3D="1" v="1" dr="C1" r="C170" sId="8"/>
    <undo index="0" exp="area" dr="N1:N15" r="N16" sId="7"/>
    <undo index="0" exp="area" dr="M1:M15" r="M16" sId="7"/>
    <undo index="0" exp="area" dr="F1:F15" r="F16" sId="7"/>
    <undo index="0" exp="area" dr="C1:C15" r="C16" sId="7"/>
    <undo index="0" exp="area" dr="B1:B15" r="B16" sId="7"/>
    <rfmt sheetId="7" xfDxf="1" sqref="A1:XFD1" start="0" length="0"/>
    <rcc rId="0" sId="7" dxf="1">
      <nc r="A1" t="inlineStr">
        <is>
          <t xml:space="preserve">Non-Departmental   </t>
        </is>
      </nc>
      <ndxf>
        <font>
          <sz val="10"/>
          <color auto="1"/>
          <name val="Arial"/>
          <scheme val="none"/>
        </font>
        <border outline="0">
          <left style="medium">
            <color indexed="64"/>
          </left>
        </border>
      </ndxf>
    </rcc>
    <rcc rId="0" sId="7" dxf="1" numFmtId="11">
      <nc r="B1">
        <v>0</v>
      </nc>
      <ndxf>
        <font>
          <sz val="10"/>
          <color auto="1"/>
          <name val="Arial"/>
          <scheme val="none"/>
        </font>
        <numFmt numFmtId="10" formatCode="&quot;$&quot;#,##0_);[Red]\(&quot;$&quot;#,##0\)"/>
      </ndxf>
    </rcc>
    <rcc rId="0" sId="7" dxf="1" numFmtId="11">
      <nc r="C1">
        <v>39279</v>
      </nc>
      <ndxf>
        <font>
          <sz val="10"/>
          <color auto="1"/>
          <name val="Arial"/>
          <scheme val="none"/>
        </font>
        <numFmt numFmtId="10" formatCode="&quot;$&quot;#,##0_);[Red]\(&quot;$&quot;#,##0\)"/>
      </ndxf>
    </rcc>
    <rcc rId="0" sId="7" dxf="1">
      <nc r="D1">
        <f>C1-B1</f>
      </nc>
      <ndxf>
        <font>
          <sz val="10"/>
          <color auto="1"/>
          <name val="Arial"/>
          <scheme val="none"/>
        </font>
        <numFmt numFmtId="10" formatCode="&quot;$&quot;#,##0_);[Red]\(&quot;$&quot;#,##0\)"/>
      </ndxf>
    </rcc>
    <rcc rId="0" sId="7" dxf="1">
      <nc r="E1" t="inlineStr">
        <is>
          <t>—</t>
        </is>
      </nc>
      <ndxf>
        <font>
          <sz val="10"/>
          <color auto="1"/>
          <name val="Arial"/>
          <scheme val="none"/>
        </font>
        <numFmt numFmtId="164" formatCode="0.0%"/>
        <alignment horizontal="right" vertical="top" readingOrder="0"/>
      </ndxf>
    </rcc>
    <rcc rId="0" sId="7" dxf="1" numFmtId="11">
      <nc r="F1">
        <v>12697</v>
      </nc>
      <ndxf>
        <font>
          <sz val="10"/>
          <color auto="1"/>
          <name val="Arial"/>
          <scheme val="none"/>
        </font>
        <numFmt numFmtId="10" formatCode="&quot;$&quot;#,##0_);[Red]\(&quot;$&quot;#,##0\)"/>
      </ndxf>
    </rcc>
    <rcc rId="0" sId="7" s="1" dxf="1">
      <nc r="G1">
        <f>F1-C1</f>
      </nc>
      <ndxf>
        <font>
          <sz val="10"/>
          <color auto="1"/>
          <name val="Arial"/>
          <scheme val="none"/>
        </font>
        <numFmt numFmtId="10" formatCode="&quot;$&quot;#,##0_);[Red]\(&quot;$&quot;#,##0\)"/>
      </ndxf>
    </rcc>
    <rcc rId="0" sId="7" dxf="1">
      <nc r="H1">
        <f>G1/C1</f>
      </nc>
      <ndxf>
        <font>
          <sz val="10"/>
          <color auto="1"/>
          <name val="Arial"/>
          <scheme val="none"/>
        </font>
        <numFmt numFmtId="13" formatCode="0%"/>
      </ndxf>
    </rcc>
    <rcc rId="0" sId="7" dxf="1" numFmtId="4">
      <nc r="I1">
        <v>12697</v>
      </nc>
      <ndxf>
        <numFmt numFmtId="3" formatCode="#,##0"/>
      </ndxf>
    </rcc>
    <rcc rId="0" sId="7" dxf="1">
      <nc r="J1">
        <f>I1/B1</f>
      </nc>
      <ndxf>
        <numFmt numFmtId="164" formatCode="0.0%"/>
      </ndxf>
    </rcc>
    <rcc rId="0" sId="7" dxf="1">
      <nc r="L1">
        <f>I1/C1</f>
      </nc>
      <ndxf>
        <numFmt numFmtId="164" formatCode="0.0%"/>
      </ndxf>
    </rcc>
    <rcc rId="0" sId="7">
      <nc r="M1">
        <v>3603</v>
      </nc>
    </rcc>
    <rcc rId="0" sId="7">
      <nc r="N1">
        <v>973</v>
      </nc>
    </rcc>
    <rcc rId="0" sId="7" dxf="1">
      <nc r="O1">
        <f>N1/M1-1</f>
      </nc>
      <ndxf>
        <numFmt numFmtId="14" formatCode="0.00%"/>
      </ndxf>
    </rcc>
  </rrc>
  <rrc rId="37436" sId="7" ref="A1:XFD1" action="deleteRow">
    <undo index="0" exp="ref" ref3D="1" v="1" dr="C1" r="C171" sId="8"/>
    <undo index="0" exp="area" dr="N1:N14" r="N15" sId="7"/>
    <undo index="0" exp="area" dr="M1:M14" r="M15" sId="7"/>
    <undo index="0" exp="area" dr="F1:F14" r="F15" sId="7"/>
    <undo index="0" exp="area" dr="C1:C14" r="C15" sId="7"/>
    <undo index="0" exp="area" dr="B1:B14" r="B15" sId="7"/>
    <rfmt sheetId="7" xfDxf="1" sqref="A1:XFD1" start="0" length="0"/>
    <rcc rId="0" sId="7" dxf="1">
      <nc r="A1" t="inlineStr">
        <is>
          <t>Budget Reserve*</t>
        </is>
      </nc>
      <ndxf>
        <font>
          <sz val="10"/>
          <color auto="1"/>
          <name val="Arial"/>
          <scheme val="none"/>
        </font>
        <border outline="0">
          <left style="medium">
            <color indexed="64"/>
          </left>
        </border>
      </ndxf>
    </rcc>
    <rcc rId="0" sId="7" dxf="1" numFmtId="11">
      <nc r="B1">
        <v>0</v>
      </nc>
      <ndxf>
        <font>
          <sz val="10"/>
          <color auto="1"/>
          <name val="Arial"/>
          <scheme val="none"/>
        </font>
        <numFmt numFmtId="10" formatCode="&quot;$&quot;#,##0_);[Red]\(&quot;$&quot;#,##0\)"/>
      </ndxf>
    </rcc>
    <rcc rId="0" sId="7" dxf="1" numFmtId="11">
      <nc r="C1">
        <v>46000</v>
      </nc>
      <ndxf>
        <font>
          <sz val="10"/>
          <color auto="1"/>
          <name val="Arial"/>
          <scheme val="none"/>
        </font>
        <numFmt numFmtId="10" formatCode="&quot;$&quot;#,##0_);[Red]\(&quot;$&quot;#,##0\)"/>
      </ndxf>
    </rcc>
    <rcc rId="0" sId="7" dxf="1">
      <nc r="D1">
        <f>C1-B1</f>
      </nc>
      <ndxf>
        <font>
          <sz val="10"/>
          <color auto="1"/>
          <name val="Arial"/>
          <scheme val="none"/>
        </font>
        <numFmt numFmtId="10" formatCode="&quot;$&quot;#,##0_);[Red]\(&quot;$&quot;#,##0\)"/>
      </ndxf>
    </rcc>
    <rcc rId="0" sId="7" dxf="1">
      <nc r="E1" t="inlineStr">
        <is>
          <t>—</t>
        </is>
      </nc>
      <ndxf>
        <font>
          <sz val="10"/>
          <color auto="1"/>
          <name val="Arial"/>
          <scheme val="none"/>
        </font>
        <numFmt numFmtId="164" formatCode="0.0%"/>
        <alignment horizontal="right" vertical="top" readingOrder="0"/>
      </ndxf>
    </rcc>
    <rcc rId="0" sId="7" dxf="1" numFmtId="11">
      <nc r="F1">
        <v>0</v>
      </nc>
      <ndxf>
        <font>
          <sz val="10"/>
          <color auto="1"/>
          <name val="Arial"/>
          <scheme val="none"/>
        </font>
        <numFmt numFmtId="10" formatCode="&quot;$&quot;#,##0_);[Red]\(&quot;$&quot;#,##0\)"/>
      </ndxf>
    </rcc>
    <rcc rId="0" sId="7" s="1" dxf="1">
      <nc r="G1">
        <f>F1-C1</f>
      </nc>
      <ndxf>
        <font>
          <sz val="10"/>
          <color auto="1"/>
          <name val="Arial"/>
          <scheme val="none"/>
        </font>
        <numFmt numFmtId="10" formatCode="&quot;$&quot;#,##0_);[Red]\(&quot;$&quot;#,##0\)"/>
      </ndxf>
    </rcc>
    <rcc rId="0" sId="7" dxf="1">
      <nc r="H1">
        <f>G1/C1</f>
      </nc>
      <ndxf>
        <font>
          <sz val="10"/>
          <color auto="1"/>
          <name val="Arial"/>
          <scheme val="none"/>
        </font>
        <numFmt numFmtId="13" formatCode="0%"/>
      </ndxf>
    </rcc>
    <rcc rId="0" sId="7" dxf="1" numFmtId="4">
      <nc r="I1">
        <v>0</v>
      </nc>
      <ndxf>
        <numFmt numFmtId="3" formatCode="#,##0"/>
      </ndxf>
    </rcc>
    <rcc rId="0" sId="7" dxf="1">
      <nc r="J1">
        <f>I1/B1</f>
      </nc>
      <ndxf>
        <numFmt numFmtId="164" formatCode="0.0%"/>
      </ndxf>
    </rcc>
    <rcc rId="0" sId="7" dxf="1">
      <nc r="L1">
        <f>I1/C1</f>
      </nc>
      <ndxf>
        <numFmt numFmtId="164" formatCode="0.0%"/>
      </ndxf>
    </rcc>
    <rcc rId="0" sId="7" dxf="1">
      <nc r="O1">
        <f>N1/M1-1</f>
      </nc>
      <ndxf>
        <numFmt numFmtId="14" formatCode="0.00%"/>
      </ndxf>
    </rcc>
  </rrc>
  <rrc rId="37437" sId="7" ref="A1:XFD1" action="deleteRow">
    <undo index="0" exp="ref" ref3D="1" v="1" dr="C1" r="C172" sId="8"/>
    <undo index="0" exp="area" dr="N1:N13" r="N14" sId="7"/>
    <undo index="0" exp="area" dr="M1:M13" r="M14" sId="7"/>
    <undo index="0" exp="area" dr="F1:F13" r="F14" sId="7"/>
    <undo index="0" exp="area" dr="C1:C13" r="C14" sId="7"/>
    <undo index="0" exp="area" dr="B1:B13" r="B14" sId="7"/>
    <rfmt sheetId="7" xfDxf="1" sqref="A1:XFD1" start="0" length="0"/>
    <rcc rId="0" sId="7" dxf="1">
      <nc r="A1" t="inlineStr">
        <is>
          <t>Equipment Lease Operating</t>
        </is>
      </nc>
      <ndxf>
        <font>
          <sz val="10"/>
          <color auto="1"/>
          <name val="Arial"/>
          <scheme val="none"/>
        </font>
        <border outline="0">
          <left style="medium">
            <color indexed="64"/>
          </left>
        </border>
      </ndxf>
    </rcc>
    <rcc rId="0" sId="7" dxf="1" numFmtId="11">
      <nc r="B1">
        <v>29896</v>
      </nc>
      <ndxf>
        <font>
          <sz val="10"/>
          <color auto="1"/>
          <name val="Arial"/>
          <scheme val="none"/>
        </font>
        <numFmt numFmtId="10" formatCode="&quot;$&quot;#,##0_);[Red]\(&quot;$&quot;#,##0\)"/>
      </ndxf>
    </rcc>
    <rcc rId="0" sId="7" dxf="1" numFmtId="11">
      <nc r="C1">
        <v>43033</v>
      </nc>
      <ndxf>
        <font>
          <sz val="10"/>
          <color auto="1"/>
          <name val="Arial"/>
          <scheme val="none"/>
        </font>
        <numFmt numFmtId="10" formatCode="&quot;$&quot;#,##0_);[Red]\(&quot;$&quot;#,##0\)"/>
      </ndxf>
    </rcc>
    <rcc rId="0" sId="7" dxf="1">
      <nc r="D1">
        <f>C1-B1</f>
      </nc>
      <ndxf>
        <font>
          <sz val="10"/>
          <color auto="1"/>
          <name val="Arial"/>
          <scheme val="none"/>
        </font>
        <numFmt numFmtId="10" formatCode="&quot;$&quot;#,##0_);[Red]\(&quot;$&quot;#,##0\)"/>
      </ndxf>
    </rcc>
    <rcc rId="0" sId="7" s="1" dxf="1">
      <nc r="E1">
        <f>D1/B1</f>
      </nc>
      <ndxf>
        <font>
          <sz val="10"/>
          <color auto="1"/>
          <name val="Arial"/>
          <scheme val="none"/>
        </font>
        <numFmt numFmtId="13" formatCode="0%"/>
      </ndxf>
    </rcc>
    <rcc rId="0" sId="7" dxf="1" numFmtId="11">
      <nc r="F1">
        <v>46157</v>
      </nc>
      <ndxf>
        <font>
          <sz val="10"/>
          <color auto="1"/>
          <name val="Arial"/>
          <scheme val="none"/>
        </font>
        <numFmt numFmtId="10" formatCode="&quot;$&quot;#,##0_);[Red]\(&quot;$&quot;#,##0\)"/>
      </ndxf>
    </rcc>
    <rcc rId="0" sId="7" s="1" dxf="1">
      <nc r="G1">
        <f>F1-C1</f>
      </nc>
      <ndxf>
        <font>
          <sz val="10"/>
          <color auto="1"/>
          <name val="Arial"/>
          <scheme val="none"/>
        </font>
        <numFmt numFmtId="10" formatCode="&quot;$&quot;#,##0_);[Red]\(&quot;$&quot;#,##0\)"/>
      </ndxf>
    </rcc>
    <rcc rId="0" sId="7" dxf="1">
      <nc r="H1">
        <f>G1/C1</f>
      </nc>
      <ndxf>
        <font>
          <sz val="10"/>
          <color auto="1"/>
          <name val="Arial"/>
          <scheme val="none"/>
        </font>
        <numFmt numFmtId="13" formatCode="0%"/>
      </ndxf>
    </rcc>
    <rcc rId="0" sId="7" dxf="1" numFmtId="4">
      <nc r="I1">
        <v>46157</v>
      </nc>
      <ndxf>
        <numFmt numFmtId="3" formatCode="#,##0"/>
      </ndxf>
    </rcc>
    <rcc rId="0" sId="7" dxf="1">
      <nc r="J1">
        <f>I1/B1</f>
      </nc>
      <ndxf>
        <numFmt numFmtId="164" formatCode="0.0%"/>
      </ndxf>
    </rcc>
    <rcc rId="0" sId="7" dxf="1">
      <nc r="K1" t="inlineStr">
        <is>
          <t>***</t>
        </is>
      </nc>
      <ndxf>
        <font>
          <sz val="10"/>
          <color auto="1"/>
          <name val="Arial"/>
          <scheme val="none"/>
        </font>
      </ndxf>
    </rcc>
    <rcc rId="0" sId="7" dxf="1">
      <nc r="L1">
        <f>I1/C1</f>
      </nc>
      <ndxf>
        <numFmt numFmtId="164" formatCode="0.0%"/>
      </ndxf>
    </rcc>
    <rcc rId="0" sId="7">
      <nc r="M1">
        <v>46157</v>
      </nc>
    </rcc>
    <rcc rId="0" sId="7">
      <nc r="N1">
        <v>49804</v>
      </nc>
    </rcc>
    <rcc rId="0" sId="7" dxf="1">
      <nc r="O1">
        <f>N1/M1-1</f>
      </nc>
      <ndxf>
        <numFmt numFmtId="14" formatCode="0.00%"/>
      </ndxf>
    </rcc>
  </rrc>
  <rrc rId="37438" sId="7" ref="A1:XFD1" action="deleteRow">
    <undo index="0" exp="ref" ref3D="1" v="1" dr="C1" r="C173" sId="8"/>
    <undo index="0" exp="area" dr="N1:N12" r="N13" sId="7"/>
    <undo index="0" exp="area" dr="M1:M12" r="M13" sId="7"/>
    <undo index="0" exp="area" dr="F1:F12" r="F13" sId="7"/>
    <undo index="0" exp="area" dr="C1:C12" r="C13" sId="7"/>
    <undo index="0" exp="area" dr="B1:B12" r="B13" sId="7"/>
    <rfmt sheetId="7" xfDxf="1" sqref="A1:XFD1" start="0" length="0"/>
    <rcc rId="0" sId="7" dxf="1">
      <nc r="A1" t="inlineStr">
        <is>
          <t>School Modernization Fund</t>
        </is>
      </nc>
      <ndxf>
        <font>
          <sz val="10"/>
          <color auto="1"/>
          <name val="Arial"/>
          <scheme val="none"/>
        </font>
        <border outline="0">
          <left style="medium">
            <color indexed="64"/>
          </left>
        </border>
      </ndxf>
    </rcc>
    <rcc rId="0" sId="7" dxf="1" numFmtId="11">
      <nc r="B1">
        <v>4716</v>
      </nc>
      <ndxf>
        <font>
          <sz val="10"/>
          <color auto="1"/>
          <name val="Arial"/>
          <scheme val="none"/>
        </font>
        <numFmt numFmtId="10" formatCode="&quot;$&quot;#,##0_);[Red]\(&quot;$&quot;#,##0\)"/>
      </ndxf>
    </rcc>
    <rcc rId="0" sId="7" dxf="1" numFmtId="11">
      <nc r="C1">
        <v>8613</v>
      </nc>
      <ndxf>
        <font>
          <sz val="10"/>
          <color auto="1"/>
          <name val="Arial"/>
          <scheme val="none"/>
        </font>
        <numFmt numFmtId="10" formatCode="&quot;$&quot;#,##0_);[Red]\(&quot;$&quot;#,##0\)"/>
      </ndxf>
    </rcc>
    <rcc rId="0" sId="7" dxf="1">
      <nc r="D1">
        <f>C1-B1</f>
      </nc>
      <ndxf>
        <font>
          <sz val="10"/>
          <color auto="1"/>
          <name val="Arial"/>
          <scheme val="none"/>
        </font>
        <numFmt numFmtId="10" formatCode="&quot;$&quot;#,##0_);[Red]\(&quot;$&quot;#,##0\)"/>
      </ndxf>
    </rcc>
    <rcc rId="0" sId="7" s="1" dxf="1">
      <nc r="E1">
        <f>D1/B1</f>
      </nc>
      <ndxf>
        <font>
          <sz val="10"/>
          <color auto="1"/>
          <name val="Arial"/>
          <scheme val="none"/>
        </font>
        <numFmt numFmtId="13" formatCode="0%"/>
      </ndxf>
    </rcc>
    <rcc rId="0" sId="7" dxf="1" numFmtId="11">
      <nc r="F1">
        <v>8612</v>
      </nc>
      <ndxf>
        <font>
          <sz val="10"/>
          <color auto="1"/>
          <name val="Arial"/>
          <scheme val="none"/>
        </font>
        <numFmt numFmtId="10" formatCode="&quot;$&quot;#,##0_);[Red]\(&quot;$&quot;#,##0\)"/>
      </ndxf>
    </rcc>
    <rcc rId="0" sId="7" s="1" dxf="1">
      <nc r="G1">
        <f>F1-C1</f>
      </nc>
      <ndxf>
        <font>
          <sz val="10"/>
          <color auto="1"/>
          <name val="Arial"/>
          <scheme val="none"/>
        </font>
        <numFmt numFmtId="10" formatCode="&quot;$&quot;#,##0_);[Red]\(&quot;$&quot;#,##0\)"/>
      </ndxf>
    </rcc>
    <rcc rId="0" sId="7" dxf="1">
      <nc r="H1">
        <f>G1/C1</f>
      </nc>
      <ndxf>
        <font>
          <sz val="10"/>
          <color auto="1"/>
          <name val="Arial"/>
          <scheme val="none"/>
        </font>
        <numFmt numFmtId="13" formatCode="0%"/>
      </ndxf>
    </rcc>
    <rcc rId="0" sId="7" dxf="1" numFmtId="4">
      <nc r="I1">
        <v>8612</v>
      </nc>
      <ndxf>
        <numFmt numFmtId="3" formatCode="#,##0"/>
      </ndxf>
    </rcc>
    <rcc rId="0" sId="7" dxf="1">
      <nc r="J1">
        <f>I1/B1</f>
      </nc>
      <ndxf>
        <numFmt numFmtId="164" formatCode="0.0%"/>
      </ndxf>
    </rcc>
    <rcc rId="0" sId="7" dxf="1">
      <nc r="K1" t="inlineStr">
        <is>
          <t>***</t>
        </is>
      </nc>
      <ndxf>
        <font>
          <sz val="10"/>
          <color auto="1"/>
          <name val="Arial"/>
          <scheme val="none"/>
        </font>
      </ndxf>
    </rcc>
    <rcc rId="0" sId="7" dxf="1">
      <nc r="L1">
        <f>I1/C1</f>
      </nc>
      <ndxf>
        <numFmt numFmtId="164" formatCode="0.0%"/>
      </ndxf>
    </rcc>
    <rcc rId="0" sId="7" dxf="1">
      <nc r="O1">
        <f>N1/M1-1</f>
      </nc>
      <ndxf>
        <numFmt numFmtId="14" formatCode="0.00%"/>
      </ndxf>
    </rcc>
  </rrc>
  <rrc rId="37439" sId="7" ref="A1:XFD1" action="deleteRow">
    <undo index="0" exp="ref" ref3D="1" v="1" dr="C1" r="C174" sId="8"/>
    <undo index="0" exp="area" dr="N1:N11" r="N12" sId="7"/>
    <undo index="0" exp="area" dr="M1:M11" r="M12" sId="7"/>
    <undo index="0" exp="area" dr="F1:F11" r="F12" sId="7"/>
    <undo index="0" exp="area" dr="C1:C11" r="C12" sId="7"/>
    <undo index="0" exp="area" dr="B1:B11" r="B12" sId="7"/>
    <rfmt sheetId="7" xfDxf="1" sqref="A1:XFD1" start="0" length="0"/>
    <rcc rId="0" sId="7" dxf="1">
      <nc r="A1" t="inlineStr">
        <is>
          <t>Pay-As-You-Go Capital Fund</t>
        </is>
      </nc>
      <ndxf>
        <font>
          <sz val="10"/>
          <color auto="1"/>
          <name val="Arial"/>
          <scheme val="none"/>
        </font>
        <border outline="0">
          <left style="medium">
            <color indexed="64"/>
          </left>
        </border>
      </ndxf>
    </rcc>
    <rcc rId="0" sId="7" dxf="1" numFmtId="11">
      <nc r="B1">
        <v>140737</v>
      </nc>
      <ndxf>
        <font>
          <sz val="10"/>
          <color auto="1"/>
          <name val="Arial"/>
          <scheme val="none"/>
        </font>
        <numFmt numFmtId="10" formatCode="&quot;$&quot;#,##0_);[Red]\(&quot;$&quot;#,##0\)"/>
      </ndxf>
    </rcc>
    <rcc rId="0" sId="7" dxf="1" numFmtId="11">
      <nc r="C1">
        <v>125014</v>
      </nc>
      <ndxf>
        <font>
          <sz val="10"/>
          <color auto="1"/>
          <name val="Arial"/>
          <scheme val="none"/>
        </font>
        <numFmt numFmtId="10" formatCode="&quot;$&quot;#,##0_);[Red]\(&quot;$&quot;#,##0\)"/>
      </ndxf>
    </rcc>
    <rcc rId="0" sId="7" dxf="1">
      <nc r="D1">
        <f>C1-B1</f>
      </nc>
      <ndxf>
        <font>
          <sz val="10"/>
          <color auto="1"/>
          <name val="Arial"/>
          <scheme val="none"/>
        </font>
        <numFmt numFmtId="10" formatCode="&quot;$&quot;#,##0_);[Red]\(&quot;$&quot;#,##0\)"/>
      </ndxf>
    </rcc>
    <rcc rId="0" sId="7" s="1" dxf="1">
      <nc r="E1">
        <f>D1/B1</f>
      </nc>
      <ndxf>
        <font>
          <sz val="10"/>
          <color auto="1"/>
          <name val="Arial"/>
          <scheme val="none"/>
        </font>
        <numFmt numFmtId="13" formatCode="0%"/>
      </ndxf>
    </rcc>
    <rcc rId="0" sId="7" dxf="1" numFmtId="11">
      <nc r="F1">
        <v>2984</v>
      </nc>
      <ndxf>
        <font>
          <sz val="10"/>
          <color auto="1"/>
          <name val="Arial"/>
          <scheme val="none"/>
        </font>
        <numFmt numFmtId="10" formatCode="&quot;$&quot;#,##0_);[Red]\(&quot;$&quot;#,##0\)"/>
      </ndxf>
    </rcc>
    <rcc rId="0" sId="7" s="1" dxf="1">
      <nc r="G1">
        <f>F1-C1</f>
      </nc>
      <ndxf>
        <font>
          <sz val="10"/>
          <color auto="1"/>
          <name val="Arial"/>
          <scheme val="none"/>
        </font>
        <numFmt numFmtId="10" formatCode="&quot;$&quot;#,##0_);[Red]\(&quot;$&quot;#,##0\)"/>
      </ndxf>
    </rcc>
    <rcc rId="0" sId="7" dxf="1">
      <nc r="H1">
        <f>G1/C1</f>
      </nc>
      <ndxf>
        <font>
          <sz val="10"/>
          <color auto="1"/>
          <name val="Arial"/>
          <scheme val="none"/>
        </font>
        <numFmt numFmtId="13" formatCode="0%"/>
      </ndxf>
    </rcc>
    <rcc rId="0" sId="7" dxf="1" numFmtId="4">
      <nc r="I1">
        <v>2984</v>
      </nc>
      <ndxf>
        <numFmt numFmtId="3" formatCode="#,##0"/>
      </ndxf>
    </rcc>
    <rcc rId="0" sId="7" dxf="1">
      <nc r="J1">
        <f>I1/B1</f>
      </nc>
      <ndxf>
        <numFmt numFmtId="164" formatCode="0.0%"/>
      </ndxf>
    </rcc>
    <rcc rId="0" sId="7" dxf="1">
      <nc r="K1" t="inlineStr">
        <is>
          <t>*</t>
        </is>
      </nc>
      <ndxf>
        <font>
          <sz val="10"/>
          <color auto="1"/>
          <name val="Arial"/>
          <scheme val="none"/>
        </font>
      </ndxf>
    </rcc>
    <rcc rId="0" sId="7" dxf="1">
      <nc r="L1">
        <f>I1/C1</f>
      </nc>
      <ndxf>
        <numFmt numFmtId="164" formatCode="0.0%"/>
      </ndxf>
    </rcc>
    <rcc rId="0" sId="7">
      <nc r="M1">
        <v>2984</v>
      </nc>
    </rcc>
    <rcc rId="0" sId="7">
      <nc r="N1">
        <v>7900</v>
      </nc>
    </rcc>
    <rcc rId="0" sId="7" dxf="1">
      <nc r="O1">
        <f>N1/M1-1</f>
      </nc>
      <ndxf>
        <numFmt numFmtId="14" formatCode="0.00%"/>
      </ndxf>
    </rcc>
  </rrc>
  <rrc rId="37440" sId="7" ref="A1:XFD1" action="deleteRow">
    <undo index="0" exp="ref" ref3D="1" v="1" dr="C1" r="C175" sId="8"/>
    <undo index="0" exp="area" dr="N1:N10" r="N11" sId="7"/>
    <undo index="0" exp="area" dr="M1:M10" r="M11" sId="7"/>
    <undo index="0" exp="area" dr="F1:F10" r="F11" sId="7"/>
    <undo index="0" exp="area" dr="C1:C10" r="C11" sId="7"/>
    <undo index="0" exp="area" dr="B1:B10" r="B11" sId="7"/>
    <rfmt sheetId="7" xfDxf="1" sqref="A1:XFD1" start="0" length="0"/>
    <rcc rId="0" sId="7" dxf="1">
      <nc r="A1" t="inlineStr">
        <is>
          <t>Debt Service - Issuance Costs</t>
        </is>
      </nc>
      <ndxf>
        <font>
          <sz val="10"/>
          <color auto="1"/>
          <name val="Arial"/>
          <scheme val="none"/>
        </font>
      </ndxf>
    </rcc>
    <rcc rId="0" sId="7" dxf="1" numFmtId="11">
      <nc r="B1">
        <v>16216</v>
      </nc>
      <ndxf>
        <font>
          <sz val="10"/>
          <color auto="1"/>
          <name val="Arial"/>
          <scheme val="none"/>
        </font>
        <numFmt numFmtId="10" formatCode="&quot;$&quot;#,##0_);[Red]\(&quot;$&quot;#,##0\)"/>
      </ndxf>
    </rcc>
    <rcc rId="0" sId="7" dxf="1" numFmtId="11">
      <nc r="C1">
        <v>15000</v>
      </nc>
      <ndxf>
        <font>
          <sz val="10"/>
          <color auto="1"/>
          <name val="Arial"/>
          <scheme val="none"/>
        </font>
        <numFmt numFmtId="10" formatCode="&quot;$&quot;#,##0_);[Red]\(&quot;$&quot;#,##0\)"/>
      </ndxf>
    </rcc>
    <rcc rId="0" sId="7" dxf="1">
      <nc r="D1">
        <f>C1-B1</f>
      </nc>
      <ndxf>
        <font>
          <sz val="10"/>
          <color auto="1"/>
          <name val="Arial"/>
          <scheme val="none"/>
        </font>
        <numFmt numFmtId="10" formatCode="&quot;$&quot;#,##0_);[Red]\(&quot;$&quot;#,##0\)"/>
      </ndxf>
    </rcc>
    <rcc rId="0" sId="7" s="1" dxf="1">
      <nc r="E1">
        <f>D1/B1</f>
      </nc>
      <ndxf>
        <font>
          <sz val="10"/>
          <color auto="1"/>
          <name val="Arial"/>
          <scheme val="none"/>
        </font>
        <numFmt numFmtId="13" formatCode="0%"/>
      </ndxf>
    </rcc>
    <rcc rId="0" sId="7" dxf="1" numFmtId="11">
      <nc r="F1">
        <v>15000</v>
      </nc>
      <ndxf>
        <font>
          <sz val="10"/>
          <color auto="1"/>
          <name val="Arial"/>
          <scheme val="none"/>
        </font>
        <numFmt numFmtId="10" formatCode="&quot;$&quot;#,##0_);[Red]\(&quot;$&quot;#,##0\)"/>
      </ndxf>
    </rcc>
    <rcc rId="0" sId="7" s="1" dxf="1">
      <nc r="G1">
        <f>F1-C1</f>
      </nc>
      <ndxf>
        <font>
          <sz val="10"/>
          <color auto="1"/>
          <name val="Arial"/>
          <scheme val="none"/>
        </font>
        <numFmt numFmtId="10" formatCode="&quot;$&quot;#,##0_);[Red]\(&quot;$&quot;#,##0\)"/>
      </ndxf>
    </rcc>
    <rcc rId="0" sId="7" dxf="1">
      <nc r="H1">
        <f>G1/C1</f>
      </nc>
      <ndxf>
        <font>
          <sz val="10"/>
          <color auto="1"/>
          <name val="Arial"/>
          <scheme val="none"/>
        </font>
        <numFmt numFmtId="13" formatCode="0%"/>
      </ndxf>
    </rcc>
    <rcc rId="0" sId="7" dxf="1" numFmtId="4">
      <nc r="I1">
        <v>15000</v>
      </nc>
      <ndxf>
        <numFmt numFmtId="3" formatCode="#,##0"/>
      </ndxf>
    </rcc>
    <rcc rId="0" sId="7" dxf="1">
      <nc r="J1">
        <f>I1/B1</f>
      </nc>
      <ndxf>
        <numFmt numFmtId="164" formatCode="0.0%"/>
      </ndxf>
    </rcc>
    <rcc rId="0" sId="7" dxf="1">
      <nc r="K1" t="inlineStr">
        <is>
          <t>*</t>
        </is>
      </nc>
      <ndxf>
        <font>
          <sz val="10"/>
          <color auto="1"/>
          <name val="Arial"/>
          <scheme val="none"/>
        </font>
      </ndxf>
    </rcc>
    <rcc rId="0" sId="7" dxf="1">
      <nc r="L1">
        <f>I1/C1</f>
      </nc>
      <ndxf>
        <numFmt numFmtId="164" formatCode="0.0%"/>
      </ndxf>
    </rcc>
    <rcc rId="0" sId="7" dxf="1">
      <nc r="O1">
        <f>N1/M1-1</f>
      </nc>
      <ndxf>
        <numFmt numFmtId="14" formatCode="0.00%"/>
      </ndxf>
    </rcc>
  </rrc>
  <rrc rId="37441" sId="7" ref="A1:XFD1" action="deleteRow">
    <undo index="0" exp="ref" ref3D="1" v="1" dr="C1" r="C176" sId="8"/>
    <undo index="0" exp="area" dr="N1:N9" r="N10" sId="7"/>
    <undo index="0" exp="area" dr="M1:M9" r="M10" sId="7"/>
    <undo index="0" exp="area" dr="F1:F9" r="F10" sId="7"/>
    <undo index="0" exp="area" dr="C1:C9" r="C10" sId="7"/>
    <undo index="0" exp="area" dr="B1:B9" r="B10" sId="7"/>
    <rfmt sheetId="7" xfDxf="1" sqref="A1:XFD1" start="0" length="0"/>
    <rcc rId="0" sId="7" dxf="1">
      <nc r="A1" t="inlineStr">
        <is>
          <t>Tax Increment Financing</t>
        </is>
      </nc>
      <ndxf>
        <font>
          <sz val="10"/>
          <color auto="1"/>
          <name val="Arial"/>
          <scheme val="none"/>
        </font>
      </ndxf>
    </rcc>
    <rcc rId="0" sId="7" dxf="1" numFmtId="11">
      <nc r="B1">
        <v>17551</v>
      </nc>
      <ndxf>
        <font>
          <sz val="10"/>
          <color auto="1"/>
          <name val="Arial"/>
          <scheme val="none"/>
        </font>
        <numFmt numFmtId="10" formatCode="&quot;$&quot;#,##0_);[Red]\(&quot;$&quot;#,##0\)"/>
      </ndxf>
    </rcc>
    <rcc rId="0" sId="7" dxf="1" numFmtId="11">
      <nc r="C1">
        <v>24330</v>
      </nc>
      <ndxf>
        <font>
          <sz val="10"/>
          <color auto="1"/>
          <name val="Arial"/>
          <scheme val="none"/>
        </font>
        <numFmt numFmtId="10" formatCode="&quot;$&quot;#,##0_);[Red]\(&quot;$&quot;#,##0\)"/>
      </ndxf>
    </rcc>
    <rcc rId="0" sId="7" dxf="1">
      <nc r="D1">
        <f>C1-B1</f>
      </nc>
      <ndxf>
        <font>
          <sz val="10"/>
          <color auto="1"/>
          <name val="Arial"/>
          <scheme val="none"/>
        </font>
        <numFmt numFmtId="10" formatCode="&quot;$&quot;#,##0_);[Red]\(&quot;$&quot;#,##0\)"/>
      </ndxf>
    </rcc>
    <rcc rId="0" sId="7" s="1" dxf="1">
      <nc r="E1">
        <f>D1/B1</f>
      </nc>
      <ndxf>
        <font>
          <sz val="10"/>
          <color auto="1"/>
          <name val="Arial"/>
          <scheme val="none"/>
        </font>
        <numFmt numFmtId="13" formatCode="0%"/>
      </ndxf>
    </rcc>
    <rcc rId="0" sId="7" dxf="1" numFmtId="11">
      <nc r="F1">
        <v>38887</v>
      </nc>
      <ndxf>
        <font>
          <sz val="10"/>
          <color auto="1"/>
          <name val="Arial"/>
          <scheme val="none"/>
        </font>
        <numFmt numFmtId="10" formatCode="&quot;$&quot;#,##0_);[Red]\(&quot;$&quot;#,##0\)"/>
      </ndxf>
    </rcc>
    <rcc rId="0" sId="7" s="1" dxf="1">
      <nc r="G1">
        <f>F1-C1</f>
      </nc>
      <ndxf>
        <font>
          <sz val="10"/>
          <color auto="1"/>
          <name val="Arial"/>
          <scheme val="none"/>
        </font>
        <numFmt numFmtId="10" formatCode="&quot;$&quot;#,##0_);[Red]\(&quot;$&quot;#,##0\)"/>
      </ndxf>
    </rcc>
    <rcc rId="0" sId="7" dxf="1">
      <nc r="H1">
        <f>G1/C1</f>
      </nc>
      <ndxf>
        <font>
          <sz val="10"/>
          <color auto="1"/>
          <name val="Arial"/>
          <scheme val="none"/>
        </font>
        <numFmt numFmtId="13" formatCode="0%"/>
      </ndxf>
    </rcc>
    <rcc rId="0" sId="7" dxf="1">
      <nc r="J1">
        <f>I1/B1</f>
      </nc>
      <ndxf>
        <numFmt numFmtId="164" formatCode="0.0%"/>
      </ndxf>
    </rcc>
    <rcc rId="0" sId="7" dxf="1">
      <nc r="L1">
        <f>I1/C1</f>
      </nc>
      <ndxf>
        <numFmt numFmtId="164" formatCode="0.0%"/>
      </ndxf>
    </rcc>
    <rcc rId="0" sId="7" dxf="1">
      <nc r="O1">
        <f>N1/M1-1</f>
      </nc>
      <ndxf>
        <numFmt numFmtId="14" formatCode="0.00%"/>
      </ndxf>
    </rcc>
  </rrc>
  <rrc rId="37442" sId="7" ref="A1:XFD1" action="deleteRow">
    <undo index="0" exp="ref" ref3D="1" v="1" dr="C1" r="C177" sId="8"/>
    <undo index="0" exp="area" dr="N1:N8" r="N9" sId="7"/>
    <undo index="0" exp="area" dr="M1:M8" r="M9" sId="7"/>
    <undo index="0" exp="area" dr="F1:F8" r="F9" sId="7"/>
    <undo index="0" exp="area" dr="C1:C8" r="C9" sId="7"/>
    <undo index="0" exp="area" dr="B1:B8" r="B9" sId="7"/>
    <rfmt sheetId="7" xfDxf="1" sqref="A1:XFD1" start="0" length="0"/>
    <rcc rId="0" sId="7" dxf="1">
      <nc r="A1" t="inlineStr">
        <is>
          <t>Retiree Health Contribution</t>
        </is>
      </nc>
      <ndxf>
        <font>
          <sz val="10"/>
          <color auto="1"/>
          <name val="Arial"/>
          <scheme val="none"/>
        </font>
      </ndxf>
    </rcc>
    <rcc rId="0" sId="7" dxf="1" numFmtId="11">
      <nc r="B1">
        <v>110907</v>
      </nc>
      <ndxf>
        <font>
          <sz val="10"/>
          <color auto="1"/>
          <name val="Arial"/>
          <scheme val="none"/>
        </font>
        <numFmt numFmtId="10" formatCode="&quot;$&quot;#,##0_);[Red]\(&quot;$&quot;#,##0\)"/>
      </ndxf>
    </rcc>
    <rcc rId="0" sId="7" dxf="1" numFmtId="11">
      <nc r="C1">
        <v>81100</v>
      </nc>
      <ndxf>
        <font>
          <sz val="10"/>
          <color auto="1"/>
          <name val="Arial"/>
          <scheme val="none"/>
        </font>
        <numFmt numFmtId="10" formatCode="&quot;$&quot;#,##0_);[Red]\(&quot;$&quot;#,##0\)"/>
      </ndxf>
    </rcc>
    <rcc rId="0" sId="7" dxf="1">
      <nc r="D1">
        <f>C1-B1</f>
      </nc>
      <ndxf>
        <font>
          <sz val="10"/>
          <color auto="1"/>
          <name val="Arial"/>
          <scheme val="none"/>
        </font>
        <numFmt numFmtId="10" formatCode="&quot;$&quot;#,##0_);[Red]\(&quot;$&quot;#,##0\)"/>
      </ndxf>
    </rcc>
    <rcc rId="0" sId="7" s="1" dxf="1">
      <nc r="E1">
        <f>D1/B1</f>
      </nc>
      <ndxf>
        <font>
          <sz val="10"/>
          <color auto="1"/>
          <name val="Arial"/>
          <scheme val="none"/>
        </font>
        <numFmt numFmtId="13" formatCode="0%"/>
      </ndxf>
    </rcc>
    <rcc rId="0" sId="7" dxf="1" numFmtId="11">
      <nc r="F1">
        <v>88700</v>
      </nc>
      <ndxf>
        <font>
          <sz val="10"/>
          <color auto="1"/>
          <name val="Arial"/>
          <scheme val="none"/>
        </font>
        <numFmt numFmtId="10" formatCode="&quot;$&quot;#,##0_);[Red]\(&quot;$&quot;#,##0\)"/>
      </ndxf>
    </rcc>
    <rcc rId="0" sId="7" s="1" dxf="1">
      <nc r="G1">
        <f>F1-C1</f>
      </nc>
      <ndxf>
        <font>
          <sz val="10"/>
          <color auto="1"/>
          <name val="Arial"/>
          <scheme val="none"/>
        </font>
        <numFmt numFmtId="10" formatCode="&quot;$&quot;#,##0_);[Red]\(&quot;$&quot;#,##0\)"/>
      </ndxf>
    </rcc>
    <rcc rId="0" sId="7" dxf="1">
      <nc r="H1">
        <f>G1/C1</f>
      </nc>
      <ndxf>
        <font>
          <sz val="10"/>
          <color auto="1"/>
          <name val="Arial"/>
          <scheme val="none"/>
        </font>
        <numFmt numFmtId="13" formatCode="0%"/>
      </ndxf>
    </rcc>
    <rcc rId="0" sId="7" dxf="1" numFmtId="4">
      <nc r="I1">
        <v>88700</v>
      </nc>
      <ndxf>
        <numFmt numFmtId="3" formatCode="#,##0"/>
      </ndxf>
    </rcc>
    <rcc rId="0" sId="7" dxf="1">
      <nc r="J1">
        <f>I1/B1</f>
      </nc>
      <ndxf>
        <numFmt numFmtId="164" formatCode="0.0%"/>
      </ndxf>
    </rcc>
    <rcc rId="0" sId="7" dxf="1">
      <nc r="K1" t="inlineStr">
        <is>
          <t>**</t>
        </is>
      </nc>
      <ndxf>
        <font>
          <sz val="10"/>
          <color auto="1"/>
          <name val="Arial"/>
          <scheme val="none"/>
        </font>
      </ndxf>
    </rcc>
    <rcc rId="0" sId="7" dxf="1">
      <nc r="L1">
        <f>I1/C1</f>
      </nc>
      <ndxf>
        <numFmt numFmtId="164" formatCode="0.0%"/>
      </ndxf>
    </rcc>
    <rcc rId="0" sId="7">
      <nc r="M1">
        <v>90700</v>
      </nc>
    </rcc>
    <rcc rId="0" sId="7">
      <nc r="N1">
        <v>98700</v>
      </nc>
    </rcc>
    <rcc rId="0" sId="7" dxf="1">
      <nc r="O1">
        <f>N1/M1-1</f>
      </nc>
      <ndxf>
        <numFmt numFmtId="14" formatCode="0.00%"/>
      </ndxf>
    </rcc>
  </rrc>
  <rrc rId="37443" sId="7" ref="A1:XFD1" action="deleteRow">
    <undo index="0" exp="ref" ref3D="1" v="1" dr="C1" r="C178" sId="8"/>
    <undo index="0" exp="area" dr="N1:N7" r="N8" sId="7"/>
    <undo index="0" exp="area" dr="M1:M7" r="M8" sId="7"/>
    <undo index="0" exp="area" dr="F1:F7" r="F8" sId="7"/>
    <undo index="0" exp="area" dr="C1:C7" r="C8" sId="7"/>
    <undo index="0" exp="area" dr="B1:B7" r="B8" sId="7"/>
    <rfmt sheetId="7" xfDxf="1" sqref="A1:XFD1" start="0" length="0"/>
    <rcc rId="0" sId="7" dxf="1">
      <nc r="A1" t="inlineStr">
        <is>
          <t>Repayment of Revenue Bonds (HPTF Securitization)</t>
        </is>
      </nc>
      <ndxf>
        <font>
          <sz val="10"/>
          <color auto="1"/>
          <name val="Arial"/>
          <scheme val="none"/>
        </font>
      </ndxf>
    </rcc>
    <rcc rId="0" sId="7" dxf="1" numFmtId="11">
      <nc r="B1">
        <v>2512</v>
      </nc>
      <ndxf>
        <font>
          <sz val="10"/>
          <color auto="1"/>
          <name val="Arial"/>
          <scheme val="none"/>
        </font>
        <numFmt numFmtId="10" formatCode="&quot;$&quot;#,##0_);[Red]\(&quot;$&quot;#,##0\)"/>
      </ndxf>
    </rcc>
    <rcc rId="0" sId="7" dxf="1" numFmtId="11">
      <nc r="C1">
        <v>6000</v>
      </nc>
      <ndxf>
        <font>
          <sz val="10"/>
          <color auto="1"/>
          <name val="Arial"/>
          <scheme val="none"/>
        </font>
        <numFmt numFmtId="10" formatCode="&quot;$&quot;#,##0_);[Red]\(&quot;$&quot;#,##0\)"/>
      </ndxf>
    </rcc>
    <rcc rId="0" sId="7" dxf="1">
      <nc r="D1">
        <f>C1-B1</f>
      </nc>
      <ndxf>
        <font>
          <sz val="10"/>
          <color auto="1"/>
          <name val="Arial"/>
          <scheme val="none"/>
        </font>
        <numFmt numFmtId="10" formatCode="&quot;$&quot;#,##0_);[Red]\(&quot;$&quot;#,##0\)"/>
      </ndxf>
    </rcc>
    <rcc rId="0" sId="7" s="1" dxf="1">
      <nc r="E1">
        <f>D1/B1</f>
      </nc>
      <ndxf>
        <font>
          <sz val="10"/>
          <color auto="1"/>
          <name val="Arial"/>
          <scheme val="none"/>
        </font>
        <numFmt numFmtId="13" formatCode="0%"/>
      </ndxf>
    </rcc>
    <rcc rId="0" sId="7" dxf="1" numFmtId="11">
      <nc r="F1">
        <v>6000</v>
      </nc>
      <ndxf>
        <font>
          <sz val="10"/>
          <color auto="1"/>
          <name val="Arial"/>
          <scheme val="none"/>
        </font>
        <numFmt numFmtId="10" formatCode="&quot;$&quot;#,##0_);[Red]\(&quot;$&quot;#,##0\)"/>
      </ndxf>
    </rcc>
    <rcc rId="0" sId="7" s="1" dxf="1">
      <nc r="G1">
        <f>F1-C1</f>
      </nc>
      <ndxf>
        <font>
          <sz val="10"/>
          <color auto="1"/>
          <name val="Arial"/>
          <scheme val="none"/>
        </font>
        <numFmt numFmtId="10" formatCode="&quot;$&quot;#,##0_);[Red]\(&quot;$&quot;#,##0\)"/>
      </ndxf>
    </rcc>
    <rcc rId="0" sId="7" dxf="1">
      <nc r="H1">
        <f>G1/C1</f>
      </nc>
      <ndxf>
        <font>
          <sz val="10"/>
          <color auto="1"/>
          <name val="Arial"/>
          <scheme val="none"/>
        </font>
        <numFmt numFmtId="13" formatCode="0%"/>
      </ndxf>
    </rcc>
    <rcc rId="0" sId="7" dxf="1" numFmtId="4">
      <nc r="I1">
        <v>6000</v>
      </nc>
      <ndxf>
        <numFmt numFmtId="3" formatCode="#,##0"/>
      </ndxf>
    </rcc>
    <rcc rId="0" sId="7" dxf="1">
      <nc r="J1">
        <f>I1/B1</f>
      </nc>
      <ndxf>
        <numFmt numFmtId="164" formatCode="0.0%"/>
      </ndxf>
    </rcc>
    <rcc rId="0" sId="7" dxf="1">
      <nc r="K1" t="inlineStr">
        <is>
          <t>****</t>
        </is>
      </nc>
      <ndxf>
        <font>
          <sz val="10"/>
          <color auto="1"/>
          <name val="Arial"/>
          <scheme val="none"/>
        </font>
      </ndxf>
    </rcc>
    <rcc rId="0" sId="7" dxf="1">
      <nc r="L1">
        <f>I1/C1</f>
      </nc>
      <ndxf>
        <numFmt numFmtId="164" formatCode="0.0%"/>
      </ndxf>
    </rcc>
    <rcc rId="0" sId="7" dxf="1">
      <nc r="O1">
        <f>N1/M1-1</f>
      </nc>
      <ndxf>
        <numFmt numFmtId="14" formatCode="0.00%"/>
      </ndxf>
    </rcc>
  </rrc>
  <rrc rId="37444" sId="7" ref="A1:XFD1" action="deleteRow">
    <undo index="0" exp="ref" ref3D="1" v="1" dr="C1" r="C179" sId="8"/>
    <undo index="0" exp="area" dr="N1:N6" r="N7" sId="7"/>
    <undo index="0" exp="area" dr="M1:M6" r="M7" sId="7"/>
    <undo index="0" exp="area" dr="F1:F6" r="F7" sId="7"/>
    <undo index="0" exp="area" dr="C1:C6" r="C7" sId="7"/>
    <undo index="0" exp="area" dr="B1:B6" r="B7" sId="7"/>
    <rfmt sheetId="7" xfDxf="1" sqref="A1:XFD1" start="0" length="0"/>
    <rcc rId="0" sId="7" dxf="1">
      <nc r="A1" t="inlineStr">
        <is>
          <t>Baseball Dedicated Tax Transfer</t>
        </is>
      </nc>
      <ndxf>
        <font>
          <sz val="10"/>
          <color auto="1"/>
          <name val="Arial"/>
          <scheme val="none"/>
        </font>
      </ndxf>
    </rcc>
    <rcc rId="0" sId="7" dxf="1" numFmtId="11">
      <nc r="B1">
        <v>46397</v>
      </nc>
      <ndxf>
        <font>
          <sz val="10"/>
          <color auto="1"/>
          <name val="Arial"/>
          <scheme val="none"/>
        </font>
        <numFmt numFmtId="10" formatCode="&quot;$&quot;#,##0_);[Red]\(&quot;$&quot;#,##0\)"/>
      </ndxf>
    </rcc>
    <rcc rId="0" sId="7" dxf="1" numFmtId="11">
      <nc r="C1">
        <v>50044</v>
      </nc>
      <ndxf>
        <font>
          <sz val="10"/>
          <color auto="1"/>
          <name val="Arial"/>
          <scheme val="none"/>
        </font>
        <numFmt numFmtId="10" formatCode="&quot;$&quot;#,##0_);[Red]\(&quot;$&quot;#,##0\)"/>
      </ndxf>
    </rcc>
    <rcc rId="0" sId="7" dxf="1">
      <nc r="D1">
        <f>C1-B1</f>
      </nc>
      <ndxf>
        <font>
          <sz val="10"/>
          <color auto="1"/>
          <name val="Arial"/>
          <scheme val="none"/>
        </font>
        <numFmt numFmtId="10" formatCode="&quot;$&quot;#,##0_);[Red]\(&quot;$&quot;#,##0\)"/>
      </ndxf>
    </rcc>
    <rcc rId="0" sId="7" s="1" dxf="1">
      <nc r="E1">
        <f>D1/B1</f>
      </nc>
      <ndxf>
        <font>
          <sz val="10"/>
          <color auto="1"/>
          <name val="Arial"/>
          <scheme val="none"/>
        </font>
        <numFmt numFmtId="13" formatCode="0%"/>
      </ndxf>
    </rcc>
    <rcc rId="0" sId="7" dxf="1" numFmtId="11">
      <nc r="F1">
        <v>42007</v>
      </nc>
      <ndxf>
        <font>
          <sz val="10"/>
          <color auto="1"/>
          <name val="Arial"/>
          <scheme val="none"/>
        </font>
        <numFmt numFmtId="10" formatCode="&quot;$&quot;#,##0_);[Red]\(&quot;$&quot;#,##0\)"/>
      </ndxf>
    </rcc>
    <rcc rId="0" sId="7" s="1" dxf="1">
      <nc r="G1">
        <f>F1-C1</f>
      </nc>
      <ndxf>
        <font>
          <sz val="10"/>
          <color auto="1"/>
          <name val="Arial"/>
          <scheme val="none"/>
        </font>
        <numFmt numFmtId="10" formatCode="&quot;$&quot;#,##0_);[Red]\(&quot;$&quot;#,##0\)"/>
      </ndxf>
    </rcc>
    <rcc rId="0" sId="7" dxf="1">
      <nc r="H1">
        <f>G1/C1</f>
      </nc>
      <ndxf>
        <font>
          <sz val="10"/>
          <color auto="1"/>
          <name val="Arial"/>
          <scheme val="none"/>
        </font>
        <numFmt numFmtId="13" formatCode="0%"/>
      </ndxf>
    </rcc>
    <rcc rId="0" sId="7" dxf="1" numFmtId="4">
      <nc r="I1">
        <v>42007</v>
      </nc>
      <ndxf>
        <numFmt numFmtId="3" formatCode="#,##0"/>
      </ndxf>
    </rcc>
    <rcc rId="0" sId="7" dxf="1">
      <nc r="J1">
        <f>I1/B1</f>
      </nc>
      <ndxf>
        <numFmt numFmtId="164" formatCode="0.0%"/>
      </ndxf>
    </rcc>
    <rcc rId="0" sId="7" dxf="1">
      <nc r="K1" t="inlineStr">
        <is>
          <t>**</t>
        </is>
      </nc>
      <ndxf>
        <font>
          <sz val="10"/>
          <color auto="1"/>
          <name val="Arial"/>
          <scheme val="none"/>
        </font>
      </ndxf>
    </rcc>
    <rcc rId="0" sId="7" dxf="1">
      <nc r="L1">
        <f>I1/C1</f>
      </nc>
      <ndxf>
        <numFmt numFmtId="164" formatCode="0.0%"/>
      </ndxf>
    </rcc>
    <rcc rId="0" sId="7">
      <nc r="M1">
        <v>32081</v>
      </nc>
    </rcc>
    <rcc rId="0" sId="7">
      <nc r="N1">
        <v>29871</v>
      </nc>
    </rcc>
    <rcc rId="0" sId="7" dxf="1">
      <nc r="O1">
        <f>N1/M1-1</f>
      </nc>
      <ndxf>
        <numFmt numFmtId="14" formatCode="0.00%"/>
      </ndxf>
    </rcc>
  </rrc>
  <rrc rId="37445" sId="7" ref="A1:XFD1" action="deleteRow">
    <undo index="0" exp="ref" ref3D="1" v="1" dr="C1" r="C180" sId="8"/>
    <undo index="0" exp="area" dr="N1:N5" r="N6" sId="7"/>
    <undo index="0" exp="area" dr="M1:M5" r="M6" sId="7"/>
    <undo index="0" exp="area" dr="F1:F5" r="F6" sId="7"/>
    <undo index="0" exp="area" dr="C1:C5" r="C6" sId="7"/>
    <undo index="0" exp="area" dr="B1:B5" r="B6" sId="7"/>
    <rfmt sheetId="7" xfDxf="1" sqref="A1:XFD1" start="0" length="0"/>
    <rcc rId="0" sId="7" dxf="1">
      <nc r="A1" t="inlineStr">
        <is>
          <t>Emergency Planning and Security Fund (EP)</t>
        </is>
      </nc>
      <ndxf>
        <font>
          <sz val="10"/>
          <color auto="1"/>
          <name val="Arial"/>
          <scheme val="none"/>
        </font>
      </ndxf>
    </rcc>
    <rcc rId="0" sId="7" dxf="1" numFmtId="11">
      <nc r="B1">
        <v>11215</v>
      </nc>
      <ndxf>
        <font>
          <sz val="10"/>
          <color auto="1"/>
          <name val="Arial"/>
          <scheme val="none"/>
        </font>
        <numFmt numFmtId="10" formatCode="&quot;$&quot;#,##0_);[Red]\(&quot;$&quot;#,##0\)"/>
      </ndxf>
    </rcc>
    <rcc rId="0" sId="7" dxf="1" numFmtId="11">
      <nc r="C1">
        <v>0</v>
      </nc>
      <ndxf>
        <font>
          <sz val="10"/>
          <color auto="1"/>
          <name val="Arial"/>
          <scheme val="none"/>
        </font>
        <numFmt numFmtId="10" formatCode="&quot;$&quot;#,##0_);[Red]\(&quot;$&quot;#,##0\)"/>
      </ndxf>
    </rcc>
    <rcc rId="0" sId="7" dxf="1">
      <nc r="D1">
        <f>C1-B1</f>
      </nc>
      <ndxf>
        <font>
          <sz val="10"/>
          <color auto="1"/>
          <name val="Arial"/>
          <scheme val="none"/>
        </font>
        <numFmt numFmtId="10" formatCode="&quot;$&quot;#,##0_);[Red]\(&quot;$&quot;#,##0\)"/>
      </ndxf>
    </rcc>
    <rcc rId="0" sId="7" s="1" dxf="1">
      <nc r="E1">
        <f>D1/B1</f>
      </nc>
      <ndxf>
        <font>
          <sz val="10"/>
          <color auto="1"/>
          <name val="Arial"/>
          <scheme val="none"/>
        </font>
        <numFmt numFmtId="13" formatCode="0%"/>
      </ndxf>
    </rcc>
    <rcc rId="0" sId="7" dxf="1" numFmtId="11">
      <nc r="F1">
        <v>0</v>
      </nc>
      <ndxf>
        <font>
          <sz val="10"/>
          <color auto="1"/>
          <name val="Arial"/>
          <scheme val="none"/>
        </font>
        <numFmt numFmtId="10" formatCode="&quot;$&quot;#,##0_);[Red]\(&quot;$&quot;#,##0\)"/>
      </ndxf>
    </rcc>
    <rcc rId="0" sId="7" s="1" dxf="1">
      <nc r="G1">
        <f>F1-C1</f>
      </nc>
      <ndxf>
        <font>
          <sz val="10"/>
          <color auto="1"/>
          <name val="Arial"/>
          <scheme val="none"/>
        </font>
        <numFmt numFmtId="10" formatCode="&quot;$&quot;#,##0_);[Red]\(&quot;$&quot;#,##0\)"/>
      </ndxf>
    </rcc>
    <rcc rId="0" sId="7" dxf="1">
      <nc r="H1" t="inlineStr">
        <is>
          <t>—</t>
        </is>
      </nc>
      <ndxf>
        <font>
          <sz val="10"/>
          <color auto="1"/>
          <name val="Arial"/>
          <scheme val="none"/>
        </font>
        <numFmt numFmtId="164" formatCode="0.0%"/>
        <alignment horizontal="right" vertical="top" readingOrder="0"/>
      </ndxf>
    </rcc>
    <rcc rId="0" sId="7" dxf="1" numFmtId="4">
      <nc r="I1">
        <v>0</v>
      </nc>
      <ndxf>
        <numFmt numFmtId="3" formatCode="#,##0"/>
      </ndxf>
    </rcc>
    <rcc rId="0" sId="7" dxf="1">
      <nc r="J1">
        <f>I1/B1</f>
      </nc>
      <ndxf>
        <numFmt numFmtId="164" formatCode="0.0%"/>
      </ndxf>
    </rcc>
    <rcc rId="0" sId="7" dxf="1">
      <nc r="L1">
        <f>I1/C1</f>
      </nc>
      <ndxf>
        <numFmt numFmtId="164" formatCode="0.0%"/>
      </ndxf>
    </rcc>
    <rcc rId="0" sId="7" dxf="1">
      <nc r="O1">
        <f>N1/M1-1</f>
      </nc>
      <ndxf>
        <numFmt numFmtId="14" formatCode="0.00%"/>
      </ndxf>
    </rcc>
  </rrc>
  <rrc rId="37446" sId="7" ref="A1:XFD1" action="deleteRow">
    <undo index="0" exp="ref" ref3D="1" v="1" dr="C1" r="C181" sId="8"/>
    <undo index="0" exp="area" dr="N1:N4" r="N5" sId="7"/>
    <undo index="0" exp="area" dr="M1:M4" r="M5" sId="7"/>
    <undo index="0" exp="area" dr="F1:F4" r="F5" sId="7"/>
    <undo index="0" exp="area" dr="C1:C4" r="C5" sId="7"/>
    <undo index="0" exp="area" dr="B1:B4" r="B5" sId="7"/>
    <rfmt sheetId="7" xfDxf="1" sqref="A1:XFD1" start="0" length="0"/>
    <rcc rId="0" sId="7" dxf="1">
      <nc r="A1" t="inlineStr">
        <is>
          <t>Ballpark Revenue Fund (BK)</t>
        </is>
      </nc>
      <ndxf>
        <font>
          <sz val="10"/>
          <color auto="1"/>
          <name val="Arial"/>
          <scheme val="none"/>
        </font>
      </ndxf>
    </rcc>
    <rcc rId="0" sId="7" dxf="1" numFmtId="11">
      <nc r="B1">
        <v>110775</v>
      </nc>
      <ndxf>
        <font>
          <sz val="10"/>
          <color auto="1"/>
          <name val="Arial"/>
          <scheme val="none"/>
        </font>
        <numFmt numFmtId="10" formatCode="&quot;$&quot;#,##0_);[Red]\(&quot;$&quot;#,##0\)"/>
      </ndxf>
    </rcc>
    <rcc rId="0" sId="7" dxf="1" numFmtId="11">
      <nc r="C1">
        <v>76755</v>
      </nc>
      <ndxf>
        <font>
          <sz val="10"/>
          <color auto="1"/>
          <name val="Arial"/>
          <scheme val="none"/>
        </font>
        <numFmt numFmtId="10" formatCode="&quot;$&quot;#,##0_);[Red]\(&quot;$&quot;#,##0\)"/>
      </ndxf>
    </rcc>
    <rcc rId="0" sId="7" dxf="1">
      <nc r="D1">
        <f>C1-B1</f>
      </nc>
      <ndxf>
        <font>
          <sz val="10"/>
          <color auto="1"/>
          <name val="Arial"/>
          <scheme val="none"/>
        </font>
        <numFmt numFmtId="10" formatCode="&quot;$&quot;#,##0_);[Red]\(&quot;$&quot;#,##0\)"/>
      </ndxf>
    </rcc>
    <rcc rId="0" sId="7" s="1" dxf="1">
      <nc r="E1">
        <f>D1/B1</f>
      </nc>
      <ndxf>
        <font>
          <sz val="10"/>
          <color auto="1"/>
          <name val="Arial"/>
          <scheme val="none"/>
        </font>
        <numFmt numFmtId="13" formatCode="0%"/>
      </ndxf>
    </rcc>
    <rcc rId="0" sId="7" dxf="1" numFmtId="11">
      <nc r="F1">
        <v>77498</v>
      </nc>
      <ndxf>
        <font>
          <sz val="10"/>
          <color auto="1"/>
          <name val="Arial"/>
          <scheme val="none"/>
        </font>
        <numFmt numFmtId="10" formatCode="&quot;$&quot;#,##0_);[Red]\(&quot;$&quot;#,##0\)"/>
      </ndxf>
    </rcc>
    <rcc rId="0" sId="7" s="1" dxf="1">
      <nc r="G1">
        <f>F1-C1</f>
      </nc>
      <ndxf>
        <font>
          <sz val="10"/>
          <color auto="1"/>
          <name val="Arial"/>
          <scheme val="none"/>
        </font>
        <numFmt numFmtId="10" formatCode="&quot;$&quot;#,##0_);[Red]\(&quot;$&quot;#,##0\)"/>
      </ndxf>
    </rcc>
    <rcc rId="0" sId="7" dxf="1">
      <nc r="H1">
        <f>G1/C1</f>
      </nc>
      <ndxf>
        <font>
          <sz val="10"/>
          <color auto="1"/>
          <name val="Arial"/>
          <scheme val="none"/>
        </font>
        <numFmt numFmtId="13" formatCode="0%"/>
      </ndxf>
    </rcc>
    <rcc rId="0" sId="7" dxf="1">
      <nc r="J1">
        <f>I1/B1</f>
      </nc>
      <ndxf>
        <numFmt numFmtId="164" formatCode="0.0%"/>
      </ndxf>
    </rcc>
    <rcc rId="0" sId="7" dxf="1">
      <nc r="L1">
        <f>I1/C1</f>
      </nc>
      <ndxf>
        <numFmt numFmtId="164" formatCode="0.0%"/>
      </ndxf>
    </rcc>
    <rcc rId="0" sId="7">
      <nc r="M1">
        <v>15000</v>
      </nc>
    </rcc>
    <rcc rId="0" sId="7">
      <nc r="N1">
        <v>15000</v>
      </nc>
    </rcc>
    <rcc rId="0" sId="7" dxf="1">
      <nc r="O1">
        <f>N1/M1-1</f>
      </nc>
      <ndxf>
        <numFmt numFmtId="14" formatCode="0.00%"/>
      </ndxf>
    </rcc>
  </rrc>
  <rrc rId="37447" sId="7" ref="A1:XFD1" action="deleteRow">
    <undo index="0" exp="ref" ref3D="1" v="1" dr="C1" r="C182" sId="8"/>
    <undo index="0" exp="area" dr="N1:N3" r="N4" sId="7"/>
    <undo index="0" exp="area" dr="M1:M3" r="M4" sId="7"/>
    <undo index="0" exp="area" dr="F1:F3" r="F4" sId="7"/>
    <undo index="0" exp="area" dr="C1:C3" r="C4" sId="7"/>
    <undo index="0" exp="area" dr="B1:B3" r="B4" sId="7"/>
    <rfmt sheetId="7" xfDxf="1" sqref="A1:XFD1" start="0" length="0"/>
    <rcc rId="0" sId="7" dxf="1">
      <nc r="A1" t="inlineStr">
        <is>
          <t>TIF and PILOT Transfer - Dedicated Taxes</t>
        </is>
      </nc>
      <ndxf>
        <font>
          <sz val="10"/>
          <color auto="1"/>
          <name val="Arial"/>
          <scheme val="none"/>
        </font>
      </ndxf>
    </rcc>
    <rcc rId="0" sId="7" dxf="1" numFmtId="11">
      <nc r="B1">
        <v>0</v>
      </nc>
      <ndxf>
        <font>
          <sz val="10"/>
          <color auto="1"/>
          <name val="Arial"/>
          <scheme val="none"/>
        </font>
        <numFmt numFmtId="10" formatCode="&quot;$&quot;#,##0_);[Red]\(&quot;$&quot;#,##0\)"/>
      </ndxf>
    </rcc>
    <rcc rId="0" sId="7" dxf="1" numFmtId="11">
      <nc r="C1">
        <v>37702</v>
      </nc>
      <ndxf>
        <font>
          <sz val="10"/>
          <color auto="1"/>
          <name val="Arial"/>
          <scheme val="none"/>
        </font>
        <numFmt numFmtId="10" formatCode="&quot;$&quot;#,##0_);[Red]\(&quot;$&quot;#,##0\)"/>
      </ndxf>
    </rcc>
    <rcc rId="0" sId="7" dxf="1">
      <nc r="D1">
        <f>C1-B1</f>
      </nc>
      <ndxf>
        <font>
          <sz val="10"/>
          <color auto="1"/>
          <name val="Arial"/>
          <scheme val="none"/>
        </font>
        <numFmt numFmtId="10" formatCode="&quot;$&quot;#,##0_);[Red]\(&quot;$&quot;#,##0\)"/>
      </ndxf>
    </rcc>
    <rcc rId="0" sId="7" dxf="1">
      <nc r="E1" t="inlineStr">
        <is>
          <t>—</t>
        </is>
      </nc>
      <ndxf>
        <font>
          <sz val="10"/>
          <color auto="1"/>
          <name val="Arial"/>
          <scheme val="none"/>
        </font>
        <numFmt numFmtId="164" formatCode="0.0%"/>
        <alignment horizontal="right" vertical="top" readingOrder="0"/>
      </ndxf>
    </rcc>
    <rcc rId="0" sId="7" dxf="1" numFmtId="11">
      <nc r="F1">
        <v>50223</v>
      </nc>
      <ndxf>
        <font>
          <sz val="10"/>
          <color auto="1"/>
          <name val="Arial"/>
          <scheme val="none"/>
        </font>
        <numFmt numFmtId="10" formatCode="&quot;$&quot;#,##0_);[Red]\(&quot;$&quot;#,##0\)"/>
      </ndxf>
    </rcc>
    <rcc rId="0" sId="7" s="1" dxf="1">
      <nc r="G1">
        <f>F1-C1</f>
      </nc>
      <ndxf>
        <font>
          <sz val="10"/>
          <color auto="1"/>
          <name val="Arial"/>
          <scheme val="none"/>
        </font>
        <numFmt numFmtId="10" formatCode="&quot;$&quot;#,##0_);[Red]\(&quot;$&quot;#,##0\)"/>
      </ndxf>
    </rcc>
    <rcc rId="0" sId="7" dxf="1">
      <nc r="H1" t="inlineStr">
        <is>
          <t>—</t>
        </is>
      </nc>
      <ndxf>
        <font>
          <sz val="10"/>
          <color auto="1"/>
          <name val="Arial"/>
          <scheme val="none"/>
        </font>
        <numFmt numFmtId="164" formatCode="0.0%"/>
        <alignment horizontal="right" vertical="top" readingOrder="0"/>
      </ndxf>
    </rcc>
    <rcc rId="0" sId="7" dxf="1" numFmtId="4">
      <nc r="I1">
        <v>50223</v>
      </nc>
      <ndxf>
        <numFmt numFmtId="3" formatCode="#,##0"/>
      </ndxf>
    </rcc>
    <rcc rId="0" sId="7" dxf="1">
      <nc r="J1">
        <f>I1/B1</f>
      </nc>
      <ndxf>
        <numFmt numFmtId="164" formatCode="0.0%"/>
      </ndxf>
    </rcc>
    <rcc rId="0" sId="7" dxf="1">
      <nc r="L1">
        <f>I1/C1</f>
      </nc>
      <ndxf>
        <numFmt numFmtId="164" formatCode="0.0%"/>
      </ndxf>
    </rcc>
    <rcc rId="0" sId="7">
      <nc r="M1">
        <v>45992</v>
      </nc>
    </rcc>
    <rcc rId="0" sId="7">
      <nc r="N1">
        <v>67904</v>
      </nc>
    </rcc>
    <rcc rId="0" sId="7" dxf="1">
      <nc r="O1">
        <f>N1/M1-1</f>
      </nc>
      <ndxf>
        <numFmt numFmtId="14" formatCode="0.00%"/>
      </ndxf>
    </rcc>
  </rrc>
  <rrc rId="37448" sId="7" ref="A1:XFD1" action="deleteRow">
    <undo index="0" exp="ref" ref3D="1" v="1" dr="C1" r="C183" sId="8"/>
    <undo index="0" exp="area" dr="N1:N2" r="N3" sId="7"/>
    <undo index="0" exp="area" dr="M1:M2" r="M3" sId="7"/>
    <undo index="0" exp="area" dr="F1:F2" r="F3" sId="7"/>
    <undo index="0" exp="area" dr="C1:C2" r="C3" sId="7"/>
    <undo index="0" exp="area" dr="B1:B2" r="B3" sId="7"/>
    <rfmt sheetId="7" xfDxf="1" sqref="A1:XFD1" start="0" length="0"/>
    <rcc rId="0" sId="7" dxf="1">
      <nc r="A1" t="inlineStr">
        <is>
          <t>Highway Trust Fund Transfer - Dedicated Taxes</t>
        </is>
      </nc>
      <ndxf>
        <font>
          <sz val="10"/>
          <color auto="1"/>
          <name val="Arial"/>
          <scheme val="none"/>
        </font>
      </ndxf>
    </rcc>
    <rcc rId="0" sId="7" dxf="1" numFmtId="11">
      <nc r="B1">
        <v>0</v>
      </nc>
      <ndxf>
        <font>
          <sz val="10"/>
          <color auto="1"/>
          <name val="Arial"/>
          <scheme val="none"/>
        </font>
        <numFmt numFmtId="10" formatCode="&quot;$&quot;#,##0_);[Red]\(&quot;$&quot;#,##0\)"/>
      </ndxf>
    </rcc>
    <rcc rId="0" sId="7" dxf="1" numFmtId="11">
      <nc r="C1">
        <v>19719</v>
      </nc>
      <ndxf>
        <font>
          <sz val="10"/>
          <color rgb="FF7030A0"/>
          <name val="Arial"/>
          <scheme val="none"/>
        </font>
        <numFmt numFmtId="10" formatCode="&quot;$&quot;#,##0_);[Red]\(&quot;$&quot;#,##0\)"/>
      </ndxf>
    </rcc>
    <rcc rId="0" sId="7" dxf="1">
      <nc r="D1">
        <f>C1-B1</f>
      </nc>
      <ndxf>
        <font>
          <sz val="10"/>
          <color auto="1"/>
          <name val="Arial"/>
          <scheme val="none"/>
        </font>
        <numFmt numFmtId="10" formatCode="&quot;$&quot;#,##0_);[Red]\(&quot;$&quot;#,##0\)"/>
      </ndxf>
    </rcc>
    <rcc rId="0" sId="7" dxf="1">
      <nc r="E1" t="inlineStr">
        <is>
          <t>—</t>
        </is>
      </nc>
      <ndxf>
        <font>
          <sz val="10"/>
          <color auto="1"/>
          <name val="Arial"/>
          <scheme val="none"/>
        </font>
        <numFmt numFmtId="164" formatCode="0.0%"/>
        <alignment horizontal="right" vertical="top" readingOrder="0"/>
      </ndxf>
    </rcc>
    <rcc rId="0" sId="7" dxf="1" numFmtId="11">
      <nc r="F1">
        <v>20173</v>
      </nc>
      <ndxf>
        <font>
          <sz val="10"/>
          <color auto="1"/>
          <name val="Arial"/>
          <scheme val="none"/>
        </font>
        <numFmt numFmtId="10" formatCode="&quot;$&quot;#,##0_);[Red]\(&quot;$&quot;#,##0\)"/>
      </ndxf>
    </rcc>
    <rcc rId="0" sId="7" s="1" dxf="1">
      <nc r="G1">
        <f>F1-C1</f>
      </nc>
      <ndxf>
        <font>
          <sz val="10"/>
          <color auto="1"/>
          <name val="Arial"/>
          <scheme val="none"/>
        </font>
        <numFmt numFmtId="10" formatCode="&quot;$&quot;#,##0_);[Red]\(&quot;$&quot;#,##0\)"/>
      </ndxf>
    </rcc>
    <rcc rId="0" sId="7" dxf="1">
      <nc r="H1" t="inlineStr">
        <is>
          <t>—</t>
        </is>
      </nc>
      <ndxf>
        <font>
          <sz val="10"/>
          <color auto="1"/>
          <name val="Arial"/>
          <scheme val="none"/>
        </font>
        <numFmt numFmtId="164" formatCode="0.0%"/>
        <alignment horizontal="right" vertical="top" readingOrder="0"/>
      </ndxf>
    </rcc>
    <rcc rId="0" sId="7" dxf="1" numFmtId="4">
      <nc r="I1">
        <v>20173</v>
      </nc>
      <ndxf>
        <numFmt numFmtId="3" formatCode="#,##0"/>
      </ndxf>
    </rcc>
    <rcc rId="0" sId="7" dxf="1">
      <nc r="J1">
        <f>I1/B1</f>
      </nc>
      <ndxf>
        <numFmt numFmtId="164" formatCode="0.0%"/>
      </ndxf>
    </rcc>
    <rcc rId="0" sId="7" dxf="1">
      <nc r="L1">
        <f>I1/C1</f>
      </nc>
      <ndxf>
        <numFmt numFmtId="164" formatCode="0.0%"/>
      </ndxf>
    </rcc>
    <rcc rId="0" sId="7">
      <nc r="M1">
        <v>29762</v>
      </nc>
    </rcc>
    <rcc rId="0" sId="7">
      <nc r="N1">
        <v>37678</v>
      </nc>
    </rcc>
    <rcc rId="0" sId="7" dxf="1">
      <nc r="O1">
        <f>N1/M1-1</f>
      </nc>
      <ndxf>
        <numFmt numFmtId="14" formatCode="0.00%"/>
      </ndxf>
    </rcc>
  </rrc>
  <rrc rId="37449" sId="7" ref="A1:XFD1" action="deleteRow">
    <undo index="0" exp="ref" ref3D="1" v="1" dr="C1" r="C184" sId="8"/>
    <undo index="0" exp="area" dr="N1" r="N2" sId="7"/>
    <undo index="0" exp="area" dr="M1" r="M2" sId="7"/>
    <undo index="0" exp="area" dr="F1" r="F2" sId="7"/>
    <undo index="0" exp="area" dr="C1" r="C2" sId="7"/>
    <undo index="0" exp="area" dr="B1" r="B2" sId="7"/>
    <rfmt sheetId="7" xfDxf="1" sqref="A1:XFD1" start="0" length="0">
      <dxf>
        <border outline="0">
          <bottom style="medium">
            <color indexed="64"/>
          </bottom>
        </border>
      </dxf>
    </rfmt>
    <rcc rId="0" sId="7" dxf="1">
      <nc r="A1" t="inlineStr">
        <is>
          <t>Convention Center Transfer - Dedicated Taxes</t>
        </is>
      </nc>
      <ndxf>
        <font>
          <sz val="10"/>
          <color auto="1"/>
          <name val="Arial"/>
          <scheme val="none"/>
        </font>
      </ndxf>
    </rcc>
    <rcc rId="0" sId="7" dxf="1" numFmtId="11">
      <nc r="B1">
        <v>0</v>
      </nc>
      <ndxf>
        <font>
          <sz val="10"/>
          <color auto="1"/>
          <name val="Arial"/>
          <scheme val="none"/>
        </font>
        <numFmt numFmtId="10" formatCode="&quot;$&quot;#,##0_);[Red]\(&quot;$&quot;#,##0\)"/>
      </ndxf>
    </rcc>
    <rcc rId="0" sId="7" dxf="1" numFmtId="11">
      <nc r="C1">
        <v>95153</v>
      </nc>
      <ndxf>
        <font>
          <sz val="10"/>
          <color auto="1"/>
          <name val="Arial"/>
          <scheme val="none"/>
        </font>
        <numFmt numFmtId="10" formatCode="&quot;$&quot;#,##0_);[Red]\(&quot;$&quot;#,##0\)"/>
        <border outline="0">
          <bottom/>
        </border>
      </ndxf>
    </rcc>
    <rcc rId="0" sId="7" dxf="1">
      <nc r="D1">
        <f>C1-B1</f>
      </nc>
      <ndxf>
        <font>
          <sz val="10"/>
          <color auto="1"/>
          <name val="Arial"/>
          <scheme val="none"/>
        </font>
        <numFmt numFmtId="10" formatCode="&quot;$&quot;#,##0_);[Red]\(&quot;$&quot;#,##0\)"/>
      </ndxf>
    </rcc>
    <rcc rId="0" sId="7" dxf="1">
      <nc r="E1" t="inlineStr">
        <is>
          <t>—</t>
        </is>
      </nc>
      <ndxf>
        <font>
          <sz val="10"/>
          <color auto="1"/>
          <name val="Arial"/>
          <scheme val="none"/>
        </font>
        <numFmt numFmtId="164" formatCode="0.0%"/>
        <alignment horizontal="right" vertical="top" readingOrder="0"/>
      </ndxf>
    </rcc>
    <rcc rId="0" sId="7" dxf="1" numFmtId="11">
      <nc r="F1">
        <v>99149</v>
      </nc>
      <ndxf>
        <font>
          <sz val="10"/>
          <color auto="1"/>
          <name val="Arial"/>
          <scheme val="none"/>
        </font>
        <numFmt numFmtId="10" formatCode="&quot;$&quot;#,##0_);[Red]\(&quot;$&quot;#,##0\)"/>
      </ndxf>
    </rcc>
    <rcc rId="0" sId="7" s="1" dxf="1">
      <nc r="G1">
        <f>F1-C1</f>
      </nc>
      <ndxf>
        <font>
          <sz val="10"/>
          <color auto="1"/>
          <name val="Arial"/>
          <scheme val="none"/>
        </font>
        <numFmt numFmtId="10" formatCode="&quot;$&quot;#,##0_);[Red]\(&quot;$&quot;#,##0\)"/>
      </ndxf>
    </rcc>
    <rcc rId="0" sId="7" dxf="1">
      <nc r="H1" t="inlineStr">
        <is>
          <t>—</t>
        </is>
      </nc>
      <ndxf>
        <font>
          <sz val="10"/>
          <color auto="1"/>
          <name val="Arial"/>
          <scheme val="none"/>
        </font>
        <numFmt numFmtId="164" formatCode="0.0%"/>
        <alignment horizontal="right" vertical="top" readingOrder="0"/>
      </ndxf>
    </rcc>
    <rcc rId="0" sId="7" dxf="1" numFmtId="4">
      <nc r="I1">
        <v>99146</v>
      </nc>
      <ndxf>
        <numFmt numFmtId="3" formatCode="#,##0"/>
      </ndxf>
    </rcc>
    <rcc rId="0" sId="7" dxf="1">
      <nc r="J1">
        <f>I1/B1</f>
      </nc>
      <ndxf>
        <numFmt numFmtId="164" formatCode="0.0%"/>
      </ndxf>
    </rcc>
    <rcc rId="0" sId="7" dxf="1">
      <nc r="L1">
        <f>I1/C1</f>
      </nc>
      <ndxf>
        <numFmt numFmtId="164" formatCode="0.0%"/>
      </ndxf>
    </rcc>
    <rcc rId="0" sId="7">
      <nc r="M1">
        <v>93054</v>
      </nc>
    </rcc>
    <rcc rId="0" sId="7">
      <nc r="N1">
        <v>101696</v>
      </nc>
    </rcc>
    <rcc rId="0" sId="7" dxf="1">
      <nc r="O1">
        <f>N1/M1-1</f>
      </nc>
      <ndxf>
        <numFmt numFmtId="14" formatCode="0.00%"/>
        <border outline="0">
          <bottom/>
        </border>
      </ndxf>
    </rcc>
  </rrc>
  <rrc rId="37450" sId="7" ref="A1:XFD1" action="deleteRow">
    <undo index="0" exp="ref" v="1" dr="N1" r="N6" sId="7"/>
    <undo index="0" exp="ref" v="1" dr="M1" r="M6" sId="7"/>
    <undo index="0" exp="ref" dr="G1" r="G6" sId="7"/>
    <undo index="0" exp="ref" dr="F1" r="F6" sId="7"/>
    <undo index="0" exp="ref" dr="D1" r="D6" sId="7"/>
    <undo index="0" exp="ref" dr="C1" r="C6" sId="7"/>
    <undo index="0" exp="ref" dr="B1" r="B6" sId="7"/>
    <rfmt sheetId="7" xfDxf="1" sqref="A1:XFD1" start="0" length="0">
      <dxf>
        <fill>
          <patternFill patternType="solid">
            <bgColor theme="0" tint="-0.249977111117893"/>
          </patternFill>
        </fill>
      </dxf>
    </rfmt>
    <rcc rId="0" sId="7" dxf="1">
      <nc r="A1" t="inlineStr">
        <is>
          <t>Subtotal: Financing and Other Uses</t>
        </is>
      </nc>
      <ndxf>
        <font>
          <b/>
          <sz val="10"/>
          <color auto="1"/>
          <name val="Arial"/>
          <scheme val="none"/>
        </font>
      </ndxf>
    </rcc>
    <rcc rId="0" sId="7" dxf="1">
      <nc r="B1">
        <f>SUM(#REF!)</f>
      </nc>
      <ndxf>
        <font>
          <b/>
          <sz val="10"/>
          <color auto="1"/>
          <name val="Arial"/>
          <scheme val="none"/>
        </font>
        <numFmt numFmtId="10" formatCode="&quot;$&quot;#,##0_);[Red]\(&quot;$&quot;#,##0\)"/>
      </ndxf>
    </rcc>
    <rcc rId="0" sId="7" dxf="1">
      <nc r="C1">
        <f>SUM(#REF!)</f>
      </nc>
      <ndxf>
        <font>
          <b/>
          <sz val="10"/>
          <color auto="1"/>
          <name val="Arial"/>
          <scheme val="none"/>
        </font>
        <numFmt numFmtId="10" formatCode="&quot;$&quot;#,##0_);[Red]\(&quot;$&quot;#,##0\)"/>
      </ndxf>
    </rcc>
    <rcc rId="0" sId="7" dxf="1">
      <nc r="D1">
        <f>C1-B1</f>
      </nc>
      <ndxf>
        <font>
          <sz val="10"/>
          <color auto="1"/>
          <name val="Arial"/>
          <scheme val="none"/>
        </font>
        <numFmt numFmtId="10" formatCode="&quot;$&quot;#,##0_);[Red]\(&quot;$&quot;#,##0\)"/>
      </ndxf>
    </rcc>
    <rcc rId="0" sId="7" s="1" dxf="1">
      <nc r="E1">
        <f>D1/B1</f>
      </nc>
      <ndxf>
        <font>
          <sz val="10"/>
          <color auto="1"/>
          <name val="Arial"/>
          <scheme val="none"/>
        </font>
        <numFmt numFmtId="13" formatCode="0%"/>
      </ndxf>
    </rcc>
    <rcc rId="0" sId="7" dxf="1">
      <nc r="F1">
        <f>SUM(#REF!)</f>
      </nc>
      <ndxf>
        <font>
          <b/>
          <sz val="10"/>
          <color auto="1"/>
          <name val="Arial"/>
          <scheme val="none"/>
        </font>
        <numFmt numFmtId="10" formatCode="&quot;$&quot;#,##0_);[Red]\(&quot;$&quot;#,##0\)"/>
      </ndxf>
    </rcc>
    <rcc rId="0" sId="7" s="1" dxf="1">
      <nc r="G1">
        <f>F1-C1</f>
      </nc>
      <ndxf>
        <font>
          <sz val="10"/>
          <color auto="1"/>
          <name val="Arial"/>
          <scheme val="none"/>
        </font>
        <numFmt numFmtId="10" formatCode="&quot;$&quot;#,##0_);[Red]\(&quot;$&quot;#,##0\)"/>
      </ndxf>
    </rcc>
    <rcc rId="0" sId="7" dxf="1">
      <nc r="H1">
        <f>G1/C1</f>
      </nc>
      <ndxf>
        <font>
          <sz val="10"/>
          <color auto="1"/>
          <name val="Arial"/>
          <scheme val="none"/>
        </font>
        <numFmt numFmtId="13" formatCode="0%"/>
      </ndxf>
    </rcc>
    <rcc rId="0" sId="7" dxf="1" numFmtId="4">
      <nc r="I1">
        <v>928236</v>
      </nc>
      <ndxf>
        <numFmt numFmtId="3" formatCode="#,##0"/>
      </ndxf>
    </rcc>
    <rcc rId="0" sId="7" dxf="1">
      <nc r="J1">
        <f>I1/B1</f>
      </nc>
      <ndxf>
        <numFmt numFmtId="164" formatCode="0.0%"/>
      </ndxf>
    </rcc>
    <rcc rId="0" sId="7" dxf="1">
      <nc r="K1" t="inlineStr">
        <is>
          <t>**</t>
        </is>
      </nc>
      <ndxf>
        <font>
          <sz val="10"/>
          <color auto="1"/>
          <name val="Arial"/>
          <scheme val="none"/>
        </font>
      </ndxf>
    </rcc>
    <rcc rId="0" sId="7" dxf="1">
      <nc r="L1">
        <f>I1/C1</f>
      </nc>
      <ndxf>
        <numFmt numFmtId="164" formatCode="0.0%"/>
      </ndxf>
    </rcc>
    <rcc rId="0" sId="7" dxf="1">
      <nc r="M1">
        <f>SUM(#REF!)</f>
      </nc>
      <ndxf>
        <font>
          <b/>
          <sz val="10"/>
          <color auto="1"/>
          <name val="Arial"/>
          <scheme val="none"/>
        </font>
      </ndxf>
    </rcc>
    <rcc rId="0" sId="7" dxf="1">
      <nc r="N1">
        <f>SUM(#REF!)</f>
      </nc>
      <ndxf>
        <font>
          <b/>
          <sz val="10"/>
          <color auto="1"/>
          <name val="Arial"/>
          <scheme val="none"/>
        </font>
      </ndxf>
    </rcc>
    <rcc rId="0" sId="7" dxf="1">
      <nc r="O1">
        <f>N1/M1-1</f>
      </nc>
      <ndxf>
        <numFmt numFmtId="14" formatCode="0.00%"/>
        <fill>
          <patternFill patternType="none">
            <bgColor indexed="65"/>
          </patternFill>
        </fill>
      </ndxf>
    </rcc>
  </rrc>
  <rrc rId="37451" sId="7" ref="A1:XFD1" action="deleteRow">
    <rfmt sheetId="7" xfDxf="1" sqref="A1:XFD1" start="0" length="0"/>
    <rfmt sheetId="7" sqref="A1" start="0" length="0">
      <dxf>
        <font>
          <b/>
          <sz val="10"/>
          <color auto="1"/>
          <name val="Arial"/>
          <scheme val="none"/>
        </font>
      </dxf>
    </rfmt>
    <rfmt sheetId="7" sqref="B1" start="0" length="0">
      <dxf>
        <font>
          <b/>
          <sz val="10"/>
          <color auto="1"/>
          <name val="Arial"/>
          <scheme val="none"/>
        </font>
        <numFmt numFmtId="10" formatCode="&quot;$&quot;#,##0_);[Red]\(&quot;$&quot;#,##0\)"/>
      </dxf>
    </rfmt>
    <rfmt sheetId="7" sqref="C1" start="0" length="0">
      <dxf>
        <font>
          <b/>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1" sqref="E1" start="0" length="0">
      <dxf>
        <font>
          <sz val="10"/>
          <color auto="1"/>
          <name val="Arial"/>
          <scheme val="none"/>
        </font>
        <numFmt numFmtId="13" formatCode="0%"/>
      </dxf>
    </rfmt>
    <rfmt sheetId="7" sqref="F1" start="0" length="0">
      <dxf>
        <font>
          <b/>
          <sz val="10"/>
          <color auto="1"/>
          <name val="Arial"/>
          <scheme val="none"/>
        </font>
        <numFmt numFmtId="10" formatCode="&quot;$&quot;#,##0_);[Red]\(&quot;$&quot;#,##0\)"/>
      </dxf>
    </rfmt>
    <rfmt sheetId="7" s="1"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452" sId="7" ref="A1:XFD1" action="deleteRow">
    <rfmt sheetId="7" xfDxf="1" sqref="A1:XFD1" start="0" length="0"/>
    <rcc rId="0" sId="7" dxf="1">
      <nc r="A1" t="inlineStr">
        <is>
          <t>Notes for Financing and Other:</t>
        </is>
      </nc>
      <ndxf>
        <font>
          <i/>
          <sz val="10"/>
          <color auto="1"/>
          <name val="Arial"/>
          <scheme val="none"/>
        </font>
      </ndxf>
    </rcc>
    <rfmt sheetId="7" sqref="B1" start="0" length="0">
      <dxf>
        <font>
          <b/>
          <sz val="10"/>
          <color auto="1"/>
          <name val="Arial"/>
          <scheme val="none"/>
        </font>
        <numFmt numFmtId="10" formatCode="&quot;$&quot;#,##0_);[Red]\(&quot;$&quot;#,##0\)"/>
      </dxf>
    </rfmt>
    <rfmt sheetId="7" sqref="C1" start="0" length="0">
      <dxf>
        <font>
          <b/>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1" sqref="E1" start="0" length="0">
      <dxf>
        <font>
          <sz val="10"/>
          <color auto="1"/>
          <name val="Arial"/>
          <scheme val="none"/>
        </font>
        <numFmt numFmtId="13" formatCode="0%"/>
      </dxf>
    </rfmt>
    <rfmt sheetId="7" sqref="F1" start="0" length="0">
      <dxf>
        <font>
          <b/>
          <sz val="10"/>
          <color auto="1"/>
          <name val="Arial"/>
          <scheme val="none"/>
        </font>
        <numFmt numFmtId="10" formatCode="&quot;$&quot;#,##0_);[Red]\(&quot;$&quot;#,##0\)"/>
      </dxf>
    </rfmt>
    <rfmt sheetId="7" s="1"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453" sId="7" ref="A1:XFD1" action="deleteRow">
    <rfmt sheetId="7" xfDxf="1" sqref="A1:XFD1" start="0" length="0"/>
    <rcc rId="0" sId="7" dxf="1">
      <nc r="A1" t="inlineStr">
        <is>
          <t>* Prior to FY 2009, this was called the Cash Reserve</t>
        </is>
      </nc>
      <ndxf>
        <font>
          <sz val="10"/>
          <color auto="1"/>
          <name val="Arial"/>
          <scheme val="none"/>
        </font>
      </ndxf>
    </rcc>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1" sqref="E1" start="0" length="0">
      <dxf>
        <font>
          <sz val="10"/>
          <color auto="1"/>
          <name val="Arial"/>
          <scheme val="none"/>
        </font>
        <numFmt numFmtId="13" formatCode="0%"/>
      </dxf>
    </rfmt>
    <rfmt sheetId="7" sqref="F1" start="0" length="0">
      <dxf>
        <font>
          <sz val="10"/>
          <color auto="1"/>
          <name val="Arial"/>
          <scheme val="none"/>
        </font>
        <numFmt numFmtId="10" formatCode="&quot;$&quot;#,##0_);[Red]\(&quot;$&quot;#,##0\)"/>
      </dxf>
    </rfmt>
    <rfmt sheetId="7" s="1"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454" sId="7" ref="A1:XFD1" action="deleteRow">
    <rfmt sheetId="7" xfDxf="1" sqref="A1:XFD1" start="0" length="0"/>
    <rfmt sheetId="7" sqref="A1" start="0" length="0">
      <dxf>
        <font>
          <sz val="10"/>
          <color auto="1"/>
          <name val="Arial"/>
          <scheme val="none"/>
        </font>
      </dxf>
    </rfmt>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1" sqref="E1" start="0" length="0">
      <dxf>
        <font>
          <sz val="10"/>
          <color auto="1"/>
          <name val="Arial"/>
          <scheme val="none"/>
        </font>
        <numFmt numFmtId="13" formatCode="0%"/>
      </dxf>
    </rfmt>
    <rfmt sheetId="7" sqref="F1" start="0" length="0">
      <dxf>
        <font>
          <sz val="10"/>
          <color auto="1"/>
          <name val="Arial"/>
          <scheme val="none"/>
        </font>
        <numFmt numFmtId="10" formatCode="&quot;$&quot;#,##0_);[Red]\(&quot;$&quot;#,##0\)"/>
      </dxf>
    </rfmt>
    <rfmt sheetId="7" s="1"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455" sId="7" ref="A1:XFD1" action="deleteRow">
    <undo index="1" exp="ref" v="1" dr="M1" r="N4" sId="7"/>
    <undo index="0" exp="ref" v="1" dr="N1" r="N4" sId="7"/>
    <rfmt sheetId="7" xfDxf="1" sqref="A1:XFD1" start="0" length="0"/>
    <rcc rId="0" sId="7" dxf="1">
      <nc r="A1" t="inlineStr">
        <is>
          <t>TOTAL, GENERAL OPERATING FUNDS</t>
        </is>
      </nc>
      <ndxf>
        <font>
          <b/>
          <sz val="10"/>
          <color auto="1"/>
          <name val="Arial"/>
          <scheme val="none"/>
        </font>
        <fill>
          <patternFill patternType="solid">
            <bgColor theme="0" tint="-0.249977111117893"/>
          </patternFill>
        </fill>
      </ndxf>
    </rcc>
    <rcc rId="0" sId="7" dxf="1">
      <nc r="B1">
        <f>SUM(#REF!,#REF!,#REF!,#REF!,#REF!,#REF!,#REF!)</f>
      </nc>
      <ndxf>
        <font>
          <b/>
          <sz val="10"/>
          <color auto="1"/>
          <name val="Arial"/>
          <scheme val="none"/>
        </font>
        <numFmt numFmtId="10" formatCode="&quot;$&quot;#,##0_);[Red]\(&quot;$&quot;#,##0\)"/>
        <fill>
          <patternFill patternType="solid">
            <bgColor theme="0" tint="-0.249977111117893"/>
          </patternFill>
        </fill>
      </ndxf>
    </rcc>
    <rcc rId="0" sId="7" dxf="1">
      <nc r="C1">
        <f>SUM(#REF!,#REF!,#REF!,#REF!,#REF!,#REF!,#REF!)</f>
      </nc>
      <ndxf>
        <font>
          <b/>
          <sz val="10"/>
          <color auto="1"/>
          <name val="Arial"/>
          <scheme val="none"/>
        </font>
        <numFmt numFmtId="10" formatCode="&quot;$&quot;#,##0_);[Red]\(&quot;$&quot;#,##0\)"/>
        <fill>
          <patternFill patternType="solid">
            <bgColor theme="0" tint="-0.249977111117893"/>
          </patternFill>
        </fill>
      </ndxf>
    </rcc>
    <rcc rId="0" sId="7" dxf="1">
      <nc r="D1">
        <f>SUM(#REF!,#REF!,#REF!,#REF!,#REF!,#REF!,#REF!)</f>
      </nc>
      <ndxf>
        <font>
          <b/>
          <sz val="10"/>
          <color auto="1"/>
          <name val="Arial"/>
          <scheme val="none"/>
        </font>
        <numFmt numFmtId="10" formatCode="&quot;$&quot;#,##0_);[Red]\(&quot;$&quot;#,##0\)"/>
        <fill>
          <patternFill patternType="solid">
            <bgColor theme="0" tint="-0.249977111117893"/>
          </patternFill>
        </fill>
      </ndxf>
    </rcc>
    <rcc rId="0" sId="7" s="1" dxf="1">
      <nc r="E1">
        <f>D1/B1</f>
      </nc>
      <ndxf>
        <font>
          <b/>
          <sz val="10"/>
          <color auto="1"/>
          <name val="Arial"/>
          <scheme val="none"/>
        </font>
        <numFmt numFmtId="13" formatCode="0%"/>
        <fill>
          <patternFill patternType="solid">
            <bgColor theme="0" tint="-0.249977111117893"/>
          </patternFill>
        </fill>
      </ndxf>
    </rcc>
    <rcc rId="0" sId="7" dxf="1">
      <nc r="F1">
        <f>SUM(#REF!,#REF!,#REF!,#REF!,#REF!,#REF!,#REF!)</f>
      </nc>
      <ndxf>
        <font>
          <b/>
          <sz val="10"/>
          <color auto="1"/>
          <name val="Arial"/>
          <scheme val="none"/>
        </font>
        <numFmt numFmtId="10" formatCode="&quot;$&quot;#,##0_);[Red]\(&quot;$&quot;#,##0\)"/>
        <fill>
          <patternFill patternType="solid">
            <bgColor theme="0" tint="-0.249977111117893"/>
          </patternFill>
        </fill>
      </ndxf>
    </rcc>
    <rcc rId="0" sId="7" dxf="1">
      <nc r="G1">
        <f>SUM(#REF!,#REF!,#REF!,#REF!,#REF!,#REF!,#REF!)</f>
      </nc>
      <ndxf>
        <font>
          <b/>
          <sz val="10"/>
          <color auto="1"/>
          <name val="Arial"/>
          <scheme val="none"/>
        </font>
        <numFmt numFmtId="10" formatCode="&quot;$&quot;#,##0_);[Red]\(&quot;$&quot;#,##0\)"/>
        <fill>
          <patternFill patternType="solid">
            <bgColor theme="0" tint="-0.249977111117893"/>
          </patternFill>
        </fill>
      </ndxf>
    </rcc>
    <rcc rId="0" sId="7" dxf="1">
      <nc r="H1">
        <f>G1/C1</f>
      </nc>
      <ndxf>
        <font>
          <b/>
          <sz val="10"/>
          <color auto="1"/>
          <name val="Arial"/>
          <scheme val="none"/>
        </font>
        <numFmt numFmtId="13" formatCode="0%"/>
        <fill>
          <patternFill patternType="solid">
            <bgColor theme="0" tint="-0.249977111117893"/>
          </patternFill>
        </fill>
      </ndxf>
    </rcc>
    <rcc rId="0" sId="7" dxf="1" numFmtId="4">
      <nc r="I1">
        <v>9658271</v>
      </nc>
      <ndxf>
        <numFmt numFmtId="3" formatCode="#,##0"/>
      </ndxf>
    </rcc>
    <rcc rId="0" sId="7" dxf="1">
      <nc r="J1">
        <f>I1/B1</f>
      </nc>
      <ndxf>
        <numFmt numFmtId="164" formatCode="0.0%"/>
      </ndxf>
    </rcc>
    <rcc rId="0" sId="7" dxf="1">
      <nc r="K1" t="inlineStr">
        <is>
          <t>*</t>
        </is>
      </nc>
      <ndxf>
        <font>
          <sz val="10"/>
          <color auto="1"/>
          <name val="Arial"/>
          <scheme val="none"/>
        </font>
      </ndxf>
    </rcc>
    <rcc rId="0" sId="7" dxf="1">
      <nc r="L1">
        <f>I1/C1</f>
      </nc>
      <ndxf>
        <numFmt numFmtId="164" formatCode="0.0%"/>
      </ndxf>
    </rcc>
    <rcc rId="0" sId="7" dxf="1">
      <nc r="M1">
        <f>#REF!+#REF!+#REF!+#REF!+#REF!+#REF!+#REF!</f>
      </nc>
      <ndxf>
        <numFmt numFmtId="10" formatCode="&quot;$&quot;#,##0_);[Red]\(&quot;$&quot;#,##0\)"/>
      </ndxf>
    </rcc>
    <rcc rId="0" sId="7" dxf="1">
      <nc r="N1">
        <f>#REF!+#REF!+#REF!+#REF!+#REF!+#REF!+#REF!</f>
      </nc>
      <ndxf>
        <numFmt numFmtId="165" formatCode="&quot;$&quot;#,##0"/>
      </ndxf>
    </rcc>
    <rcc rId="0" sId="7" dxf="1">
      <nc r="O1">
        <f>N1/M1-1</f>
      </nc>
      <ndxf>
        <numFmt numFmtId="14" formatCode="0.00%"/>
      </ndxf>
    </rcc>
  </rrc>
  <rrc rId="37456" sId="7" ref="A1:XFD1" action="deleteRow">
    <rfmt sheetId="7" xfDxf="1" sqref="A1:XFD1" start="0" length="0"/>
    <rfmt sheetId="7" sqref="A1" start="0" length="0">
      <dxf>
        <font>
          <sz val="10"/>
          <color auto="1"/>
          <name val="Arial"/>
          <scheme val="none"/>
        </font>
      </dxf>
    </rfmt>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1" sqref="E1" start="0" length="0">
      <dxf>
        <font>
          <sz val="10"/>
          <color auto="1"/>
          <name val="Arial"/>
          <scheme val="none"/>
        </font>
        <numFmt numFmtId="13" formatCode="0%"/>
      </dxf>
    </rfmt>
    <rfmt sheetId="7" sqref="F1" start="0" length="0">
      <dxf>
        <font>
          <sz val="10"/>
          <color auto="1"/>
          <name val="Arial"/>
          <scheme val="none"/>
        </font>
        <numFmt numFmtId="12" formatCode="&quot;$&quot;#,##0.00_);[Red]\(&quot;$&quot;#,##0.00\)"/>
      </dxf>
    </rfmt>
    <rfmt sheetId="7"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457" sId="7" ref="A1:XFD1" action="deleteRow">
    <rfmt sheetId="7" xfDxf="1" sqref="A1:XFD1" start="0" length="0"/>
    <rfmt sheetId="7" sqref="A1" start="0" length="0">
      <dxf>
        <font>
          <sz val="10"/>
          <color auto="1"/>
          <name val="Arial"/>
          <scheme val="none"/>
        </font>
      </dxf>
    </rfmt>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1" sqref="E1" start="0" length="0">
      <dxf>
        <font>
          <sz val="10"/>
          <color auto="1"/>
          <name val="Arial"/>
          <scheme val="none"/>
        </font>
        <numFmt numFmtId="13" formatCode="0%"/>
      </dxf>
    </rfmt>
    <rfmt sheetId="7" sqref="F1" start="0" length="0">
      <dxf>
        <font>
          <sz val="10"/>
          <color auto="1"/>
          <name val="Arial"/>
          <scheme val="none"/>
        </font>
        <numFmt numFmtId="10" formatCode="&quot;$&quot;#,##0_);[Red]\(&quot;$&quot;#,##0\)"/>
      </dxf>
    </rfmt>
    <rfmt sheetId="7"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458" sId="7" ref="A1:XFD1" action="deleteRow">
    <rfmt sheetId="7" xfDxf="1" sqref="A1:XFD1" start="0" length="0"/>
    <rfmt sheetId="7" sqref="A1" start="0" length="0">
      <dxf>
        <font>
          <sz val="10"/>
          <color auto="1"/>
          <name val="Arial"/>
          <scheme val="none"/>
        </font>
      </dxf>
    </rfmt>
    <rfmt sheetId="7" sqref="B1" start="0" length="0">
      <dxf>
        <font>
          <sz val="10"/>
          <color auto="1"/>
          <name val="Arial"/>
          <scheme val="none"/>
        </font>
        <numFmt numFmtId="10" formatCode="&quot;$&quot;#,##0_);[Red]\(&quot;$&quot;#,##0\)"/>
      </dxf>
    </rfmt>
    <rfmt sheetId="7" sqref="C1" start="0" length="0">
      <dxf>
        <font>
          <sz val="10"/>
          <color rgb="FF7030A0"/>
          <name val="Arial"/>
          <scheme val="none"/>
        </font>
        <numFmt numFmtId="10" formatCode="&quot;$&quot;#,##0_);[Red]\(&quot;$&quot;#,##0\)"/>
      </dxf>
    </rfmt>
    <rfmt sheetId="7" sqref="D1" start="0" length="0">
      <dxf>
        <font>
          <sz val="10"/>
          <color rgb="FF7030A0"/>
          <name val="Arial"/>
          <scheme val="none"/>
        </font>
        <numFmt numFmtId="10" formatCode="&quot;$&quot;#,##0_);[Red]\(&quot;$&quot;#,##0\)"/>
      </dxf>
    </rfmt>
    <rfmt sheetId="7" s="1" sqref="E1" start="0" length="0">
      <dxf>
        <font>
          <sz val="10"/>
          <color auto="1"/>
          <name val="Arial"/>
          <scheme val="none"/>
        </font>
        <numFmt numFmtId="13" formatCode="0%"/>
      </dxf>
    </rfmt>
    <rfmt sheetId="7" sqref="F1" start="0" length="0">
      <dxf>
        <font>
          <sz val="10"/>
          <color auto="1"/>
          <name val="Arial"/>
          <scheme val="none"/>
        </font>
        <numFmt numFmtId="10" formatCode="&quot;$&quot;#,##0_);[Red]\(&quot;$&quot;#,##0\)"/>
      </dxf>
    </rfmt>
    <rfmt sheetId="7"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cc rId="0" sId="7" dxf="1">
      <nc r="N1">
        <f>#REF!-#REF!</f>
      </nc>
      <ndxf>
        <numFmt numFmtId="165" formatCode="&quot;$&quot;#,##0"/>
      </ndxf>
    </rcc>
  </rrc>
  <rrc rId="37459" sId="7" ref="A1:XFD1" action="deleteRow">
    <rfmt sheetId="7" xfDxf="1" sqref="A1:XFD1" start="0" length="0"/>
    <rfmt sheetId="7" sqref="A1" start="0" length="0">
      <dxf>
        <font>
          <sz val="10"/>
          <color auto="1"/>
          <name val="Arial"/>
          <scheme val="none"/>
        </font>
      </dxf>
    </rfmt>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1" sqref="E1" start="0" length="0">
      <dxf>
        <font>
          <sz val="10"/>
          <color auto="1"/>
          <name val="Arial"/>
          <scheme val="none"/>
        </font>
        <numFmt numFmtId="13" formatCode="0%"/>
      </dxf>
    </rfmt>
    <rfmt sheetId="7" sqref="F1" start="0" length="0">
      <dxf>
        <font>
          <sz val="10"/>
          <color auto="1"/>
          <name val="Arial"/>
          <scheme val="none"/>
        </font>
        <numFmt numFmtId="10" formatCode="&quot;$&quot;#,##0_);[Red]\(&quot;$&quot;#,##0\)"/>
      </dxf>
    </rfmt>
    <rfmt sheetId="7"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460" sId="7" ref="A1:XFD1" action="deleteRow">
    <rfmt sheetId="7" xfDxf="1" sqref="A1:XFD1" start="0" length="0"/>
    <rfmt sheetId="7" sqref="A1" start="0" length="0">
      <dxf>
        <font>
          <sz val="10"/>
          <color auto="1"/>
          <name val="Arial"/>
          <scheme val="none"/>
        </font>
      </dxf>
    </rfmt>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1" sqref="E1" start="0" length="0">
      <dxf>
        <font>
          <sz val="10"/>
          <color auto="1"/>
          <name val="Arial"/>
          <scheme val="none"/>
        </font>
        <numFmt numFmtId="13" formatCode="0%"/>
      </dxf>
    </rfmt>
    <rfmt sheetId="7" sqref="F1" start="0" length="0">
      <dxf>
        <font>
          <sz val="10"/>
          <color auto="1"/>
          <name val="Arial"/>
          <scheme val="none"/>
        </font>
        <numFmt numFmtId="10" formatCode="&quot;$&quot;#,##0_);[Red]\(&quot;$&quot;#,##0\)"/>
      </dxf>
    </rfmt>
    <rfmt sheetId="7"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461" sId="7" ref="A1:XFD1" action="deleteRow">
    <rfmt sheetId="7" xfDxf="1" sqref="A1:XFD1" start="0" length="0"/>
    <rfmt sheetId="7" sqref="A1" start="0" length="0">
      <dxf>
        <font>
          <sz val="10"/>
          <color auto="1"/>
          <name val="Arial"/>
          <scheme val="none"/>
        </font>
      </dxf>
    </rfmt>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1" sqref="E1" start="0" length="0">
      <dxf>
        <font>
          <sz val="10"/>
          <color auto="1"/>
          <name val="Arial"/>
          <scheme val="none"/>
        </font>
        <numFmt numFmtId="13" formatCode="0%"/>
      </dxf>
    </rfmt>
    <rfmt sheetId="7" sqref="F1" start="0" length="0">
      <dxf>
        <font>
          <sz val="10"/>
          <color auto="1"/>
          <name val="Arial"/>
          <scheme val="none"/>
        </font>
        <numFmt numFmtId="10" formatCode="&quot;$&quot;#,##0_);[Red]\(&quot;$&quot;#,##0\)"/>
      </dxf>
    </rfmt>
    <rfmt sheetId="7"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462" sId="7" ref="A1:XFD1" action="deleteRow">
    <rfmt sheetId="7" xfDxf="1" sqref="A1:XFD1" start="0" length="0"/>
    <rfmt sheetId="7" sqref="A1" start="0" length="0">
      <dxf>
        <font>
          <sz val="10"/>
          <color auto="1"/>
          <name val="Arial"/>
          <scheme val="none"/>
        </font>
      </dxf>
    </rfmt>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1" sqref="E1" start="0" length="0">
      <dxf>
        <font>
          <sz val="10"/>
          <color auto="1"/>
          <name val="Arial"/>
          <scheme val="none"/>
        </font>
        <numFmt numFmtId="13" formatCode="0%"/>
      </dxf>
    </rfmt>
    <rfmt sheetId="7" sqref="F1" start="0" length="0">
      <dxf>
        <font>
          <sz val="10"/>
          <color auto="1"/>
          <name val="Arial"/>
          <scheme val="none"/>
        </font>
        <numFmt numFmtId="10" formatCode="&quot;$&quot;#,##0_);[Red]\(&quot;$&quot;#,##0\)"/>
      </dxf>
    </rfmt>
    <rfmt sheetId="7"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463" sId="7" ref="A1:XFD1" action="deleteRow">
    <rfmt sheetId="7" xfDxf="1" sqref="A1:XFD1" start="0" length="0"/>
    <rfmt sheetId="7" sqref="A1" start="0" length="0">
      <dxf>
        <font>
          <sz val="10"/>
          <color auto="1"/>
          <name val="Arial"/>
          <scheme val="none"/>
        </font>
      </dxf>
    </rfmt>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1" sqref="E1" start="0" length="0">
      <dxf>
        <font>
          <sz val="10"/>
          <color auto="1"/>
          <name val="Arial"/>
          <scheme val="none"/>
        </font>
        <numFmt numFmtId="13" formatCode="0%"/>
      </dxf>
    </rfmt>
    <rfmt sheetId="7" sqref="F1" start="0" length="0">
      <dxf>
        <font>
          <sz val="10"/>
          <color auto="1"/>
          <name val="Arial"/>
          <scheme val="none"/>
        </font>
        <numFmt numFmtId="10" formatCode="&quot;$&quot;#,##0_);[Red]\(&quot;$&quot;#,##0\)"/>
      </dxf>
    </rfmt>
    <rfmt sheetId="7"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464" sId="7" ref="A1:XFD1" action="deleteRow">
    <rfmt sheetId="7" xfDxf="1" sqref="A1:XFD1" start="0" length="0"/>
    <rfmt sheetId="7" sqref="A1" start="0" length="0">
      <dxf>
        <font>
          <sz val="10"/>
          <color auto="1"/>
          <name val="Arial"/>
          <scheme val="none"/>
        </font>
      </dxf>
    </rfmt>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1" sqref="E1" start="0" length="0">
      <dxf>
        <font>
          <sz val="10"/>
          <color auto="1"/>
          <name val="Arial"/>
          <scheme val="none"/>
        </font>
        <numFmt numFmtId="13" formatCode="0%"/>
      </dxf>
    </rfmt>
    <rfmt sheetId="7" sqref="F1" start="0" length="0">
      <dxf>
        <font>
          <sz val="10"/>
          <color auto="1"/>
          <name val="Arial"/>
          <scheme val="none"/>
        </font>
        <numFmt numFmtId="10" formatCode="&quot;$&quot;#,##0_);[Red]\(&quot;$&quot;#,##0\)"/>
      </dxf>
    </rfmt>
    <rfmt sheetId="7"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465" sId="7" ref="A1:XFD1" action="deleteRow">
    <rfmt sheetId="7" xfDxf="1" sqref="A1:XFD1" start="0" length="0"/>
    <rfmt sheetId="7" sqref="A1" start="0" length="0">
      <dxf>
        <font>
          <sz val="10"/>
          <color auto="1"/>
          <name val="Arial"/>
          <scheme val="none"/>
        </font>
      </dxf>
    </rfmt>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1" sqref="E1" start="0" length="0">
      <dxf>
        <font>
          <sz val="10"/>
          <color auto="1"/>
          <name val="Arial"/>
          <scheme val="none"/>
        </font>
        <numFmt numFmtId="13" formatCode="0%"/>
      </dxf>
    </rfmt>
    <rfmt sheetId="7" sqref="F1" start="0" length="0">
      <dxf>
        <font>
          <sz val="10"/>
          <color auto="1"/>
          <name val="Arial"/>
          <scheme val="none"/>
        </font>
        <numFmt numFmtId="10" formatCode="&quot;$&quot;#,##0_);[Red]\(&quot;$&quot;#,##0\)"/>
      </dxf>
    </rfmt>
    <rfmt sheetId="7"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466" sId="7" ref="A1:XFD1" action="deleteRow">
    <rfmt sheetId="7" xfDxf="1" sqref="A1:XFD1" start="0" length="0"/>
    <rfmt sheetId="7" sqref="A1" start="0" length="0">
      <dxf>
        <font>
          <sz val="10"/>
          <color auto="1"/>
          <name val="Arial"/>
          <scheme val="none"/>
        </font>
      </dxf>
    </rfmt>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1" sqref="E1" start="0" length="0">
      <dxf>
        <font>
          <sz val="10"/>
          <color auto="1"/>
          <name val="Arial"/>
          <scheme val="none"/>
        </font>
        <numFmt numFmtId="13" formatCode="0%"/>
      </dxf>
    </rfmt>
    <rfmt sheetId="7" sqref="F1" start="0" length="0">
      <dxf>
        <font>
          <sz val="10"/>
          <color auto="1"/>
          <name val="Arial"/>
          <scheme val="none"/>
        </font>
        <numFmt numFmtId="10" formatCode="&quot;$&quot;#,##0_);[Red]\(&quot;$&quot;#,##0\)"/>
      </dxf>
    </rfmt>
    <rfmt sheetId="7"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467" sId="7" ref="A1:XFD1" action="deleteRow">
    <rfmt sheetId="7" xfDxf="1" sqref="A1:XFD1" start="0" length="0"/>
    <rfmt sheetId="7" sqref="A1" start="0" length="0">
      <dxf>
        <font>
          <sz val="10"/>
          <color auto="1"/>
          <name val="Arial"/>
          <scheme val="none"/>
        </font>
      </dxf>
    </rfmt>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1" sqref="E1" start="0" length="0">
      <dxf>
        <font>
          <sz val="10"/>
          <color auto="1"/>
          <name val="Arial"/>
          <scheme val="none"/>
        </font>
        <numFmt numFmtId="13" formatCode="0%"/>
      </dxf>
    </rfmt>
    <rfmt sheetId="7" sqref="F1" start="0" length="0">
      <dxf>
        <font>
          <sz val="10"/>
          <color auto="1"/>
          <name val="Arial"/>
          <scheme val="none"/>
        </font>
        <numFmt numFmtId="10" formatCode="&quot;$&quot;#,##0_);[Red]\(&quot;$&quot;#,##0\)"/>
      </dxf>
    </rfmt>
    <rfmt sheetId="7"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468" sId="7" ref="A1:XFD1" action="deleteRow">
    <rfmt sheetId="7" xfDxf="1" sqref="A1:XFD1" start="0" length="0"/>
    <rfmt sheetId="7" sqref="A1" start="0" length="0">
      <dxf>
        <font>
          <sz val="10"/>
          <color auto="1"/>
          <name val="Arial"/>
          <scheme val="none"/>
        </font>
      </dxf>
    </rfmt>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1" sqref="E1" start="0" length="0">
      <dxf>
        <font>
          <sz val="10"/>
          <color auto="1"/>
          <name val="Arial"/>
          <scheme val="none"/>
        </font>
        <numFmt numFmtId="13" formatCode="0%"/>
      </dxf>
    </rfmt>
    <rfmt sheetId="7" sqref="F1" start="0" length="0">
      <dxf>
        <font>
          <sz val="10"/>
          <color auto="1"/>
          <name val="Arial"/>
          <scheme val="none"/>
        </font>
        <numFmt numFmtId="10" formatCode="&quot;$&quot;#,##0_);[Red]\(&quot;$&quot;#,##0\)"/>
      </dxf>
    </rfmt>
    <rfmt sheetId="7"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469" sId="7" ref="A1:XFD1" action="deleteRow">
    <rfmt sheetId="7" xfDxf="1" sqref="A1:XFD1" start="0" length="0"/>
    <rfmt sheetId="7" sqref="A1" start="0" length="0">
      <dxf>
        <font>
          <sz val="10"/>
          <color auto="1"/>
          <name val="Arial"/>
          <scheme val="none"/>
        </font>
      </dxf>
    </rfmt>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1" sqref="E1" start="0" length="0">
      <dxf>
        <font>
          <sz val="10"/>
          <color auto="1"/>
          <name val="Arial"/>
          <scheme val="none"/>
        </font>
        <numFmt numFmtId="13" formatCode="0%"/>
      </dxf>
    </rfmt>
    <rfmt sheetId="7" sqref="F1" start="0" length="0">
      <dxf>
        <font>
          <sz val="10"/>
          <color auto="1"/>
          <name val="Arial"/>
          <scheme val="none"/>
        </font>
        <numFmt numFmtId="10" formatCode="&quot;$&quot;#,##0_);[Red]\(&quot;$&quot;#,##0\)"/>
      </dxf>
    </rfmt>
    <rfmt sheetId="7"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470" sId="7" ref="A1:XFD1" action="deleteRow">
    <rfmt sheetId="7" xfDxf="1" sqref="A1:XFD1" start="0" length="0"/>
    <rfmt sheetId="7" sqref="A1" start="0" length="0">
      <dxf>
        <font>
          <sz val="10"/>
          <color auto="1"/>
          <name val="Arial"/>
          <scheme val="none"/>
        </font>
      </dxf>
    </rfmt>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1" sqref="E1" start="0" length="0">
      <dxf>
        <font>
          <sz val="10"/>
          <color auto="1"/>
          <name val="Arial"/>
          <scheme val="none"/>
        </font>
        <numFmt numFmtId="13" formatCode="0%"/>
      </dxf>
    </rfmt>
    <rfmt sheetId="7" sqref="F1" start="0" length="0">
      <dxf>
        <font>
          <sz val="10"/>
          <color auto="1"/>
          <name val="Arial"/>
          <scheme val="none"/>
        </font>
        <numFmt numFmtId="10" formatCode="&quot;$&quot;#,##0_);[Red]\(&quot;$&quot;#,##0\)"/>
      </dxf>
    </rfmt>
    <rfmt sheetId="7"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471" sId="7" ref="A1:XFD1" action="deleteRow">
    <rfmt sheetId="7" xfDxf="1" sqref="A1:XFD1" start="0" length="0"/>
    <rfmt sheetId="7" sqref="A1" start="0" length="0">
      <dxf>
        <font>
          <sz val="10"/>
          <color auto="1"/>
          <name val="Arial"/>
          <scheme val="none"/>
        </font>
      </dxf>
    </rfmt>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1" sqref="E1" start="0" length="0">
      <dxf>
        <font>
          <sz val="10"/>
          <color auto="1"/>
          <name val="Arial"/>
          <scheme val="none"/>
        </font>
        <numFmt numFmtId="13" formatCode="0%"/>
      </dxf>
    </rfmt>
    <rfmt sheetId="7" sqref="F1" start="0" length="0">
      <dxf>
        <font>
          <sz val="10"/>
          <color auto="1"/>
          <name val="Arial"/>
          <scheme val="none"/>
        </font>
        <numFmt numFmtId="10" formatCode="&quot;$&quot;#,##0_);[Red]\(&quot;$&quot;#,##0\)"/>
      </dxf>
    </rfmt>
    <rfmt sheetId="7"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472" sId="7" ref="A1:XFD1" action="deleteRow">
    <rfmt sheetId="7" xfDxf="1" sqref="A1:XFD1" start="0" length="0"/>
    <rfmt sheetId="7" sqref="A1" start="0" length="0">
      <dxf>
        <font>
          <sz val="10"/>
          <color auto="1"/>
          <name val="Arial"/>
          <scheme val="none"/>
        </font>
      </dxf>
    </rfmt>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1" sqref="E1" start="0" length="0">
      <dxf>
        <font>
          <sz val="10"/>
          <color auto="1"/>
          <name val="Arial"/>
          <scheme val="none"/>
        </font>
        <numFmt numFmtId="13" formatCode="0%"/>
      </dxf>
    </rfmt>
    <rfmt sheetId="7" sqref="F1" start="0" length="0">
      <dxf>
        <font>
          <sz val="10"/>
          <color auto="1"/>
          <name val="Arial"/>
          <scheme val="none"/>
        </font>
        <numFmt numFmtId="10" formatCode="&quot;$&quot;#,##0_);[Red]\(&quot;$&quot;#,##0\)"/>
      </dxf>
    </rfmt>
    <rfmt sheetId="7"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473" sId="7" ref="A1:XFD1" action="deleteRow">
    <rfmt sheetId="7" xfDxf="1" sqref="A1:XFD1" start="0" length="0"/>
    <rfmt sheetId="7" sqref="A1" start="0" length="0">
      <dxf>
        <font>
          <sz val="10"/>
          <color auto="1"/>
          <name val="Arial"/>
          <scheme val="none"/>
        </font>
      </dxf>
    </rfmt>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1" sqref="E1" start="0" length="0">
      <dxf>
        <font>
          <sz val="10"/>
          <color auto="1"/>
          <name val="Arial"/>
          <scheme val="none"/>
        </font>
        <numFmt numFmtId="13" formatCode="0%"/>
      </dxf>
    </rfmt>
    <rfmt sheetId="7" sqref="F1" start="0" length="0">
      <dxf>
        <font>
          <sz val="10"/>
          <color auto="1"/>
          <name val="Arial"/>
          <scheme val="none"/>
        </font>
        <numFmt numFmtId="10" formatCode="&quot;$&quot;#,##0_);[Red]\(&quot;$&quot;#,##0\)"/>
      </dxf>
    </rfmt>
    <rfmt sheetId="7"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474" sId="7" ref="A1:XFD1" action="deleteRow">
    <rfmt sheetId="7" xfDxf="1" sqref="A1:XFD1" start="0" length="0"/>
    <rfmt sheetId="7" sqref="A1" start="0" length="0">
      <dxf>
        <font>
          <sz val="10"/>
          <color auto="1"/>
          <name val="Arial"/>
          <scheme val="none"/>
        </font>
      </dxf>
    </rfmt>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1" sqref="E1" start="0" length="0">
      <dxf>
        <font>
          <sz val="10"/>
          <color auto="1"/>
          <name val="Arial"/>
          <scheme val="none"/>
        </font>
        <numFmt numFmtId="13" formatCode="0%"/>
      </dxf>
    </rfmt>
    <rfmt sheetId="7" sqref="F1" start="0" length="0">
      <dxf>
        <font>
          <sz val="10"/>
          <color auto="1"/>
          <name val="Arial"/>
          <scheme val="none"/>
        </font>
        <numFmt numFmtId="10" formatCode="&quot;$&quot;#,##0_);[Red]\(&quot;$&quot;#,##0\)"/>
      </dxf>
    </rfmt>
    <rfmt sheetId="7"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475" sId="7" ref="A1:XFD1" action="deleteRow">
    <rfmt sheetId="7" xfDxf="1" sqref="A1:XFD1" start="0" length="0"/>
    <rfmt sheetId="7" sqref="A1" start="0" length="0">
      <dxf>
        <font>
          <sz val="10"/>
          <color auto="1"/>
          <name val="Arial"/>
          <scheme val="none"/>
        </font>
      </dxf>
    </rfmt>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1" sqref="E1" start="0" length="0">
      <dxf>
        <font>
          <sz val="10"/>
          <color auto="1"/>
          <name val="Arial"/>
          <scheme val="none"/>
        </font>
        <numFmt numFmtId="13" formatCode="0%"/>
      </dxf>
    </rfmt>
    <rfmt sheetId="7" sqref="F1" start="0" length="0">
      <dxf>
        <font>
          <sz val="10"/>
          <color auto="1"/>
          <name val="Arial"/>
          <scheme val="none"/>
        </font>
        <numFmt numFmtId="10" formatCode="&quot;$&quot;#,##0_);[Red]\(&quot;$&quot;#,##0\)"/>
      </dxf>
    </rfmt>
    <rfmt sheetId="7"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476" sId="7" ref="A1:XFD1" action="deleteRow">
    <rfmt sheetId="7" xfDxf="1" sqref="A1:XFD1" start="0" length="0"/>
    <rfmt sheetId="7" sqref="A1" start="0" length="0">
      <dxf>
        <font>
          <sz val="10"/>
          <color auto="1"/>
          <name val="Arial"/>
          <scheme val="none"/>
        </font>
      </dxf>
    </rfmt>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1" sqref="E1" start="0" length="0">
      <dxf>
        <font>
          <sz val="10"/>
          <color auto="1"/>
          <name val="Arial"/>
          <scheme val="none"/>
        </font>
        <numFmt numFmtId="13" formatCode="0%"/>
      </dxf>
    </rfmt>
    <rfmt sheetId="7" sqref="F1" start="0" length="0">
      <dxf>
        <font>
          <sz val="10"/>
          <color auto="1"/>
          <name val="Arial"/>
          <scheme val="none"/>
        </font>
        <numFmt numFmtId="10" formatCode="&quot;$&quot;#,##0_);[Red]\(&quot;$&quot;#,##0\)"/>
      </dxf>
    </rfmt>
    <rfmt sheetId="7"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477" sId="7" ref="A1:XFD1" action="deleteRow">
    <rfmt sheetId="7" xfDxf="1" sqref="A1:XFD1" start="0" length="0"/>
    <rfmt sheetId="7" sqref="A1" start="0" length="0">
      <dxf>
        <font>
          <sz val="10"/>
          <color auto="1"/>
          <name val="Arial"/>
          <scheme val="none"/>
        </font>
      </dxf>
    </rfmt>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1" sqref="E1" start="0" length="0">
      <dxf>
        <font>
          <sz val="10"/>
          <color auto="1"/>
          <name val="Arial"/>
          <scheme val="none"/>
        </font>
        <numFmt numFmtId="13" formatCode="0%"/>
      </dxf>
    </rfmt>
    <rfmt sheetId="7" sqref="F1" start="0" length="0">
      <dxf>
        <font>
          <sz val="10"/>
          <color auto="1"/>
          <name val="Arial"/>
          <scheme val="none"/>
        </font>
        <numFmt numFmtId="10" formatCode="&quot;$&quot;#,##0_);[Red]\(&quot;$&quot;#,##0\)"/>
      </dxf>
    </rfmt>
    <rfmt sheetId="7"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478" sId="7" ref="A1:XFD1" action="deleteRow">
    <rfmt sheetId="7" xfDxf="1" sqref="A1:XFD1" start="0" length="0"/>
    <rfmt sheetId="7" sqref="A1" start="0" length="0">
      <dxf>
        <font>
          <sz val="10"/>
          <color auto="1"/>
          <name val="Arial"/>
          <scheme val="none"/>
        </font>
      </dxf>
    </rfmt>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1" sqref="E1" start="0" length="0">
      <dxf>
        <font>
          <sz val="10"/>
          <color auto="1"/>
          <name val="Arial"/>
          <scheme val="none"/>
        </font>
        <numFmt numFmtId="13" formatCode="0%"/>
      </dxf>
    </rfmt>
    <rfmt sheetId="7" sqref="F1" start="0" length="0">
      <dxf>
        <font>
          <sz val="10"/>
          <color auto="1"/>
          <name val="Arial"/>
          <scheme val="none"/>
        </font>
        <numFmt numFmtId="10" formatCode="&quot;$&quot;#,##0_);[Red]\(&quot;$&quot;#,##0\)"/>
      </dxf>
    </rfmt>
    <rfmt sheetId="7"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479" sId="7" ref="A1:XFD1" action="deleteRow">
    <rfmt sheetId="7" xfDxf="1" sqref="A1:XFD1" start="0" length="0"/>
    <rfmt sheetId="7" sqref="A1" start="0" length="0">
      <dxf>
        <font>
          <sz val="10"/>
          <color auto="1"/>
          <name val="Arial"/>
          <scheme val="none"/>
        </font>
      </dxf>
    </rfmt>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1" sqref="E1" start="0" length="0">
      <dxf>
        <font>
          <sz val="10"/>
          <color auto="1"/>
          <name val="Arial"/>
          <scheme val="none"/>
        </font>
        <numFmt numFmtId="13" formatCode="0%"/>
      </dxf>
    </rfmt>
    <rfmt sheetId="7" sqref="F1" start="0" length="0">
      <dxf>
        <font>
          <sz val="10"/>
          <color auto="1"/>
          <name val="Arial"/>
          <scheme val="none"/>
        </font>
        <numFmt numFmtId="10" formatCode="&quot;$&quot;#,##0_);[Red]\(&quot;$&quot;#,##0\)"/>
      </dxf>
    </rfmt>
    <rfmt sheetId="7"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480" sId="7" ref="A1:XFD1" action="deleteRow">
    <rfmt sheetId="7" xfDxf="1" sqref="A1:XFD1" start="0" length="0"/>
    <rfmt sheetId="7" sqref="A1" start="0" length="0">
      <dxf>
        <font>
          <sz val="10"/>
          <color auto="1"/>
          <name val="Arial"/>
          <scheme val="none"/>
        </font>
      </dxf>
    </rfmt>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1" sqref="E1" start="0" length="0">
      <dxf>
        <font>
          <sz val="10"/>
          <color auto="1"/>
          <name val="Arial"/>
          <scheme val="none"/>
        </font>
        <numFmt numFmtId="13" formatCode="0%"/>
      </dxf>
    </rfmt>
    <rfmt sheetId="7" sqref="F1" start="0" length="0">
      <dxf>
        <font>
          <sz val="10"/>
          <color auto="1"/>
          <name val="Arial"/>
          <scheme val="none"/>
        </font>
        <numFmt numFmtId="10" formatCode="&quot;$&quot;#,##0_);[Red]\(&quot;$&quot;#,##0\)"/>
      </dxf>
    </rfmt>
    <rfmt sheetId="7"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481" sId="7" ref="A1:XFD1" action="deleteRow">
    <rfmt sheetId="7" xfDxf="1" sqref="A1:XFD1" start="0" length="0"/>
    <rfmt sheetId="7" sqref="A1" start="0" length="0">
      <dxf>
        <font>
          <sz val="10"/>
          <color auto="1"/>
          <name val="Arial"/>
          <scheme val="none"/>
        </font>
      </dxf>
    </rfmt>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1" sqref="E1" start="0" length="0">
      <dxf>
        <font>
          <sz val="10"/>
          <color auto="1"/>
          <name val="Arial"/>
          <scheme val="none"/>
        </font>
        <numFmt numFmtId="13" formatCode="0%"/>
      </dxf>
    </rfmt>
    <rfmt sheetId="7" sqref="F1" start="0" length="0">
      <dxf>
        <font>
          <sz val="10"/>
          <color auto="1"/>
          <name val="Arial"/>
          <scheme val="none"/>
        </font>
        <numFmt numFmtId="10" formatCode="&quot;$&quot;#,##0_);[Red]\(&quot;$&quot;#,##0\)"/>
      </dxf>
    </rfmt>
    <rfmt sheetId="7"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482" sId="7" ref="A1:XFD1" action="deleteRow">
    <rfmt sheetId="7" xfDxf="1" sqref="A1:XFD1" start="0" length="0"/>
    <rfmt sheetId="7" sqref="A1" start="0" length="0">
      <dxf>
        <font>
          <sz val="10"/>
          <color auto="1"/>
          <name val="Arial"/>
          <scheme val="none"/>
        </font>
      </dxf>
    </rfmt>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1" sqref="E1" start="0" length="0">
      <dxf>
        <font>
          <sz val="10"/>
          <color auto="1"/>
          <name val="Arial"/>
          <scheme val="none"/>
        </font>
        <numFmt numFmtId="13" formatCode="0%"/>
      </dxf>
    </rfmt>
    <rfmt sheetId="7" sqref="F1" start="0" length="0">
      <dxf>
        <font>
          <sz val="10"/>
          <color auto="1"/>
          <name val="Arial"/>
          <scheme val="none"/>
        </font>
        <numFmt numFmtId="10" formatCode="&quot;$&quot;#,##0_);[Red]\(&quot;$&quot;#,##0\)"/>
      </dxf>
    </rfmt>
    <rfmt sheetId="7"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483" sId="7" ref="A1:XFD1" action="deleteRow">
    <rfmt sheetId="7" xfDxf="1" sqref="A1:XFD1" start="0" length="0"/>
    <rfmt sheetId="7" sqref="A1" start="0" length="0">
      <dxf>
        <font>
          <sz val="10"/>
          <color auto="1"/>
          <name val="Arial"/>
          <scheme val="none"/>
        </font>
      </dxf>
    </rfmt>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1" sqref="E1" start="0" length="0">
      <dxf>
        <font>
          <sz val="10"/>
          <color auto="1"/>
          <name val="Arial"/>
          <scheme val="none"/>
        </font>
        <numFmt numFmtId="13" formatCode="0%"/>
      </dxf>
    </rfmt>
    <rfmt sheetId="7" sqref="F1" start="0" length="0">
      <dxf>
        <font>
          <sz val="10"/>
          <color auto="1"/>
          <name val="Arial"/>
          <scheme val="none"/>
        </font>
        <numFmt numFmtId="10" formatCode="&quot;$&quot;#,##0_);[Red]\(&quot;$&quot;#,##0\)"/>
      </dxf>
    </rfmt>
    <rfmt sheetId="7"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484" sId="7" ref="A1:XFD1" action="deleteRow">
    <rfmt sheetId="7" xfDxf="1" sqref="A1:XFD1" start="0" length="0"/>
    <rfmt sheetId="7" sqref="A1" start="0" length="0">
      <dxf>
        <font>
          <sz val="10"/>
          <color auto="1"/>
          <name val="Arial"/>
          <scheme val="none"/>
        </font>
      </dxf>
    </rfmt>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1" sqref="E1" start="0" length="0">
      <dxf>
        <font>
          <sz val="10"/>
          <color auto="1"/>
          <name val="Arial"/>
          <scheme val="none"/>
        </font>
        <numFmt numFmtId="13" formatCode="0%"/>
      </dxf>
    </rfmt>
    <rfmt sheetId="7" sqref="F1" start="0" length="0">
      <dxf>
        <font>
          <sz val="10"/>
          <color auto="1"/>
          <name val="Arial"/>
          <scheme val="none"/>
        </font>
        <numFmt numFmtId="10" formatCode="&quot;$&quot;#,##0_);[Red]\(&quot;$&quot;#,##0\)"/>
      </dxf>
    </rfmt>
    <rfmt sheetId="7"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485" sId="7" ref="A1:XFD1" action="deleteRow">
    <rfmt sheetId="7" xfDxf="1" sqref="A1:XFD1" start="0" length="0"/>
    <rfmt sheetId="7" sqref="A1" start="0" length="0">
      <dxf>
        <font>
          <sz val="10"/>
          <color auto="1"/>
          <name val="Arial"/>
          <scheme val="none"/>
        </font>
      </dxf>
    </rfmt>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1" sqref="E1" start="0" length="0">
      <dxf>
        <font>
          <sz val="10"/>
          <color auto="1"/>
          <name val="Arial"/>
          <scheme val="none"/>
        </font>
        <numFmt numFmtId="13" formatCode="0%"/>
      </dxf>
    </rfmt>
    <rfmt sheetId="7" sqref="F1" start="0" length="0">
      <dxf>
        <font>
          <sz val="10"/>
          <color auto="1"/>
          <name val="Arial"/>
          <scheme val="none"/>
        </font>
        <numFmt numFmtId="10" formatCode="&quot;$&quot;#,##0_);[Red]\(&quot;$&quot;#,##0\)"/>
      </dxf>
    </rfmt>
    <rfmt sheetId="7"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486" sId="7" ref="A1:XFD1" action="deleteRow">
    <rfmt sheetId="7" xfDxf="1" sqref="A1:XFD1" start="0" length="0"/>
    <rfmt sheetId="7" sqref="A1" start="0" length="0">
      <dxf>
        <font>
          <sz val="10"/>
          <color auto="1"/>
          <name val="Arial"/>
          <scheme val="none"/>
        </font>
      </dxf>
    </rfmt>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1" sqref="E1" start="0" length="0">
      <dxf>
        <font>
          <sz val="10"/>
          <color auto="1"/>
          <name val="Arial"/>
          <scheme val="none"/>
        </font>
        <numFmt numFmtId="13" formatCode="0%"/>
      </dxf>
    </rfmt>
    <rfmt sheetId="7" sqref="F1" start="0" length="0">
      <dxf>
        <font>
          <sz val="10"/>
          <color auto="1"/>
          <name val="Arial"/>
          <scheme val="none"/>
        </font>
        <numFmt numFmtId="10" formatCode="&quot;$&quot;#,##0_);[Red]\(&quot;$&quot;#,##0\)"/>
      </dxf>
    </rfmt>
    <rfmt sheetId="7"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487" sId="7" ref="A1:XFD1" action="deleteRow">
    <rfmt sheetId="7" xfDxf="1" sqref="A1:XFD1" start="0" length="0"/>
    <rfmt sheetId="7" sqref="A1" start="0" length="0">
      <dxf>
        <font>
          <sz val="10"/>
          <color auto="1"/>
          <name val="Arial"/>
          <scheme val="none"/>
        </font>
      </dxf>
    </rfmt>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1" sqref="E1" start="0" length="0">
      <dxf>
        <font>
          <sz val="10"/>
          <color auto="1"/>
          <name val="Arial"/>
          <scheme val="none"/>
        </font>
        <numFmt numFmtId="13" formatCode="0%"/>
      </dxf>
    </rfmt>
    <rfmt sheetId="7" sqref="F1" start="0" length="0">
      <dxf>
        <font>
          <sz val="10"/>
          <color auto="1"/>
          <name val="Arial"/>
          <scheme val="none"/>
        </font>
        <numFmt numFmtId="10" formatCode="&quot;$&quot;#,##0_);[Red]\(&quot;$&quot;#,##0\)"/>
      </dxf>
    </rfmt>
    <rfmt sheetId="7"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488" sId="7" ref="A1:XFD1" action="deleteRow">
    <rfmt sheetId="7" xfDxf="1" sqref="A1:XFD1" start="0" length="0"/>
    <rfmt sheetId="7" sqref="A1" start="0" length="0">
      <dxf>
        <font>
          <sz val="10"/>
          <color auto="1"/>
          <name val="Arial"/>
          <scheme val="none"/>
        </font>
      </dxf>
    </rfmt>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1" sqref="E1" start="0" length="0">
      <dxf>
        <font>
          <sz val="10"/>
          <color auto="1"/>
          <name val="Arial"/>
          <scheme val="none"/>
        </font>
        <numFmt numFmtId="13" formatCode="0%"/>
      </dxf>
    </rfmt>
    <rfmt sheetId="7" sqref="F1" start="0" length="0">
      <dxf>
        <font>
          <sz val="10"/>
          <color auto="1"/>
          <name val="Arial"/>
          <scheme val="none"/>
        </font>
        <numFmt numFmtId="10" formatCode="&quot;$&quot;#,##0_);[Red]\(&quot;$&quot;#,##0\)"/>
      </dxf>
    </rfmt>
    <rfmt sheetId="7"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489" sId="7" ref="A1:XFD1" action="deleteRow">
    <rfmt sheetId="7" xfDxf="1" sqref="A1:XFD1" start="0" length="0"/>
    <rfmt sheetId="7" sqref="A1" start="0" length="0">
      <dxf>
        <font>
          <sz val="10"/>
          <color auto="1"/>
          <name val="Arial"/>
          <scheme val="none"/>
        </font>
      </dxf>
    </rfmt>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1" sqref="E1" start="0" length="0">
      <dxf>
        <font>
          <sz val="10"/>
          <color auto="1"/>
          <name val="Arial"/>
          <scheme val="none"/>
        </font>
        <numFmt numFmtId="13" formatCode="0%"/>
      </dxf>
    </rfmt>
    <rfmt sheetId="7" sqref="F1" start="0" length="0">
      <dxf>
        <font>
          <sz val="10"/>
          <color auto="1"/>
          <name val="Arial"/>
          <scheme val="none"/>
        </font>
        <numFmt numFmtId="10" formatCode="&quot;$&quot;#,##0_);[Red]\(&quot;$&quot;#,##0\)"/>
      </dxf>
    </rfmt>
    <rfmt sheetId="7"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490" sId="7" ref="A1:XFD1" action="deleteRow">
    <rfmt sheetId="7" xfDxf="1" sqref="A1:XFD1" start="0" length="0"/>
    <rfmt sheetId="7" sqref="A1" start="0" length="0">
      <dxf>
        <font>
          <sz val="10"/>
          <color auto="1"/>
          <name val="Arial"/>
          <scheme val="none"/>
        </font>
      </dxf>
    </rfmt>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1" sqref="E1" start="0" length="0">
      <dxf>
        <font>
          <sz val="10"/>
          <color auto="1"/>
          <name val="Arial"/>
          <scheme val="none"/>
        </font>
        <numFmt numFmtId="13" formatCode="0%"/>
      </dxf>
    </rfmt>
    <rfmt sheetId="7" sqref="F1" start="0" length="0">
      <dxf>
        <font>
          <sz val="10"/>
          <color auto="1"/>
          <name val="Arial"/>
          <scheme val="none"/>
        </font>
        <numFmt numFmtId="10" formatCode="&quot;$&quot;#,##0_);[Red]\(&quot;$&quot;#,##0\)"/>
      </dxf>
    </rfmt>
    <rfmt sheetId="7"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491" sId="7" ref="A1:XFD1" action="deleteRow">
    <rfmt sheetId="7" xfDxf="1" sqref="A1:XFD1" start="0" length="0"/>
    <rfmt sheetId="7" sqref="A1" start="0" length="0">
      <dxf>
        <font>
          <sz val="10"/>
          <color auto="1"/>
          <name val="Arial"/>
          <scheme val="none"/>
        </font>
      </dxf>
    </rfmt>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1" sqref="E1" start="0" length="0">
      <dxf>
        <font>
          <sz val="10"/>
          <color auto="1"/>
          <name val="Arial"/>
          <scheme val="none"/>
        </font>
        <numFmt numFmtId="13" formatCode="0%"/>
      </dxf>
    </rfmt>
    <rfmt sheetId="7" sqref="F1" start="0" length="0">
      <dxf>
        <font>
          <sz val="10"/>
          <color auto="1"/>
          <name val="Arial"/>
          <scheme val="none"/>
        </font>
        <numFmt numFmtId="10" formatCode="&quot;$&quot;#,##0_);[Red]\(&quot;$&quot;#,##0\)"/>
      </dxf>
    </rfmt>
    <rfmt sheetId="7"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492" sId="7" ref="A1:XFD1" action="deleteRow">
    <rfmt sheetId="7" xfDxf="1" sqref="A1:XFD1" start="0" length="0"/>
    <rfmt sheetId="7" sqref="A1" start="0" length="0">
      <dxf>
        <font>
          <sz val="10"/>
          <color auto="1"/>
          <name val="Arial"/>
          <scheme val="none"/>
        </font>
      </dxf>
    </rfmt>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1" sqref="E1" start="0" length="0">
      <dxf>
        <font>
          <sz val="10"/>
          <color auto="1"/>
          <name val="Arial"/>
          <scheme val="none"/>
        </font>
        <numFmt numFmtId="13" formatCode="0%"/>
      </dxf>
    </rfmt>
    <rfmt sheetId="7" sqref="F1" start="0" length="0">
      <dxf>
        <font>
          <sz val="10"/>
          <color auto="1"/>
          <name val="Arial"/>
          <scheme val="none"/>
        </font>
        <numFmt numFmtId="10" formatCode="&quot;$&quot;#,##0_);[Red]\(&quot;$&quot;#,##0\)"/>
      </dxf>
    </rfmt>
    <rfmt sheetId="7"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493" sId="7" ref="A1:XFD1" action="deleteRow">
    <rfmt sheetId="7" xfDxf="1" sqref="A1:XFD1" start="0" length="0"/>
    <rfmt sheetId="7" sqref="A1" start="0" length="0">
      <dxf>
        <font>
          <sz val="10"/>
          <color auto="1"/>
          <name val="Arial"/>
          <scheme val="none"/>
        </font>
      </dxf>
    </rfmt>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1" sqref="E1" start="0" length="0">
      <dxf>
        <font>
          <sz val="10"/>
          <color auto="1"/>
          <name val="Arial"/>
          <scheme val="none"/>
        </font>
        <numFmt numFmtId="13" formatCode="0%"/>
      </dxf>
    </rfmt>
    <rfmt sheetId="7" sqref="F1" start="0" length="0">
      <dxf>
        <font>
          <sz val="10"/>
          <color auto="1"/>
          <name val="Arial"/>
          <scheme val="none"/>
        </font>
        <numFmt numFmtId="10" formatCode="&quot;$&quot;#,##0_);[Red]\(&quot;$&quot;#,##0\)"/>
      </dxf>
    </rfmt>
    <rfmt sheetId="7"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494" sId="7" ref="A1:XFD1" action="deleteRow">
    <rfmt sheetId="7" xfDxf="1" sqref="A1:XFD1" start="0" length="0"/>
    <rfmt sheetId="7" sqref="A1" start="0" length="0">
      <dxf>
        <font>
          <sz val="10"/>
          <color auto="1"/>
          <name val="Arial"/>
          <scheme val="none"/>
        </font>
      </dxf>
    </rfmt>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1" sqref="E1" start="0" length="0">
      <dxf>
        <font>
          <sz val="10"/>
          <color auto="1"/>
          <name val="Arial"/>
          <scheme val="none"/>
        </font>
        <numFmt numFmtId="13" formatCode="0%"/>
      </dxf>
    </rfmt>
    <rfmt sheetId="7" sqref="F1" start="0" length="0">
      <dxf>
        <font>
          <sz val="10"/>
          <color auto="1"/>
          <name val="Arial"/>
          <scheme val="none"/>
        </font>
        <numFmt numFmtId="10" formatCode="&quot;$&quot;#,##0_);[Red]\(&quot;$&quot;#,##0\)"/>
      </dxf>
    </rfmt>
    <rfmt sheetId="7"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495" sId="7" ref="A1:XFD1" action="deleteRow">
    <rfmt sheetId="7" xfDxf="1" sqref="A1:XFD1" start="0" length="0"/>
    <rfmt sheetId="7" sqref="A1" start="0" length="0">
      <dxf>
        <font>
          <sz val="10"/>
          <color auto="1"/>
          <name val="Arial"/>
          <scheme val="none"/>
        </font>
      </dxf>
    </rfmt>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1" sqref="E1" start="0" length="0">
      <dxf>
        <font>
          <sz val="10"/>
          <color auto="1"/>
          <name val="Arial"/>
          <scheme val="none"/>
        </font>
        <numFmt numFmtId="13" formatCode="0%"/>
      </dxf>
    </rfmt>
    <rfmt sheetId="7" sqref="F1" start="0" length="0">
      <dxf>
        <font>
          <sz val="10"/>
          <color auto="1"/>
          <name val="Arial"/>
          <scheme val="none"/>
        </font>
        <numFmt numFmtId="10" formatCode="&quot;$&quot;#,##0_);[Red]\(&quot;$&quot;#,##0\)"/>
      </dxf>
    </rfmt>
    <rfmt sheetId="7"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496" sId="7" ref="A1:XFD1" action="deleteRow">
    <rfmt sheetId="7" xfDxf="1" sqref="A1:XFD1" start="0" length="0"/>
    <rfmt sheetId="7" sqref="A1" start="0" length="0">
      <dxf>
        <font>
          <sz val="10"/>
          <color auto="1"/>
          <name val="Arial"/>
          <scheme val="none"/>
        </font>
      </dxf>
    </rfmt>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1" sqref="E1" start="0" length="0">
      <dxf>
        <font>
          <sz val="10"/>
          <color auto="1"/>
          <name val="Arial"/>
          <scheme val="none"/>
        </font>
        <numFmt numFmtId="13" formatCode="0%"/>
      </dxf>
    </rfmt>
    <rfmt sheetId="7" sqref="F1" start="0" length="0">
      <dxf>
        <font>
          <sz val="10"/>
          <color auto="1"/>
          <name val="Arial"/>
          <scheme val="none"/>
        </font>
        <numFmt numFmtId="10" formatCode="&quot;$&quot;#,##0_);[Red]\(&quot;$&quot;#,##0\)"/>
      </dxf>
    </rfmt>
    <rfmt sheetId="7"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497" sId="7" ref="A1:XFD1" action="deleteRow">
    <rfmt sheetId="7" xfDxf="1" sqref="A1:XFD1" start="0" length="0"/>
    <rfmt sheetId="7" sqref="A1" start="0" length="0">
      <dxf>
        <font>
          <sz val="10"/>
          <color auto="1"/>
          <name val="Arial"/>
          <scheme val="none"/>
        </font>
      </dxf>
    </rfmt>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1" sqref="E1" start="0" length="0">
      <dxf>
        <font>
          <sz val="10"/>
          <color auto="1"/>
          <name val="Arial"/>
          <scheme val="none"/>
        </font>
        <numFmt numFmtId="13" formatCode="0%"/>
      </dxf>
    </rfmt>
    <rfmt sheetId="7" sqref="F1" start="0" length="0">
      <dxf>
        <font>
          <sz val="10"/>
          <color auto="1"/>
          <name val="Arial"/>
          <scheme val="none"/>
        </font>
        <numFmt numFmtId="10" formatCode="&quot;$&quot;#,##0_);[Red]\(&quot;$&quot;#,##0\)"/>
      </dxf>
    </rfmt>
    <rfmt sheetId="7"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498" sId="7" ref="A1:XFD1" action="deleteRow">
    <rfmt sheetId="7" xfDxf="1" sqref="A1:XFD1" start="0" length="0"/>
    <rfmt sheetId="7" sqref="A1" start="0" length="0">
      <dxf>
        <font>
          <sz val="10"/>
          <color auto="1"/>
          <name val="Arial"/>
          <scheme val="none"/>
        </font>
      </dxf>
    </rfmt>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1" sqref="E1" start="0" length="0">
      <dxf>
        <font>
          <sz val="10"/>
          <color auto="1"/>
          <name val="Arial"/>
          <scheme val="none"/>
        </font>
        <numFmt numFmtId="13" formatCode="0%"/>
      </dxf>
    </rfmt>
    <rfmt sheetId="7" sqref="F1" start="0" length="0">
      <dxf>
        <font>
          <sz val="10"/>
          <color auto="1"/>
          <name val="Arial"/>
          <scheme val="none"/>
        </font>
        <numFmt numFmtId="10" formatCode="&quot;$&quot;#,##0_);[Red]\(&quot;$&quot;#,##0\)"/>
      </dxf>
    </rfmt>
    <rfmt sheetId="7"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499" sId="7" ref="A1:XFD1" action="deleteRow">
    <rfmt sheetId="7" xfDxf="1" sqref="A1:XFD1" start="0" length="0"/>
    <rfmt sheetId="7" sqref="A1" start="0" length="0">
      <dxf>
        <font>
          <sz val="10"/>
          <color auto="1"/>
          <name val="Arial"/>
          <scheme val="none"/>
        </font>
      </dxf>
    </rfmt>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1" sqref="E1" start="0" length="0">
      <dxf>
        <font>
          <sz val="10"/>
          <color auto="1"/>
          <name val="Arial"/>
          <scheme val="none"/>
        </font>
        <numFmt numFmtId="13" formatCode="0%"/>
      </dxf>
    </rfmt>
    <rfmt sheetId="7" sqref="F1" start="0" length="0">
      <dxf>
        <font>
          <sz val="10"/>
          <color auto="1"/>
          <name val="Arial"/>
          <scheme val="none"/>
        </font>
        <numFmt numFmtId="10" formatCode="&quot;$&quot;#,##0_);[Red]\(&quot;$&quot;#,##0\)"/>
      </dxf>
    </rfmt>
    <rfmt sheetId="7"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500" sId="7" ref="A1:XFD1" action="deleteRow">
    <rfmt sheetId="7" xfDxf="1" sqref="A1:XFD1" start="0" length="0"/>
    <rfmt sheetId="7" sqref="A1" start="0" length="0">
      <dxf>
        <font>
          <sz val="10"/>
          <color auto="1"/>
          <name val="Arial"/>
          <scheme val="none"/>
        </font>
      </dxf>
    </rfmt>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1" sqref="E1" start="0" length="0">
      <dxf>
        <font>
          <sz val="10"/>
          <color auto="1"/>
          <name val="Arial"/>
          <scheme val="none"/>
        </font>
        <numFmt numFmtId="13" formatCode="0%"/>
      </dxf>
    </rfmt>
    <rfmt sheetId="7" sqref="F1" start="0" length="0">
      <dxf>
        <font>
          <sz val="10"/>
          <color auto="1"/>
          <name val="Arial"/>
          <scheme val="none"/>
        </font>
        <numFmt numFmtId="10" formatCode="&quot;$&quot;#,##0_);[Red]\(&quot;$&quot;#,##0\)"/>
      </dxf>
    </rfmt>
    <rfmt sheetId="7"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501" sId="7" ref="A1:XFD1" action="deleteRow">
    <rfmt sheetId="7" xfDxf="1" sqref="A1:XFD1" start="0" length="0"/>
    <rfmt sheetId="7" sqref="A1" start="0" length="0">
      <dxf>
        <font>
          <sz val="10"/>
          <color auto="1"/>
          <name val="Arial"/>
          <scheme val="none"/>
        </font>
      </dxf>
    </rfmt>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1" sqref="E1" start="0" length="0">
      <dxf>
        <font>
          <sz val="10"/>
          <color auto="1"/>
          <name val="Arial"/>
          <scheme val="none"/>
        </font>
        <numFmt numFmtId="13" formatCode="0%"/>
      </dxf>
    </rfmt>
    <rfmt sheetId="7" sqref="F1" start="0" length="0">
      <dxf>
        <font>
          <sz val="10"/>
          <color auto="1"/>
          <name val="Arial"/>
          <scheme val="none"/>
        </font>
        <numFmt numFmtId="10" formatCode="&quot;$&quot;#,##0_);[Red]\(&quot;$&quot;#,##0\)"/>
      </dxf>
    </rfmt>
    <rfmt sheetId="7"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502" sId="7" ref="A1:XFD1" action="deleteRow">
    <rfmt sheetId="7" xfDxf="1" sqref="A1:XFD1" start="0" length="0"/>
    <rfmt sheetId="7" sqref="A1" start="0" length="0">
      <dxf>
        <font>
          <sz val="10"/>
          <color auto="1"/>
          <name val="Arial"/>
          <scheme val="none"/>
        </font>
      </dxf>
    </rfmt>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1" sqref="E1" start="0" length="0">
      <dxf>
        <font>
          <sz val="10"/>
          <color auto="1"/>
          <name val="Arial"/>
          <scheme val="none"/>
        </font>
        <numFmt numFmtId="13" formatCode="0%"/>
      </dxf>
    </rfmt>
    <rfmt sheetId="7" sqref="F1" start="0" length="0">
      <dxf>
        <font>
          <sz val="10"/>
          <color auto="1"/>
          <name val="Arial"/>
          <scheme val="none"/>
        </font>
        <numFmt numFmtId="10" formatCode="&quot;$&quot;#,##0_);[Red]\(&quot;$&quot;#,##0\)"/>
      </dxf>
    </rfmt>
    <rfmt sheetId="7"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503" sId="7" ref="A1:XFD1" action="deleteRow">
    <rfmt sheetId="7" xfDxf="1" sqref="A1:XFD1" start="0" length="0"/>
    <rfmt sheetId="7" sqref="A1" start="0" length="0">
      <dxf>
        <font>
          <sz val="10"/>
          <color auto="1"/>
          <name val="Arial"/>
          <scheme val="none"/>
        </font>
      </dxf>
    </rfmt>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1" sqref="E1" start="0" length="0">
      <dxf>
        <font>
          <sz val="10"/>
          <color auto="1"/>
          <name val="Arial"/>
          <scheme val="none"/>
        </font>
        <numFmt numFmtId="13" formatCode="0%"/>
      </dxf>
    </rfmt>
    <rfmt sheetId="7" sqref="F1" start="0" length="0">
      <dxf>
        <font>
          <sz val="10"/>
          <color auto="1"/>
          <name val="Arial"/>
          <scheme val="none"/>
        </font>
        <numFmt numFmtId="10" formatCode="&quot;$&quot;#,##0_);[Red]\(&quot;$&quot;#,##0\)"/>
      </dxf>
    </rfmt>
    <rfmt sheetId="7"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504" sId="7" ref="A1:XFD1" action="deleteRow">
    <rfmt sheetId="7" xfDxf="1" sqref="A1:XFD1" start="0" length="0"/>
    <rfmt sheetId="7" sqref="A1" start="0" length="0">
      <dxf>
        <font>
          <sz val="10"/>
          <color auto="1"/>
          <name val="Arial"/>
          <scheme val="none"/>
        </font>
      </dxf>
    </rfmt>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1" sqref="E1" start="0" length="0">
      <dxf>
        <font>
          <sz val="10"/>
          <color auto="1"/>
          <name val="Arial"/>
          <scheme val="none"/>
        </font>
        <numFmt numFmtId="13" formatCode="0%"/>
      </dxf>
    </rfmt>
    <rfmt sheetId="7" sqref="F1" start="0" length="0">
      <dxf>
        <font>
          <sz val="10"/>
          <color auto="1"/>
          <name val="Arial"/>
          <scheme val="none"/>
        </font>
        <numFmt numFmtId="10" formatCode="&quot;$&quot;#,##0_);[Red]\(&quot;$&quot;#,##0\)"/>
      </dxf>
    </rfmt>
    <rfmt sheetId="7"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505" sId="7" ref="A1:XFD1" action="deleteRow">
    <rfmt sheetId="7" xfDxf="1" sqref="A1:XFD1" start="0" length="0"/>
    <rfmt sheetId="7" sqref="A1" start="0" length="0">
      <dxf>
        <font>
          <sz val="10"/>
          <color auto="1"/>
          <name val="Arial"/>
          <scheme val="none"/>
        </font>
      </dxf>
    </rfmt>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1" sqref="E1" start="0" length="0">
      <dxf>
        <font>
          <sz val="10"/>
          <color auto="1"/>
          <name val="Arial"/>
          <scheme val="none"/>
        </font>
        <numFmt numFmtId="13" formatCode="0%"/>
      </dxf>
    </rfmt>
    <rfmt sheetId="7" sqref="F1" start="0" length="0">
      <dxf>
        <font>
          <sz val="10"/>
          <color auto="1"/>
          <name val="Arial"/>
          <scheme val="none"/>
        </font>
        <numFmt numFmtId="10" formatCode="&quot;$&quot;#,##0_);[Red]\(&quot;$&quot;#,##0\)"/>
      </dxf>
    </rfmt>
    <rfmt sheetId="7"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506" sId="7" ref="A1:XFD1" action="deleteRow">
    <rfmt sheetId="7" xfDxf="1" sqref="A1:XFD1" start="0" length="0"/>
    <rfmt sheetId="7" sqref="A1" start="0" length="0">
      <dxf>
        <font>
          <sz val="10"/>
          <color auto="1"/>
          <name val="Arial"/>
          <scheme val="none"/>
        </font>
      </dxf>
    </rfmt>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1" sqref="E1" start="0" length="0">
      <dxf>
        <font>
          <sz val="10"/>
          <color auto="1"/>
          <name val="Arial"/>
          <scheme val="none"/>
        </font>
        <numFmt numFmtId="13" formatCode="0%"/>
      </dxf>
    </rfmt>
    <rfmt sheetId="7" sqref="F1" start="0" length="0">
      <dxf>
        <font>
          <sz val="10"/>
          <color auto="1"/>
          <name val="Arial"/>
          <scheme val="none"/>
        </font>
        <numFmt numFmtId="10" formatCode="&quot;$&quot;#,##0_);[Red]\(&quot;$&quot;#,##0\)"/>
      </dxf>
    </rfmt>
    <rfmt sheetId="7"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507" sId="7" ref="A1:XFD1" action="deleteRow">
    <rfmt sheetId="7" xfDxf="1" sqref="A1:XFD1" start="0" length="0"/>
    <rfmt sheetId="7" sqref="A1" start="0" length="0">
      <dxf>
        <font>
          <sz val="10"/>
          <color auto="1"/>
          <name val="Arial"/>
          <scheme val="none"/>
        </font>
      </dxf>
    </rfmt>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1" sqref="E1" start="0" length="0">
      <dxf>
        <font>
          <sz val="10"/>
          <color auto="1"/>
          <name val="Arial"/>
          <scheme val="none"/>
        </font>
        <numFmt numFmtId="13" formatCode="0%"/>
      </dxf>
    </rfmt>
    <rfmt sheetId="7" sqref="F1" start="0" length="0">
      <dxf>
        <font>
          <sz val="10"/>
          <color auto="1"/>
          <name val="Arial"/>
          <scheme val="none"/>
        </font>
        <numFmt numFmtId="10" formatCode="&quot;$&quot;#,##0_);[Red]\(&quot;$&quot;#,##0\)"/>
      </dxf>
    </rfmt>
    <rfmt sheetId="7"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508" sId="7" ref="A1:XFD1" action="deleteRow">
    <rfmt sheetId="7" xfDxf="1" sqref="A1:XFD1" start="0" length="0"/>
    <rfmt sheetId="7" sqref="A1" start="0" length="0">
      <dxf>
        <font>
          <sz val="10"/>
          <color auto="1"/>
          <name val="Arial"/>
          <scheme val="none"/>
        </font>
      </dxf>
    </rfmt>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1" sqref="E1" start="0" length="0">
      <dxf>
        <font>
          <sz val="10"/>
          <color auto="1"/>
          <name val="Arial"/>
          <scheme val="none"/>
        </font>
        <numFmt numFmtId="13" formatCode="0%"/>
      </dxf>
    </rfmt>
    <rfmt sheetId="7" sqref="F1" start="0" length="0">
      <dxf>
        <font>
          <sz val="10"/>
          <color auto="1"/>
          <name val="Arial"/>
          <scheme val="none"/>
        </font>
        <numFmt numFmtId="10" formatCode="&quot;$&quot;#,##0_);[Red]\(&quot;$&quot;#,##0\)"/>
      </dxf>
    </rfmt>
    <rfmt sheetId="7"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509" sId="7" ref="A1:XFD1" action="deleteRow">
    <rfmt sheetId="7" xfDxf="1" sqref="A1:XFD1" start="0" length="0"/>
    <rfmt sheetId="7" sqref="A1" start="0" length="0">
      <dxf>
        <font>
          <sz val="10"/>
          <color auto="1"/>
          <name val="Arial"/>
          <scheme val="none"/>
        </font>
      </dxf>
    </rfmt>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1" sqref="E1" start="0" length="0">
      <dxf>
        <font>
          <sz val="10"/>
          <color auto="1"/>
          <name val="Arial"/>
          <scheme val="none"/>
        </font>
        <numFmt numFmtId="13" formatCode="0%"/>
      </dxf>
    </rfmt>
    <rfmt sheetId="7" sqref="F1" start="0" length="0">
      <dxf>
        <font>
          <sz val="10"/>
          <color auto="1"/>
          <name val="Arial"/>
          <scheme val="none"/>
        </font>
        <numFmt numFmtId="10" formatCode="&quot;$&quot;#,##0_);[Red]\(&quot;$&quot;#,##0\)"/>
      </dxf>
    </rfmt>
    <rfmt sheetId="7"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510" sId="7" ref="A1:XFD1" action="deleteRow">
    <rfmt sheetId="7" xfDxf="1" sqref="A1:XFD1" start="0" length="0"/>
    <rfmt sheetId="7" sqref="A1" start="0" length="0">
      <dxf>
        <font>
          <sz val="10"/>
          <color auto="1"/>
          <name val="Arial"/>
          <scheme val="none"/>
        </font>
      </dxf>
    </rfmt>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1" sqref="E1" start="0" length="0">
      <dxf>
        <font>
          <sz val="10"/>
          <color auto="1"/>
          <name val="Arial"/>
          <scheme val="none"/>
        </font>
        <numFmt numFmtId="13" formatCode="0%"/>
      </dxf>
    </rfmt>
    <rfmt sheetId="7" sqref="F1" start="0" length="0">
      <dxf>
        <font>
          <sz val="10"/>
          <color auto="1"/>
          <name val="Arial"/>
          <scheme val="none"/>
        </font>
        <numFmt numFmtId="10" formatCode="&quot;$&quot;#,##0_);[Red]\(&quot;$&quot;#,##0\)"/>
      </dxf>
    </rfmt>
    <rfmt sheetId="7"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511" sId="7" ref="A1:XFD1" action="deleteRow">
    <rfmt sheetId="7" xfDxf="1" sqref="A1:XFD1" start="0" length="0"/>
    <rfmt sheetId="7" sqref="A1" start="0" length="0">
      <dxf>
        <font>
          <sz val="10"/>
          <color auto="1"/>
          <name val="Arial"/>
          <scheme val="none"/>
        </font>
      </dxf>
    </rfmt>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1" sqref="E1" start="0" length="0">
      <dxf>
        <font>
          <sz val="10"/>
          <color auto="1"/>
          <name val="Arial"/>
          <scheme val="none"/>
        </font>
        <numFmt numFmtId="13" formatCode="0%"/>
      </dxf>
    </rfmt>
    <rfmt sheetId="7" sqref="F1" start="0" length="0">
      <dxf>
        <font>
          <sz val="10"/>
          <color auto="1"/>
          <name val="Arial"/>
          <scheme val="none"/>
        </font>
        <numFmt numFmtId="10" formatCode="&quot;$&quot;#,##0_);[Red]\(&quot;$&quot;#,##0\)"/>
      </dxf>
    </rfmt>
    <rfmt sheetId="7"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512" sId="7" ref="A1:XFD1" action="deleteRow">
    <rfmt sheetId="7" xfDxf="1" sqref="A1:XFD1" start="0" length="0"/>
    <rfmt sheetId="7" sqref="A1" start="0" length="0">
      <dxf>
        <font>
          <sz val="10"/>
          <color auto="1"/>
          <name val="Arial"/>
          <scheme val="none"/>
        </font>
      </dxf>
    </rfmt>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1" sqref="E1" start="0" length="0">
      <dxf>
        <font>
          <sz val="10"/>
          <color auto="1"/>
          <name val="Arial"/>
          <scheme val="none"/>
        </font>
        <numFmt numFmtId="13" formatCode="0%"/>
      </dxf>
    </rfmt>
    <rfmt sheetId="7" sqref="F1" start="0" length="0">
      <dxf>
        <font>
          <sz val="10"/>
          <color auto="1"/>
          <name val="Arial"/>
          <scheme val="none"/>
        </font>
        <numFmt numFmtId="10" formatCode="&quot;$&quot;#,##0_);[Red]\(&quot;$&quot;#,##0\)"/>
      </dxf>
    </rfmt>
    <rfmt sheetId="7"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513" sId="7" ref="A1:XFD1" action="deleteRow">
    <rfmt sheetId="7" xfDxf="1" sqref="A1:XFD1" start="0" length="0"/>
    <rfmt sheetId="7" sqref="A1" start="0" length="0">
      <dxf>
        <font>
          <sz val="10"/>
          <color auto="1"/>
          <name val="Arial"/>
          <scheme val="none"/>
        </font>
      </dxf>
    </rfmt>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qref="E1" start="0" length="0">
      <dxf>
        <font>
          <sz val="10"/>
          <color auto="1"/>
          <name val="Arial"/>
          <scheme val="none"/>
        </font>
      </dxf>
    </rfmt>
    <rfmt sheetId="7" sqref="F1" start="0" length="0">
      <dxf>
        <font>
          <sz val="10"/>
          <color auto="1"/>
          <name val="Arial"/>
          <scheme val="none"/>
        </font>
        <numFmt numFmtId="10" formatCode="&quot;$&quot;#,##0_);[Red]\(&quot;$&quot;#,##0\)"/>
      </dxf>
    </rfmt>
    <rfmt sheetId="7"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514" sId="7" ref="A1:XFD1" action="deleteRow">
    <rfmt sheetId="7" xfDxf="1" sqref="A1:XFD1" start="0" length="0"/>
    <rfmt sheetId="7" sqref="A1" start="0" length="0">
      <dxf>
        <font>
          <sz val="10"/>
          <color auto="1"/>
          <name val="Arial"/>
          <scheme val="none"/>
        </font>
      </dxf>
    </rfmt>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qref="E1" start="0" length="0">
      <dxf>
        <font>
          <sz val="10"/>
          <color auto="1"/>
          <name val="Arial"/>
          <scheme val="none"/>
        </font>
      </dxf>
    </rfmt>
    <rfmt sheetId="7" sqref="F1" start="0" length="0">
      <dxf>
        <font>
          <sz val="10"/>
          <color auto="1"/>
          <name val="Arial"/>
          <scheme val="none"/>
        </font>
        <numFmt numFmtId="10" formatCode="&quot;$&quot;#,##0_);[Red]\(&quot;$&quot;#,##0\)"/>
      </dxf>
    </rfmt>
    <rfmt sheetId="7"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515" sId="7" ref="A1:XFD1" action="deleteRow">
    <rfmt sheetId="7" xfDxf="1" sqref="A1:XFD1" start="0" length="0"/>
    <rfmt sheetId="7" sqref="A1" start="0" length="0">
      <dxf>
        <font>
          <sz val="10"/>
          <color auto="1"/>
          <name val="Arial"/>
          <scheme val="none"/>
        </font>
      </dxf>
    </rfmt>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qref="E1" start="0" length="0">
      <dxf>
        <font>
          <sz val="10"/>
          <color auto="1"/>
          <name val="Arial"/>
          <scheme val="none"/>
        </font>
      </dxf>
    </rfmt>
    <rfmt sheetId="7" sqref="F1" start="0" length="0">
      <dxf>
        <font>
          <sz val="10"/>
          <color auto="1"/>
          <name val="Arial"/>
          <scheme val="none"/>
        </font>
        <numFmt numFmtId="10" formatCode="&quot;$&quot;#,##0_);[Red]\(&quot;$&quot;#,##0\)"/>
      </dxf>
    </rfmt>
    <rfmt sheetId="7"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516" sId="7" ref="A1:XFD1" action="deleteRow">
    <rfmt sheetId="7" xfDxf="1" sqref="A1:XFD1" start="0" length="0"/>
    <rfmt sheetId="7" sqref="A1" start="0" length="0">
      <dxf>
        <font>
          <sz val="10"/>
          <color auto="1"/>
          <name val="Arial"/>
          <scheme val="none"/>
        </font>
      </dxf>
    </rfmt>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qref="E1" start="0" length="0">
      <dxf>
        <font>
          <sz val="10"/>
          <color auto="1"/>
          <name val="Arial"/>
          <scheme val="none"/>
        </font>
      </dxf>
    </rfmt>
    <rfmt sheetId="7" sqref="F1" start="0" length="0">
      <dxf>
        <font>
          <sz val="10"/>
          <color auto="1"/>
          <name val="Arial"/>
          <scheme val="none"/>
        </font>
        <numFmt numFmtId="10" formatCode="&quot;$&quot;#,##0_);[Red]\(&quot;$&quot;#,##0\)"/>
      </dxf>
    </rfmt>
    <rfmt sheetId="7"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517" sId="7" ref="A1:XFD1" action="deleteRow">
    <rfmt sheetId="7" xfDxf="1" sqref="A1:XFD1" start="0" length="0"/>
    <rfmt sheetId="7" sqref="A1" start="0" length="0">
      <dxf>
        <font>
          <sz val="10"/>
          <color auto="1"/>
          <name val="Arial"/>
          <scheme val="none"/>
        </font>
      </dxf>
    </rfmt>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qref="E1" start="0" length="0">
      <dxf>
        <font>
          <sz val="10"/>
          <color auto="1"/>
          <name val="Arial"/>
          <scheme val="none"/>
        </font>
      </dxf>
    </rfmt>
    <rfmt sheetId="7" sqref="F1" start="0" length="0">
      <dxf>
        <font>
          <sz val="10"/>
          <color auto="1"/>
          <name val="Arial"/>
          <scheme val="none"/>
        </font>
        <numFmt numFmtId="10" formatCode="&quot;$&quot;#,##0_);[Red]\(&quot;$&quot;#,##0\)"/>
      </dxf>
    </rfmt>
    <rfmt sheetId="7"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518" sId="7" ref="A1:XFD1" action="deleteRow">
    <rfmt sheetId="7" xfDxf="1" sqref="A1:XFD1" start="0" length="0"/>
    <rfmt sheetId="7" sqref="A1" start="0" length="0">
      <dxf>
        <font>
          <sz val="10"/>
          <color auto="1"/>
          <name val="Arial"/>
          <scheme val="none"/>
        </font>
      </dxf>
    </rfmt>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qref="E1" start="0" length="0">
      <dxf>
        <font>
          <sz val="10"/>
          <color auto="1"/>
          <name val="Arial"/>
          <scheme val="none"/>
        </font>
      </dxf>
    </rfmt>
    <rfmt sheetId="7" sqref="F1" start="0" length="0">
      <dxf>
        <font>
          <sz val="10"/>
          <color auto="1"/>
          <name val="Arial"/>
          <scheme val="none"/>
        </font>
        <numFmt numFmtId="10" formatCode="&quot;$&quot;#,##0_);[Red]\(&quot;$&quot;#,##0\)"/>
      </dxf>
    </rfmt>
    <rfmt sheetId="7"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519" sId="7" ref="A1:XFD1" action="deleteRow">
    <rfmt sheetId="7" xfDxf="1" sqref="A1:XFD1" start="0" length="0"/>
    <rfmt sheetId="7" sqref="A1" start="0" length="0">
      <dxf>
        <font>
          <sz val="10"/>
          <color auto="1"/>
          <name val="Arial"/>
          <scheme val="none"/>
        </font>
      </dxf>
    </rfmt>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qref="E1" start="0" length="0">
      <dxf>
        <font>
          <sz val="10"/>
          <color auto="1"/>
          <name val="Arial"/>
          <scheme val="none"/>
        </font>
      </dxf>
    </rfmt>
    <rfmt sheetId="7" sqref="F1" start="0" length="0">
      <dxf>
        <font>
          <sz val="10"/>
          <color auto="1"/>
          <name val="Arial"/>
          <scheme val="none"/>
        </font>
        <numFmt numFmtId="10" formatCode="&quot;$&quot;#,##0_);[Red]\(&quot;$&quot;#,##0\)"/>
      </dxf>
    </rfmt>
    <rfmt sheetId="7"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520" sId="7" ref="A1:XFD1" action="deleteRow">
    <rfmt sheetId="7" xfDxf="1" sqref="A1:XFD1" start="0" length="0"/>
    <rfmt sheetId="7" sqref="A1" start="0" length="0">
      <dxf>
        <font>
          <sz val="10"/>
          <color auto="1"/>
          <name val="Arial"/>
          <scheme val="none"/>
        </font>
      </dxf>
    </rfmt>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qref="E1" start="0" length="0">
      <dxf>
        <font>
          <sz val="10"/>
          <color auto="1"/>
          <name val="Arial"/>
          <scheme val="none"/>
        </font>
      </dxf>
    </rfmt>
    <rfmt sheetId="7" sqref="F1" start="0" length="0">
      <dxf>
        <font>
          <sz val="10"/>
          <color auto="1"/>
          <name val="Arial"/>
          <scheme val="none"/>
        </font>
        <numFmt numFmtId="10" formatCode="&quot;$&quot;#,##0_);[Red]\(&quot;$&quot;#,##0\)"/>
      </dxf>
    </rfmt>
    <rfmt sheetId="7"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521" sId="7" ref="A1:XFD1" action="deleteRow">
    <rfmt sheetId="7" xfDxf="1" sqref="A1:XFD1" start="0" length="0"/>
    <rfmt sheetId="7" sqref="A1" start="0" length="0">
      <dxf>
        <font>
          <sz val="10"/>
          <color auto="1"/>
          <name val="Arial"/>
          <scheme val="none"/>
        </font>
      </dxf>
    </rfmt>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qref="E1" start="0" length="0">
      <dxf>
        <font>
          <sz val="10"/>
          <color auto="1"/>
          <name val="Arial"/>
          <scheme val="none"/>
        </font>
      </dxf>
    </rfmt>
    <rfmt sheetId="7" sqref="F1" start="0" length="0">
      <dxf>
        <font>
          <sz val="10"/>
          <color auto="1"/>
          <name val="Arial"/>
          <scheme val="none"/>
        </font>
        <numFmt numFmtId="10" formatCode="&quot;$&quot;#,##0_);[Red]\(&quot;$&quot;#,##0\)"/>
      </dxf>
    </rfmt>
    <rfmt sheetId="7"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522" sId="7" ref="A1:XFD1" action="deleteRow">
    <rfmt sheetId="7" xfDxf="1" sqref="A1:XFD1" start="0" length="0"/>
    <rfmt sheetId="7" sqref="A1" start="0" length="0">
      <dxf>
        <font>
          <sz val="10"/>
          <color auto="1"/>
          <name val="Arial"/>
          <scheme val="none"/>
        </font>
      </dxf>
    </rfmt>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qref="E1" start="0" length="0">
      <dxf>
        <font>
          <sz val="10"/>
          <color auto="1"/>
          <name val="Arial"/>
          <scheme val="none"/>
        </font>
      </dxf>
    </rfmt>
    <rfmt sheetId="7" sqref="F1" start="0" length="0">
      <dxf>
        <font>
          <sz val="10"/>
          <color auto="1"/>
          <name val="Arial"/>
          <scheme val="none"/>
        </font>
        <numFmt numFmtId="10" formatCode="&quot;$&quot;#,##0_);[Red]\(&quot;$&quot;#,##0\)"/>
      </dxf>
    </rfmt>
    <rfmt sheetId="7"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523" sId="7" ref="A1:XFD1" action="deleteRow">
    <rfmt sheetId="7" xfDxf="1" sqref="A1:XFD1" start="0" length="0"/>
    <rfmt sheetId="7" sqref="A1" start="0" length="0">
      <dxf>
        <font>
          <sz val="10"/>
          <color auto="1"/>
          <name val="Arial"/>
          <scheme val="none"/>
        </font>
      </dxf>
    </rfmt>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qref="E1" start="0" length="0">
      <dxf>
        <font>
          <sz val="10"/>
          <color auto="1"/>
          <name val="Arial"/>
          <scheme val="none"/>
        </font>
      </dxf>
    </rfmt>
    <rfmt sheetId="7" sqref="F1" start="0" length="0">
      <dxf>
        <font>
          <sz val="10"/>
          <color auto="1"/>
          <name val="Arial"/>
          <scheme val="none"/>
        </font>
        <numFmt numFmtId="10" formatCode="&quot;$&quot;#,##0_);[Red]\(&quot;$&quot;#,##0\)"/>
      </dxf>
    </rfmt>
    <rfmt sheetId="7"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524" sId="7" ref="A1:XFD1" action="deleteRow">
    <rfmt sheetId="7" xfDxf="1" sqref="A1:XFD1" start="0" length="0"/>
    <rfmt sheetId="7" sqref="A1" start="0" length="0">
      <dxf>
        <font>
          <sz val="10"/>
          <color auto="1"/>
          <name val="Arial"/>
          <scheme val="none"/>
        </font>
      </dxf>
    </rfmt>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qref="E1" start="0" length="0">
      <dxf>
        <font>
          <sz val="10"/>
          <color auto="1"/>
          <name val="Arial"/>
          <scheme val="none"/>
        </font>
      </dxf>
    </rfmt>
    <rfmt sheetId="7" sqref="F1" start="0" length="0">
      <dxf>
        <font>
          <sz val="10"/>
          <color auto="1"/>
          <name val="Arial"/>
          <scheme val="none"/>
        </font>
        <numFmt numFmtId="10" formatCode="&quot;$&quot;#,##0_);[Red]\(&quot;$&quot;#,##0\)"/>
      </dxf>
    </rfmt>
    <rfmt sheetId="7"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525" sId="7" ref="A1:XFD1" action="deleteRow">
    <rfmt sheetId="7" xfDxf="1" sqref="A1:XFD1" start="0" length="0"/>
    <rfmt sheetId="7" sqref="A1" start="0" length="0">
      <dxf>
        <font>
          <sz val="10"/>
          <color auto="1"/>
          <name val="Arial"/>
          <scheme val="none"/>
        </font>
      </dxf>
    </rfmt>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qref="E1" start="0" length="0">
      <dxf>
        <font>
          <sz val="10"/>
          <color auto="1"/>
          <name val="Arial"/>
          <scheme val="none"/>
        </font>
      </dxf>
    </rfmt>
    <rfmt sheetId="7" sqref="F1" start="0" length="0">
      <dxf>
        <font>
          <sz val="10"/>
          <color auto="1"/>
          <name val="Arial"/>
          <scheme val="none"/>
        </font>
        <numFmt numFmtId="10" formatCode="&quot;$&quot;#,##0_);[Red]\(&quot;$&quot;#,##0\)"/>
      </dxf>
    </rfmt>
    <rfmt sheetId="7"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526" sId="7" ref="A1:XFD1" action="deleteRow">
    <rfmt sheetId="7" xfDxf="1" sqref="A1:XFD1" start="0" length="0"/>
    <rfmt sheetId="7" sqref="A1" start="0" length="0">
      <dxf>
        <font>
          <sz val="10"/>
          <color auto="1"/>
          <name val="Arial"/>
          <scheme val="none"/>
        </font>
      </dxf>
    </rfmt>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qref="E1" start="0" length="0">
      <dxf>
        <font>
          <sz val="10"/>
          <color auto="1"/>
          <name val="Arial"/>
          <scheme val="none"/>
        </font>
      </dxf>
    </rfmt>
    <rfmt sheetId="7" sqref="F1" start="0" length="0">
      <dxf>
        <font>
          <sz val="10"/>
          <color auto="1"/>
          <name val="Arial"/>
          <scheme val="none"/>
        </font>
        <numFmt numFmtId="10" formatCode="&quot;$&quot;#,##0_);[Red]\(&quot;$&quot;#,##0\)"/>
      </dxf>
    </rfmt>
    <rfmt sheetId="7"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527" sId="7" ref="A1:XFD1" action="deleteRow">
    <rfmt sheetId="7" xfDxf="1" sqref="A1:XFD1" start="0" length="0"/>
    <rfmt sheetId="7" sqref="A1" start="0" length="0">
      <dxf>
        <font>
          <sz val="10"/>
          <color auto="1"/>
          <name val="Arial"/>
          <scheme val="none"/>
        </font>
      </dxf>
    </rfmt>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qref="E1" start="0" length="0">
      <dxf>
        <font>
          <sz val="10"/>
          <color auto="1"/>
          <name val="Arial"/>
          <scheme val="none"/>
        </font>
      </dxf>
    </rfmt>
    <rfmt sheetId="7" sqref="F1" start="0" length="0">
      <dxf>
        <font>
          <sz val="10"/>
          <color auto="1"/>
          <name val="Arial"/>
          <scheme val="none"/>
        </font>
        <numFmt numFmtId="10" formatCode="&quot;$&quot;#,##0_);[Red]\(&quot;$&quot;#,##0\)"/>
      </dxf>
    </rfmt>
    <rfmt sheetId="7"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528" sId="7" ref="A1:XFD1" action="deleteRow">
    <rfmt sheetId="7" xfDxf="1" sqref="A1:XFD1" start="0" length="0"/>
    <rfmt sheetId="7" sqref="A1" start="0" length="0">
      <dxf>
        <font>
          <sz val="10"/>
          <color auto="1"/>
          <name val="Arial"/>
          <scheme val="none"/>
        </font>
      </dxf>
    </rfmt>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qref="E1" start="0" length="0">
      <dxf>
        <font>
          <sz val="10"/>
          <color auto="1"/>
          <name val="Arial"/>
          <scheme val="none"/>
        </font>
      </dxf>
    </rfmt>
    <rfmt sheetId="7" sqref="F1" start="0" length="0">
      <dxf>
        <font>
          <sz val="10"/>
          <color auto="1"/>
          <name val="Arial"/>
          <scheme val="none"/>
        </font>
        <numFmt numFmtId="10" formatCode="&quot;$&quot;#,##0_);[Red]\(&quot;$&quot;#,##0\)"/>
      </dxf>
    </rfmt>
    <rfmt sheetId="7"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529" sId="7" ref="A1:XFD1" action="deleteRow">
    <rfmt sheetId="7" xfDxf="1" sqref="A1:XFD1" start="0" length="0"/>
    <rfmt sheetId="7" sqref="A1" start="0" length="0">
      <dxf>
        <font>
          <sz val="10"/>
          <color auto="1"/>
          <name val="Arial"/>
          <scheme val="none"/>
        </font>
      </dxf>
    </rfmt>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qref="E1" start="0" length="0">
      <dxf>
        <font>
          <sz val="10"/>
          <color auto="1"/>
          <name val="Arial"/>
          <scheme val="none"/>
        </font>
      </dxf>
    </rfmt>
    <rfmt sheetId="7" sqref="F1" start="0" length="0">
      <dxf>
        <font>
          <sz val="10"/>
          <color auto="1"/>
          <name val="Arial"/>
          <scheme val="none"/>
        </font>
        <numFmt numFmtId="10" formatCode="&quot;$&quot;#,##0_);[Red]\(&quot;$&quot;#,##0\)"/>
      </dxf>
    </rfmt>
    <rfmt sheetId="7"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530" sId="7" ref="A1:XFD1" action="deleteRow">
    <rfmt sheetId="7" xfDxf="1" sqref="A1:XFD1" start="0" length="0"/>
    <rfmt sheetId="7" sqref="A1" start="0" length="0">
      <dxf>
        <font>
          <sz val="10"/>
          <color auto="1"/>
          <name val="Arial"/>
          <scheme val="none"/>
        </font>
      </dxf>
    </rfmt>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qref="E1" start="0" length="0">
      <dxf>
        <font>
          <sz val="10"/>
          <color auto="1"/>
          <name val="Arial"/>
          <scheme val="none"/>
        </font>
      </dxf>
    </rfmt>
    <rfmt sheetId="7" sqref="F1" start="0" length="0">
      <dxf>
        <font>
          <sz val="10"/>
          <color auto="1"/>
          <name val="Arial"/>
          <scheme val="none"/>
        </font>
        <numFmt numFmtId="10" formatCode="&quot;$&quot;#,##0_);[Red]\(&quot;$&quot;#,##0\)"/>
      </dxf>
    </rfmt>
    <rfmt sheetId="7"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531" sId="7" ref="A1:XFD1" action="deleteRow">
    <rfmt sheetId="7" xfDxf="1" sqref="A1:XFD1" start="0" length="0"/>
    <rfmt sheetId="7" sqref="A1" start="0" length="0">
      <dxf>
        <font>
          <sz val="10"/>
          <color auto="1"/>
          <name val="Arial"/>
          <scheme val="none"/>
        </font>
      </dxf>
    </rfmt>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qref="E1" start="0" length="0">
      <dxf>
        <font>
          <sz val="10"/>
          <color auto="1"/>
          <name val="Arial"/>
          <scheme val="none"/>
        </font>
      </dxf>
    </rfmt>
    <rfmt sheetId="7" sqref="F1" start="0" length="0">
      <dxf>
        <font>
          <sz val="10"/>
          <color auto="1"/>
          <name val="Arial"/>
          <scheme val="none"/>
        </font>
        <numFmt numFmtId="10" formatCode="&quot;$&quot;#,##0_);[Red]\(&quot;$&quot;#,##0\)"/>
      </dxf>
    </rfmt>
    <rfmt sheetId="7"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532" sId="7" ref="A1:XFD1" action="deleteRow">
    <rfmt sheetId="7" xfDxf="1" sqref="A1:XFD1" start="0" length="0"/>
    <rfmt sheetId="7" sqref="A1" start="0" length="0">
      <dxf>
        <font>
          <sz val="10"/>
          <color auto="1"/>
          <name val="Arial"/>
          <scheme val="none"/>
        </font>
      </dxf>
    </rfmt>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qref="E1" start="0" length="0">
      <dxf>
        <font>
          <sz val="10"/>
          <color auto="1"/>
          <name val="Arial"/>
          <scheme val="none"/>
        </font>
      </dxf>
    </rfmt>
    <rfmt sheetId="7" sqref="F1" start="0" length="0">
      <dxf>
        <font>
          <sz val="10"/>
          <color auto="1"/>
          <name val="Arial"/>
          <scheme val="none"/>
        </font>
        <numFmt numFmtId="10" formatCode="&quot;$&quot;#,##0_);[Red]\(&quot;$&quot;#,##0\)"/>
      </dxf>
    </rfmt>
    <rfmt sheetId="7"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533" sId="7" ref="A1:XFD1" action="deleteRow">
    <rfmt sheetId="7" xfDxf="1" sqref="A1:XFD1" start="0" length="0"/>
    <rfmt sheetId="7" sqref="A1" start="0" length="0">
      <dxf>
        <font>
          <sz val="10"/>
          <color auto="1"/>
          <name val="Arial"/>
          <scheme val="none"/>
        </font>
      </dxf>
    </rfmt>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qref="E1" start="0" length="0">
      <dxf>
        <font>
          <sz val="10"/>
          <color auto="1"/>
          <name val="Arial"/>
          <scheme val="none"/>
        </font>
      </dxf>
    </rfmt>
    <rfmt sheetId="7" sqref="F1" start="0" length="0">
      <dxf>
        <font>
          <sz val="10"/>
          <color auto="1"/>
          <name val="Arial"/>
          <scheme val="none"/>
        </font>
        <numFmt numFmtId="10" formatCode="&quot;$&quot;#,##0_);[Red]\(&quot;$&quot;#,##0\)"/>
      </dxf>
    </rfmt>
    <rfmt sheetId="7"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534" sId="7" ref="A1:XFD1" action="deleteRow">
    <rfmt sheetId="7" xfDxf="1" sqref="A1:XFD1" start="0" length="0"/>
    <rfmt sheetId="7" sqref="A1" start="0" length="0">
      <dxf>
        <font>
          <sz val="10"/>
          <color auto="1"/>
          <name val="Arial"/>
          <scheme val="none"/>
        </font>
      </dxf>
    </rfmt>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qref="E1" start="0" length="0">
      <dxf>
        <font>
          <sz val="10"/>
          <color auto="1"/>
          <name val="Arial"/>
          <scheme val="none"/>
        </font>
      </dxf>
    </rfmt>
    <rfmt sheetId="7" sqref="F1" start="0" length="0">
      <dxf>
        <font>
          <sz val="10"/>
          <color auto="1"/>
          <name val="Arial"/>
          <scheme val="none"/>
        </font>
        <numFmt numFmtId="10" formatCode="&quot;$&quot;#,##0_);[Red]\(&quot;$&quot;#,##0\)"/>
      </dxf>
    </rfmt>
    <rfmt sheetId="7"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535" sId="7" ref="A1:XFD1" action="deleteRow">
    <rfmt sheetId="7" xfDxf="1" sqref="A1:XFD1" start="0" length="0"/>
    <rfmt sheetId="7" sqref="A1" start="0" length="0">
      <dxf>
        <font>
          <sz val="10"/>
          <color auto="1"/>
          <name val="Arial"/>
          <scheme val="none"/>
        </font>
      </dxf>
    </rfmt>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qref="E1" start="0" length="0">
      <dxf>
        <font>
          <sz val="10"/>
          <color auto="1"/>
          <name val="Arial"/>
          <scheme val="none"/>
        </font>
      </dxf>
    </rfmt>
    <rfmt sheetId="7" sqref="F1" start="0" length="0">
      <dxf>
        <font>
          <sz val="10"/>
          <color auto="1"/>
          <name val="Arial"/>
          <scheme val="none"/>
        </font>
        <numFmt numFmtId="10" formatCode="&quot;$&quot;#,##0_);[Red]\(&quot;$&quot;#,##0\)"/>
      </dxf>
    </rfmt>
    <rfmt sheetId="7"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536" sId="7" ref="A1:XFD1" action="deleteRow">
    <rfmt sheetId="7" xfDxf="1" sqref="A1:XFD1" start="0" length="0"/>
    <rfmt sheetId="7" sqref="A1" start="0" length="0">
      <dxf>
        <font>
          <sz val="10"/>
          <color auto="1"/>
          <name val="Arial"/>
          <scheme val="none"/>
        </font>
      </dxf>
    </rfmt>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qref="E1" start="0" length="0">
      <dxf>
        <font>
          <sz val="10"/>
          <color auto="1"/>
          <name val="Arial"/>
          <scheme val="none"/>
        </font>
      </dxf>
    </rfmt>
    <rfmt sheetId="7" sqref="F1" start="0" length="0">
      <dxf>
        <font>
          <sz val="10"/>
          <color auto="1"/>
          <name val="Arial"/>
          <scheme val="none"/>
        </font>
        <numFmt numFmtId="10" formatCode="&quot;$&quot;#,##0_);[Red]\(&quot;$&quot;#,##0\)"/>
      </dxf>
    </rfmt>
    <rfmt sheetId="7"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537" sId="7" ref="A1:XFD1" action="deleteRow">
    <rfmt sheetId="7" xfDxf="1" sqref="A1:XFD1" start="0" length="0"/>
    <rfmt sheetId="7" sqref="A1" start="0" length="0">
      <dxf>
        <font>
          <sz val="10"/>
          <color auto="1"/>
          <name val="Arial"/>
          <scheme val="none"/>
        </font>
      </dxf>
    </rfmt>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qref="E1" start="0" length="0">
      <dxf>
        <font>
          <sz val="10"/>
          <color auto="1"/>
          <name val="Arial"/>
          <scheme val="none"/>
        </font>
      </dxf>
    </rfmt>
    <rfmt sheetId="7" sqref="F1" start="0" length="0">
      <dxf>
        <font>
          <sz val="10"/>
          <color auto="1"/>
          <name val="Arial"/>
          <scheme val="none"/>
        </font>
        <numFmt numFmtId="10" formatCode="&quot;$&quot;#,##0_);[Red]\(&quot;$&quot;#,##0\)"/>
      </dxf>
    </rfmt>
    <rfmt sheetId="7"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538" sId="7" ref="A1:XFD1" action="deleteRow">
    <rfmt sheetId="7" xfDxf="1" sqref="A1:XFD1" start="0" length="0"/>
    <rfmt sheetId="7" sqref="A1" start="0" length="0">
      <dxf>
        <font>
          <sz val="10"/>
          <color auto="1"/>
          <name val="Arial"/>
          <scheme val="none"/>
        </font>
      </dxf>
    </rfmt>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qref="E1" start="0" length="0">
      <dxf>
        <font>
          <sz val="10"/>
          <color auto="1"/>
          <name val="Arial"/>
          <scheme val="none"/>
        </font>
      </dxf>
    </rfmt>
    <rfmt sheetId="7" sqref="F1" start="0" length="0">
      <dxf>
        <font>
          <sz val="10"/>
          <color auto="1"/>
          <name val="Arial"/>
          <scheme val="none"/>
        </font>
        <numFmt numFmtId="10" formatCode="&quot;$&quot;#,##0_);[Red]\(&quot;$&quot;#,##0\)"/>
      </dxf>
    </rfmt>
    <rfmt sheetId="7"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539" sId="7" ref="A1:XFD1" action="deleteRow">
    <rfmt sheetId="7" xfDxf="1" sqref="A1:XFD1" start="0" length="0"/>
    <rfmt sheetId="7" sqref="A1" start="0" length="0">
      <dxf>
        <font>
          <sz val="10"/>
          <color auto="1"/>
          <name val="Arial"/>
          <scheme val="none"/>
        </font>
      </dxf>
    </rfmt>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qref="E1" start="0" length="0">
      <dxf>
        <font>
          <sz val="10"/>
          <color auto="1"/>
          <name val="Arial"/>
          <scheme val="none"/>
        </font>
      </dxf>
    </rfmt>
    <rfmt sheetId="7" sqref="F1" start="0" length="0">
      <dxf>
        <font>
          <sz val="10"/>
          <color auto="1"/>
          <name val="Arial"/>
          <scheme val="none"/>
        </font>
        <numFmt numFmtId="10" formatCode="&quot;$&quot;#,##0_);[Red]\(&quot;$&quot;#,##0\)"/>
      </dxf>
    </rfmt>
    <rfmt sheetId="7"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540" sId="7" ref="A1:XFD1" action="deleteRow">
    <rfmt sheetId="7" xfDxf="1" sqref="A1:XFD1" start="0" length="0"/>
    <rfmt sheetId="7" sqref="A1" start="0" length="0">
      <dxf>
        <font>
          <sz val="10"/>
          <color auto="1"/>
          <name val="Arial"/>
          <scheme val="none"/>
        </font>
      </dxf>
    </rfmt>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qref="E1" start="0" length="0">
      <dxf>
        <font>
          <sz val="10"/>
          <color auto="1"/>
          <name val="Arial"/>
          <scheme val="none"/>
        </font>
      </dxf>
    </rfmt>
    <rfmt sheetId="7" sqref="F1" start="0" length="0">
      <dxf>
        <font>
          <sz val="10"/>
          <color auto="1"/>
          <name val="Arial"/>
          <scheme val="none"/>
        </font>
        <numFmt numFmtId="10" formatCode="&quot;$&quot;#,##0_);[Red]\(&quot;$&quot;#,##0\)"/>
      </dxf>
    </rfmt>
    <rfmt sheetId="7"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541" sId="7" ref="A1:XFD1" action="deleteRow">
    <rfmt sheetId="7" xfDxf="1" sqref="A1:XFD1" start="0" length="0"/>
    <rfmt sheetId="7" sqref="A1" start="0" length="0">
      <dxf>
        <font>
          <sz val="10"/>
          <color auto="1"/>
          <name val="Arial"/>
          <scheme val="none"/>
        </font>
      </dxf>
    </rfmt>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qref="E1" start="0" length="0">
      <dxf>
        <font>
          <sz val="10"/>
          <color auto="1"/>
          <name val="Arial"/>
          <scheme val="none"/>
        </font>
      </dxf>
    </rfmt>
    <rfmt sheetId="7" sqref="F1" start="0" length="0">
      <dxf>
        <font>
          <sz val="10"/>
          <color auto="1"/>
          <name val="Arial"/>
          <scheme val="none"/>
        </font>
        <numFmt numFmtId="10" formatCode="&quot;$&quot;#,##0_);[Red]\(&quot;$&quot;#,##0\)"/>
      </dxf>
    </rfmt>
    <rfmt sheetId="7"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542" sId="7" ref="A1:XFD1" action="deleteRow">
    <rfmt sheetId="7" xfDxf="1" sqref="A1:XFD1" start="0" length="0"/>
    <rfmt sheetId="7" sqref="A1" start="0" length="0">
      <dxf>
        <font>
          <sz val="10"/>
          <color auto="1"/>
          <name val="Arial"/>
          <scheme val="none"/>
        </font>
      </dxf>
    </rfmt>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qref="E1" start="0" length="0">
      <dxf>
        <font>
          <sz val="10"/>
          <color auto="1"/>
          <name val="Arial"/>
          <scheme val="none"/>
        </font>
      </dxf>
    </rfmt>
    <rfmt sheetId="7" sqref="F1" start="0" length="0">
      <dxf>
        <font>
          <sz val="10"/>
          <color auto="1"/>
          <name val="Arial"/>
          <scheme val="none"/>
        </font>
        <numFmt numFmtId="10" formatCode="&quot;$&quot;#,##0_);[Red]\(&quot;$&quot;#,##0\)"/>
      </dxf>
    </rfmt>
    <rfmt sheetId="7"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543" sId="7" ref="A1:XFD1" action="deleteRow">
    <rfmt sheetId="7" xfDxf="1" sqref="A1:XFD1" start="0" length="0"/>
    <rfmt sheetId="7" sqref="A1" start="0" length="0">
      <dxf>
        <font>
          <sz val="10"/>
          <color auto="1"/>
          <name val="Arial"/>
          <scheme val="none"/>
        </font>
      </dxf>
    </rfmt>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qref="E1" start="0" length="0">
      <dxf>
        <font>
          <sz val="10"/>
          <color auto="1"/>
          <name val="Arial"/>
          <scheme val="none"/>
        </font>
      </dxf>
    </rfmt>
    <rfmt sheetId="7" sqref="F1" start="0" length="0">
      <dxf>
        <font>
          <sz val="10"/>
          <color auto="1"/>
          <name val="Arial"/>
          <scheme val="none"/>
        </font>
        <numFmt numFmtId="10" formatCode="&quot;$&quot;#,##0_);[Red]\(&quot;$&quot;#,##0\)"/>
      </dxf>
    </rfmt>
    <rfmt sheetId="7"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544" sId="7" ref="A1:XFD1" action="deleteRow">
    <rfmt sheetId="7" xfDxf="1" sqref="A1:XFD1" start="0" length="0"/>
    <rfmt sheetId="7" sqref="A1" start="0" length="0">
      <dxf>
        <font>
          <sz val="10"/>
          <color auto="1"/>
          <name val="Arial"/>
          <scheme val="none"/>
        </font>
      </dxf>
    </rfmt>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qref="E1" start="0" length="0">
      <dxf>
        <font>
          <sz val="10"/>
          <color auto="1"/>
          <name val="Arial"/>
          <scheme val="none"/>
        </font>
      </dxf>
    </rfmt>
    <rfmt sheetId="7" sqref="F1" start="0" length="0">
      <dxf>
        <font>
          <sz val="10"/>
          <color auto="1"/>
          <name val="Arial"/>
          <scheme val="none"/>
        </font>
        <numFmt numFmtId="10" formatCode="&quot;$&quot;#,##0_);[Red]\(&quot;$&quot;#,##0\)"/>
      </dxf>
    </rfmt>
    <rfmt sheetId="7"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545" sId="7" ref="A1:XFD1" action="deleteRow">
    <rfmt sheetId="7" xfDxf="1" sqref="A1:XFD1" start="0" length="0"/>
    <rfmt sheetId="7" sqref="A1" start="0" length="0">
      <dxf>
        <font>
          <sz val="10"/>
          <color auto="1"/>
          <name val="Arial"/>
          <scheme val="none"/>
        </font>
      </dxf>
    </rfmt>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qref="E1" start="0" length="0">
      <dxf>
        <font>
          <sz val="10"/>
          <color auto="1"/>
          <name val="Arial"/>
          <scheme val="none"/>
        </font>
      </dxf>
    </rfmt>
    <rfmt sheetId="7" sqref="F1" start="0" length="0">
      <dxf>
        <font>
          <sz val="10"/>
          <color auto="1"/>
          <name val="Arial"/>
          <scheme val="none"/>
        </font>
        <numFmt numFmtId="10" formatCode="&quot;$&quot;#,##0_);[Red]\(&quot;$&quot;#,##0\)"/>
      </dxf>
    </rfmt>
    <rfmt sheetId="7"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546" sId="7" ref="A1:XFD1" action="deleteRow">
    <rfmt sheetId="7" xfDxf="1" sqref="A1:XFD1" start="0" length="0"/>
    <rfmt sheetId="7" sqref="A1" start="0" length="0">
      <dxf>
        <font>
          <sz val="10"/>
          <color auto="1"/>
          <name val="Arial"/>
          <scheme val="none"/>
        </font>
      </dxf>
    </rfmt>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qref="E1" start="0" length="0">
      <dxf>
        <font>
          <sz val="10"/>
          <color auto="1"/>
          <name val="Arial"/>
          <scheme val="none"/>
        </font>
      </dxf>
    </rfmt>
    <rfmt sheetId="7" sqref="F1" start="0" length="0">
      <dxf>
        <font>
          <sz val="10"/>
          <color auto="1"/>
          <name val="Arial"/>
          <scheme val="none"/>
        </font>
        <numFmt numFmtId="10" formatCode="&quot;$&quot;#,##0_);[Red]\(&quot;$&quot;#,##0\)"/>
      </dxf>
    </rfmt>
    <rfmt sheetId="7"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547" sId="7" ref="A1:XFD1" action="deleteRow">
    <rfmt sheetId="7" xfDxf="1" sqref="A1:XFD1" start="0" length="0"/>
    <rfmt sheetId="7" sqref="A1" start="0" length="0">
      <dxf>
        <font>
          <sz val="10"/>
          <color auto="1"/>
          <name val="Arial"/>
          <scheme val="none"/>
        </font>
      </dxf>
    </rfmt>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qref="E1" start="0" length="0">
      <dxf>
        <font>
          <sz val="10"/>
          <color auto="1"/>
          <name val="Arial"/>
          <scheme val="none"/>
        </font>
      </dxf>
    </rfmt>
    <rfmt sheetId="7" sqref="F1" start="0" length="0">
      <dxf>
        <font>
          <sz val="10"/>
          <color auto="1"/>
          <name val="Arial"/>
          <scheme val="none"/>
        </font>
        <numFmt numFmtId="10" formatCode="&quot;$&quot;#,##0_);[Red]\(&quot;$&quot;#,##0\)"/>
      </dxf>
    </rfmt>
    <rfmt sheetId="7"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548" sId="7" ref="A1:XFD1" action="deleteRow">
    <rfmt sheetId="7" xfDxf="1" sqref="A1:XFD1" start="0" length="0"/>
    <rfmt sheetId="7" sqref="A1" start="0" length="0">
      <dxf>
        <font>
          <sz val="10"/>
          <color auto="1"/>
          <name val="Arial"/>
          <scheme val="none"/>
        </font>
      </dxf>
    </rfmt>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qref="E1" start="0" length="0">
      <dxf>
        <font>
          <sz val="10"/>
          <color auto="1"/>
          <name val="Arial"/>
          <scheme val="none"/>
        </font>
      </dxf>
    </rfmt>
    <rfmt sheetId="7" sqref="F1" start="0" length="0">
      <dxf>
        <font>
          <sz val="10"/>
          <color auto="1"/>
          <name val="Arial"/>
          <scheme val="none"/>
        </font>
        <numFmt numFmtId="10" formatCode="&quot;$&quot;#,##0_);[Red]\(&quot;$&quot;#,##0\)"/>
      </dxf>
    </rfmt>
    <rfmt sheetId="7"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549" sId="7" ref="A1:XFD1" action="deleteRow">
    <rfmt sheetId="7" xfDxf="1" sqref="A1:XFD1" start="0" length="0"/>
    <rfmt sheetId="7" sqref="A1" start="0" length="0">
      <dxf>
        <font>
          <sz val="10"/>
          <color auto="1"/>
          <name val="Arial"/>
          <scheme val="none"/>
        </font>
      </dxf>
    </rfmt>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qref="E1" start="0" length="0">
      <dxf>
        <font>
          <sz val="10"/>
          <color auto="1"/>
          <name val="Arial"/>
          <scheme val="none"/>
        </font>
      </dxf>
    </rfmt>
    <rfmt sheetId="7" sqref="F1" start="0" length="0">
      <dxf>
        <font>
          <sz val="10"/>
          <color auto="1"/>
          <name val="Arial"/>
          <scheme val="none"/>
        </font>
        <numFmt numFmtId="10" formatCode="&quot;$&quot;#,##0_);[Red]\(&quot;$&quot;#,##0\)"/>
      </dxf>
    </rfmt>
    <rfmt sheetId="7"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550" sId="7" ref="A1:XFD1" action="deleteRow">
    <rfmt sheetId="7" xfDxf="1" sqref="A1:XFD1" start="0" length="0"/>
    <rfmt sheetId="7" sqref="A1" start="0" length="0">
      <dxf>
        <font>
          <sz val="10"/>
          <color auto="1"/>
          <name val="Arial"/>
          <scheme val="none"/>
        </font>
      </dxf>
    </rfmt>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qref="E1" start="0" length="0">
      <dxf>
        <font>
          <sz val="10"/>
          <color auto="1"/>
          <name val="Arial"/>
          <scheme val="none"/>
        </font>
      </dxf>
    </rfmt>
    <rfmt sheetId="7" sqref="F1" start="0" length="0">
      <dxf>
        <font>
          <sz val="10"/>
          <color auto="1"/>
          <name val="Arial"/>
          <scheme val="none"/>
        </font>
        <numFmt numFmtId="10" formatCode="&quot;$&quot;#,##0_);[Red]\(&quot;$&quot;#,##0\)"/>
      </dxf>
    </rfmt>
    <rfmt sheetId="7"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551" sId="7" ref="A1:XFD1" action="deleteRow">
    <rfmt sheetId="7" xfDxf="1" sqref="A1:XFD1" start="0" length="0"/>
    <rfmt sheetId="7" sqref="A1" start="0" length="0">
      <dxf>
        <font>
          <sz val="10"/>
          <color auto="1"/>
          <name val="Arial"/>
          <scheme val="none"/>
        </font>
      </dxf>
    </rfmt>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qref="E1" start="0" length="0">
      <dxf>
        <font>
          <sz val="10"/>
          <color auto="1"/>
          <name val="Arial"/>
          <scheme val="none"/>
        </font>
      </dxf>
    </rfmt>
    <rfmt sheetId="7" sqref="F1" start="0" length="0">
      <dxf>
        <font>
          <sz val="10"/>
          <color auto="1"/>
          <name val="Arial"/>
          <scheme val="none"/>
        </font>
        <numFmt numFmtId="10" formatCode="&quot;$&quot;#,##0_);[Red]\(&quot;$&quot;#,##0\)"/>
      </dxf>
    </rfmt>
    <rfmt sheetId="7"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552" sId="7" ref="A1:XFD1" action="deleteRow">
    <rfmt sheetId="7" xfDxf="1" sqref="A1:XFD1" start="0" length="0"/>
    <rfmt sheetId="7" sqref="A1" start="0" length="0">
      <dxf>
        <font>
          <sz val="10"/>
          <color auto="1"/>
          <name val="Arial"/>
          <scheme val="none"/>
        </font>
      </dxf>
    </rfmt>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qref="E1" start="0" length="0">
      <dxf>
        <font>
          <sz val="10"/>
          <color auto="1"/>
          <name val="Arial"/>
          <scheme val="none"/>
        </font>
      </dxf>
    </rfmt>
    <rfmt sheetId="7" sqref="F1" start="0" length="0">
      <dxf>
        <font>
          <sz val="10"/>
          <color auto="1"/>
          <name val="Arial"/>
          <scheme val="none"/>
        </font>
        <numFmt numFmtId="10" formatCode="&quot;$&quot;#,##0_);[Red]\(&quot;$&quot;#,##0\)"/>
      </dxf>
    </rfmt>
    <rfmt sheetId="7"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553" sId="7" ref="A1:XFD1" action="deleteRow">
    <rfmt sheetId="7" xfDxf="1" sqref="A1:XFD1" start="0" length="0"/>
    <rfmt sheetId="7" sqref="A1" start="0" length="0">
      <dxf>
        <font>
          <sz val="10"/>
          <color auto="1"/>
          <name val="Arial"/>
          <scheme val="none"/>
        </font>
      </dxf>
    </rfmt>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qref="E1" start="0" length="0">
      <dxf>
        <font>
          <sz val="10"/>
          <color auto="1"/>
          <name val="Arial"/>
          <scheme val="none"/>
        </font>
      </dxf>
    </rfmt>
    <rfmt sheetId="7" sqref="F1" start="0" length="0">
      <dxf>
        <font>
          <sz val="10"/>
          <color auto="1"/>
          <name val="Arial"/>
          <scheme val="none"/>
        </font>
        <numFmt numFmtId="10" formatCode="&quot;$&quot;#,##0_);[Red]\(&quot;$&quot;#,##0\)"/>
      </dxf>
    </rfmt>
    <rfmt sheetId="7"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554" sId="7" ref="A1:XFD1" action="deleteRow">
    <rfmt sheetId="7" xfDxf="1" sqref="A1:XFD1" start="0" length="0"/>
    <rfmt sheetId="7" sqref="A1" start="0" length="0">
      <dxf>
        <font>
          <sz val="10"/>
          <color auto="1"/>
          <name val="Arial"/>
          <scheme val="none"/>
        </font>
      </dxf>
    </rfmt>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qref="E1" start="0" length="0">
      <dxf>
        <font>
          <sz val="10"/>
          <color auto="1"/>
          <name val="Arial"/>
          <scheme val="none"/>
        </font>
      </dxf>
    </rfmt>
    <rfmt sheetId="7" sqref="F1" start="0" length="0">
      <dxf>
        <font>
          <sz val="10"/>
          <color auto="1"/>
          <name val="Arial"/>
          <scheme val="none"/>
        </font>
        <numFmt numFmtId="10" formatCode="&quot;$&quot;#,##0_);[Red]\(&quot;$&quot;#,##0\)"/>
      </dxf>
    </rfmt>
    <rfmt sheetId="7"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555" sId="7" ref="A1:XFD1" action="deleteRow">
    <rfmt sheetId="7" xfDxf="1" sqref="A1:XFD1" start="0" length="0"/>
    <rfmt sheetId="7" sqref="A1" start="0" length="0">
      <dxf>
        <font>
          <sz val="10"/>
          <color auto="1"/>
          <name val="Arial"/>
          <scheme val="none"/>
        </font>
      </dxf>
    </rfmt>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qref="E1" start="0" length="0">
      <dxf>
        <font>
          <sz val="10"/>
          <color auto="1"/>
          <name val="Arial"/>
          <scheme val="none"/>
        </font>
      </dxf>
    </rfmt>
    <rfmt sheetId="7" sqref="F1" start="0" length="0">
      <dxf>
        <font>
          <sz val="10"/>
          <color auto="1"/>
          <name val="Arial"/>
          <scheme val="none"/>
        </font>
        <numFmt numFmtId="10" formatCode="&quot;$&quot;#,##0_);[Red]\(&quot;$&quot;#,##0\)"/>
      </dxf>
    </rfmt>
    <rfmt sheetId="7"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556" sId="7" ref="A1:XFD1" action="deleteRow">
    <rfmt sheetId="7" xfDxf="1" sqref="A1:XFD1" start="0" length="0"/>
    <rfmt sheetId="7" sqref="A1" start="0" length="0">
      <dxf>
        <font>
          <sz val="10"/>
          <color auto="1"/>
          <name val="Arial"/>
          <scheme val="none"/>
        </font>
      </dxf>
    </rfmt>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qref="E1" start="0" length="0">
      <dxf>
        <font>
          <sz val="10"/>
          <color auto="1"/>
          <name val="Arial"/>
          <scheme val="none"/>
        </font>
      </dxf>
    </rfmt>
    <rfmt sheetId="7" sqref="F1" start="0" length="0">
      <dxf>
        <font>
          <sz val="10"/>
          <color auto="1"/>
          <name val="Arial"/>
          <scheme val="none"/>
        </font>
        <numFmt numFmtId="10" formatCode="&quot;$&quot;#,##0_);[Red]\(&quot;$&quot;#,##0\)"/>
      </dxf>
    </rfmt>
    <rfmt sheetId="7"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557" sId="7" ref="A1:XFD1" action="deleteRow">
    <rfmt sheetId="7" xfDxf="1" sqref="A1:XFD1" start="0" length="0"/>
    <rfmt sheetId="7" sqref="A1" start="0" length="0">
      <dxf>
        <font>
          <sz val="10"/>
          <color auto="1"/>
          <name val="Arial"/>
          <scheme val="none"/>
        </font>
      </dxf>
    </rfmt>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qref="E1" start="0" length="0">
      <dxf>
        <font>
          <sz val="10"/>
          <color auto="1"/>
          <name val="Arial"/>
          <scheme val="none"/>
        </font>
      </dxf>
    </rfmt>
    <rfmt sheetId="7" sqref="F1" start="0" length="0">
      <dxf>
        <font>
          <sz val="10"/>
          <color auto="1"/>
          <name val="Arial"/>
          <scheme val="none"/>
        </font>
        <numFmt numFmtId="10" formatCode="&quot;$&quot;#,##0_);[Red]\(&quot;$&quot;#,##0\)"/>
      </dxf>
    </rfmt>
    <rfmt sheetId="7"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558" sId="7" ref="A1:XFD1" action="deleteRow">
    <rfmt sheetId="7" xfDxf="1" sqref="A1:XFD1" start="0" length="0"/>
    <rfmt sheetId="7" sqref="A1" start="0" length="0">
      <dxf>
        <font>
          <sz val="10"/>
          <color auto="1"/>
          <name val="Arial"/>
          <scheme val="none"/>
        </font>
      </dxf>
    </rfmt>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qref="E1" start="0" length="0">
      <dxf>
        <font>
          <sz val="10"/>
          <color auto="1"/>
          <name val="Arial"/>
          <scheme val="none"/>
        </font>
      </dxf>
    </rfmt>
    <rfmt sheetId="7" sqref="F1" start="0" length="0">
      <dxf>
        <font>
          <sz val="10"/>
          <color auto="1"/>
          <name val="Arial"/>
          <scheme val="none"/>
        </font>
        <numFmt numFmtId="10" formatCode="&quot;$&quot;#,##0_);[Red]\(&quot;$&quot;#,##0\)"/>
      </dxf>
    </rfmt>
    <rfmt sheetId="7"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559" sId="7" ref="A1:XFD1" action="deleteRow">
    <rfmt sheetId="7" xfDxf="1" sqref="A1:XFD1" start="0" length="0"/>
    <rfmt sheetId="7" sqref="A1" start="0" length="0">
      <dxf>
        <font>
          <sz val="10"/>
          <color auto="1"/>
          <name val="Arial"/>
          <scheme val="none"/>
        </font>
      </dxf>
    </rfmt>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qref="E1" start="0" length="0">
      <dxf>
        <font>
          <sz val="10"/>
          <color auto="1"/>
          <name val="Arial"/>
          <scheme val="none"/>
        </font>
      </dxf>
    </rfmt>
    <rfmt sheetId="7" sqref="F1" start="0" length="0">
      <dxf>
        <font>
          <sz val="10"/>
          <color auto="1"/>
          <name val="Arial"/>
          <scheme val="none"/>
        </font>
        <numFmt numFmtId="10" formatCode="&quot;$&quot;#,##0_);[Red]\(&quot;$&quot;#,##0\)"/>
      </dxf>
    </rfmt>
    <rfmt sheetId="7"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560" sId="7" ref="A1:XFD1" action="deleteRow">
    <rfmt sheetId="7" xfDxf="1" sqref="A1:XFD1" start="0" length="0"/>
    <rfmt sheetId="7" sqref="A1" start="0" length="0">
      <dxf>
        <font>
          <sz val="10"/>
          <color auto="1"/>
          <name val="Arial"/>
          <scheme val="none"/>
        </font>
      </dxf>
    </rfmt>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qref="E1" start="0" length="0">
      <dxf>
        <font>
          <sz val="10"/>
          <color auto="1"/>
          <name val="Arial"/>
          <scheme val="none"/>
        </font>
      </dxf>
    </rfmt>
    <rfmt sheetId="7" sqref="F1" start="0" length="0">
      <dxf>
        <font>
          <sz val="10"/>
          <color auto="1"/>
          <name val="Arial"/>
          <scheme val="none"/>
        </font>
        <numFmt numFmtId="10" formatCode="&quot;$&quot;#,##0_);[Red]\(&quot;$&quot;#,##0\)"/>
      </dxf>
    </rfmt>
    <rfmt sheetId="7"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561" sId="7" ref="A1:XFD1" action="deleteRow">
    <rfmt sheetId="7" xfDxf="1" sqref="A1:XFD1" start="0" length="0"/>
    <rfmt sheetId="7" sqref="A1" start="0" length="0">
      <dxf>
        <font>
          <sz val="10"/>
          <color auto="1"/>
          <name val="Arial"/>
          <scheme val="none"/>
        </font>
      </dxf>
    </rfmt>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qref="E1" start="0" length="0">
      <dxf>
        <font>
          <sz val="10"/>
          <color auto="1"/>
          <name val="Arial"/>
          <scheme val="none"/>
        </font>
      </dxf>
    </rfmt>
    <rfmt sheetId="7" sqref="F1" start="0" length="0">
      <dxf>
        <font>
          <sz val="10"/>
          <color auto="1"/>
          <name val="Arial"/>
          <scheme val="none"/>
        </font>
        <numFmt numFmtId="10" formatCode="&quot;$&quot;#,##0_);[Red]\(&quot;$&quot;#,##0\)"/>
      </dxf>
    </rfmt>
    <rfmt sheetId="7"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562" sId="7" ref="A1:XFD1" action="deleteRow">
    <rfmt sheetId="7" xfDxf="1" sqref="A1:XFD1" start="0" length="0"/>
    <rfmt sheetId="7" sqref="A1" start="0" length="0">
      <dxf>
        <font>
          <sz val="10"/>
          <color auto="1"/>
          <name val="Arial"/>
          <scheme val="none"/>
        </font>
      </dxf>
    </rfmt>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qref="E1" start="0" length="0">
      <dxf>
        <font>
          <sz val="10"/>
          <color auto="1"/>
          <name val="Arial"/>
          <scheme val="none"/>
        </font>
      </dxf>
    </rfmt>
    <rfmt sheetId="7" sqref="F1" start="0" length="0">
      <dxf>
        <font>
          <sz val="10"/>
          <color auto="1"/>
          <name val="Arial"/>
          <scheme val="none"/>
        </font>
        <numFmt numFmtId="10" formatCode="&quot;$&quot;#,##0_);[Red]\(&quot;$&quot;#,##0\)"/>
      </dxf>
    </rfmt>
    <rfmt sheetId="7"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563" sId="7" ref="A1:XFD1" action="deleteRow">
    <rfmt sheetId="7" xfDxf="1" sqref="A1:XFD1" start="0" length="0"/>
    <rfmt sheetId="7" sqref="A1" start="0" length="0">
      <dxf>
        <font>
          <sz val="10"/>
          <color auto="1"/>
          <name val="Arial"/>
          <scheme val="none"/>
        </font>
      </dxf>
    </rfmt>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qref="E1" start="0" length="0">
      <dxf>
        <font>
          <sz val="10"/>
          <color auto="1"/>
          <name val="Arial"/>
          <scheme val="none"/>
        </font>
      </dxf>
    </rfmt>
    <rfmt sheetId="7" sqref="F1" start="0" length="0">
      <dxf>
        <font>
          <sz val="10"/>
          <color auto="1"/>
          <name val="Arial"/>
          <scheme val="none"/>
        </font>
        <numFmt numFmtId="10" formatCode="&quot;$&quot;#,##0_);[Red]\(&quot;$&quot;#,##0\)"/>
      </dxf>
    </rfmt>
    <rfmt sheetId="7"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564" sId="7" ref="A1:XFD1" action="deleteRow">
    <rfmt sheetId="7" xfDxf="1" sqref="A1:XFD1" start="0" length="0"/>
    <rfmt sheetId="7" sqref="A1" start="0" length="0">
      <dxf>
        <font>
          <sz val="10"/>
          <color auto="1"/>
          <name val="Arial"/>
          <scheme val="none"/>
        </font>
      </dxf>
    </rfmt>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qref="E1" start="0" length="0">
      <dxf>
        <font>
          <sz val="10"/>
          <color auto="1"/>
          <name val="Arial"/>
          <scheme val="none"/>
        </font>
      </dxf>
    </rfmt>
    <rfmt sheetId="7" sqref="F1" start="0" length="0">
      <dxf>
        <font>
          <sz val="10"/>
          <color auto="1"/>
          <name val="Arial"/>
          <scheme val="none"/>
        </font>
        <numFmt numFmtId="10" formatCode="&quot;$&quot;#,##0_);[Red]\(&quot;$&quot;#,##0\)"/>
      </dxf>
    </rfmt>
    <rfmt sheetId="7"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565" sId="7" ref="A1:XFD1" action="deleteRow">
    <rfmt sheetId="7" xfDxf="1" sqref="A1:XFD1" start="0" length="0"/>
    <rfmt sheetId="7" sqref="A1" start="0" length="0">
      <dxf>
        <font>
          <sz val="10"/>
          <color auto="1"/>
          <name val="Arial"/>
          <scheme val="none"/>
        </font>
      </dxf>
    </rfmt>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qref="E1" start="0" length="0">
      <dxf>
        <font>
          <sz val="10"/>
          <color auto="1"/>
          <name val="Arial"/>
          <scheme val="none"/>
        </font>
      </dxf>
    </rfmt>
    <rfmt sheetId="7" sqref="F1" start="0" length="0">
      <dxf>
        <font>
          <sz val="10"/>
          <color auto="1"/>
          <name val="Arial"/>
          <scheme val="none"/>
        </font>
        <numFmt numFmtId="10" formatCode="&quot;$&quot;#,##0_);[Red]\(&quot;$&quot;#,##0\)"/>
      </dxf>
    </rfmt>
    <rfmt sheetId="7"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566" sId="7" ref="A1:XFD1" action="deleteRow">
    <rfmt sheetId="7" xfDxf="1" sqref="A1:XFD1" start="0" length="0"/>
    <rfmt sheetId="7" sqref="A1" start="0" length="0">
      <dxf>
        <font>
          <sz val="10"/>
          <color auto="1"/>
          <name val="Arial"/>
          <scheme val="none"/>
        </font>
      </dxf>
    </rfmt>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qref="E1" start="0" length="0">
      <dxf>
        <font>
          <sz val="10"/>
          <color auto="1"/>
          <name val="Arial"/>
          <scheme val="none"/>
        </font>
      </dxf>
    </rfmt>
    <rfmt sheetId="7" sqref="F1" start="0" length="0">
      <dxf>
        <font>
          <sz val="10"/>
          <color auto="1"/>
          <name val="Arial"/>
          <scheme val="none"/>
        </font>
        <numFmt numFmtId="10" formatCode="&quot;$&quot;#,##0_);[Red]\(&quot;$&quot;#,##0\)"/>
      </dxf>
    </rfmt>
    <rfmt sheetId="7"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567" sId="7" ref="A1:XFD1" action="deleteRow">
    <rfmt sheetId="7" xfDxf="1" sqref="A1:XFD1" start="0" length="0"/>
    <rfmt sheetId="7" sqref="A1" start="0" length="0">
      <dxf>
        <font>
          <sz val="10"/>
          <color auto="1"/>
          <name val="Arial"/>
          <scheme val="none"/>
        </font>
      </dxf>
    </rfmt>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qref="E1" start="0" length="0">
      <dxf>
        <font>
          <sz val="10"/>
          <color auto="1"/>
          <name val="Arial"/>
          <scheme val="none"/>
        </font>
      </dxf>
    </rfmt>
    <rfmt sheetId="7" sqref="F1" start="0" length="0">
      <dxf>
        <font>
          <sz val="10"/>
          <color auto="1"/>
          <name val="Arial"/>
          <scheme val="none"/>
        </font>
        <numFmt numFmtId="10" formatCode="&quot;$&quot;#,##0_);[Red]\(&quot;$&quot;#,##0\)"/>
      </dxf>
    </rfmt>
    <rfmt sheetId="7"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568" sId="7" ref="A1:XFD1" action="deleteRow">
    <rfmt sheetId="7" xfDxf="1" sqref="A1:XFD1" start="0" length="0"/>
    <rfmt sheetId="7" sqref="A1" start="0" length="0">
      <dxf>
        <font>
          <sz val="10"/>
          <color auto="1"/>
          <name val="Arial"/>
          <scheme val="none"/>
        </font>
      </dxf>
    </rfmt>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qref="E1" start="0" length="0">
      <dxf>
        <font>
          <sz val="10"/>
          <color auto="1"/>
          <name val="Arial"/>
          <scheme val="none"/>
        </font>
      </dxf>
    </rfmt>
    <rfmt sheetId="7" sqref="F1" start="0" length="0">
      <dxf>
        <font>
          <sz val="10"/>
          <color auto="1"/>
          <name val="Arial"/>
          <scheme val="none"/>
        </font>
        <numFmt numFmtId="10" formatCode="&quot;$&quot;#,##0_);[Red]\(&quot;$&quot;#,##0\)"/>
      </dxf>
    </rfmt>
    <rfmt sheetId="7"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569" sId="7" ref="A1:XFD1" action="deleteRow">
    <rfmt sheetId="7" xfDxf="1" sqref="A1:XFD1" start="0" length="0"/>
    <rfmt sheetId="7" sqref="A1" start="0" length="0">
      <dxf>
        <font>
          <sz val="10"/>
          <color auto="1"/>
          <name val="Arial"/>
          <scheme val="none"/>
        </font>
      </dxf>
    </rfmt>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qref="E1" start="0" length="0">
      <dxf>
        <font>
          <sz val="10"/>
          <color auto="1"/>
          <name val="Arial"/>
          <scheme val="none"/>
        </font>
      </dxf>
    </rfmt>
    <rfmt sheetId="7" sqref="F1" start="0" length="0">
      <dxf>
        <font>
          <sz val="10"/>
          <color auto="1"/>
          <name val="Arial"/>
          <scheme val="none"/>
        </font>
        <numFmt numFmtId="10" formatCode="&quot;$&quot;#,##0_);[Red]\(&quot;$&quot;#,##0\)"/>
      </dxf>
    </rfmt>
    <rfmt sheetId="7"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570" sId="7" ref="A1:XFD1" action="deleteRow">
    <rfmt sheetId="7" xfDxf="1" sqref="A1:XFD1" start="0" length="0"/>
    <rfmt sheetId="7" sqref="A1" start="0" length="0">
      <dxf>
        <font>
          <sz val="10"/>
          <color auto="1"/>
          <name val="Arial"/>
          <scheme val="none"/>
        </font>
      </dxf>
    </rfmt>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qref="E1" start="0" length="0">
      <dxf>
        <font>
          <sz val="10"/>
          <color auto="1"/>
          <name val="Arial"/>
          <scheme val="none"/>
        </font>
      </dxf>
    </rfmt>
    <rfmt sheetId="7" sqref="F1" start="0" length="0">
      <dxf>
        <font>
          <sz val="10"/>
          <color auto="1"/>
          <name val="Arial"/>
          <scheme val="none"/>
        </font>
        <numFmt numFmtId="10" formatCode="&quot;$&quot;#,##0_);[Red]\(&quot;$&quot;#,##0\)"/>
      </dxf>
    </rfmt>
    <rfmt sheetId="7"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571" sId="7" ref="A1:XFD1" action="deleteRow">
    <rfmt sheetId="7" xfDxf="1" sqref="A1:XFD1" start="0" length="0"/>
    <rfmt sheetId="7" sqref="A1" start="0" length="0">
      <dxf>
        <font>
          <sz val="10"/>
          <color auto="1"/>
          <name val="Arial"/>
          <scheme val="none"/>
        </font>
      </dxf>
    </rfmt>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qref="E1" start="0" length="0">
      <dxf>
        <font>
          <sz val="10"/>
          <color auto="1"/>
          <name val="Arial"/>
          <scheme val="none"/>
        </font>
      </dxf>
    </rfmt>
    <rfmt sheetId="7" sqref="F1" start="0" length="0">
      <dxf>
        <font>
          <sz val="10"/>
          <color auto="1"/>
          <name val="Arial"/>
          <scheme val="none"/>
        </font>
        <numFmt numFmtId="10" formatCode="&quot;$&quot;#,##0_);[Red]\(&quot;$&quot;#,##0\)"/>
      </dxf>
    </rfmt>
    <rfmt sheetId="7"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572" sId="7" ref="A1:XFD1" action="deleteRow">
    <rfmt sheetId="7" xfDxf="1" sqref="A1:XFD1" start="0" length="0"/>
    <rfmt sheetId="7" sqref="A1" start="0" length="0">
      <dxf>
        <font>
          <sz val="10"/>
          <color auto="1"/>
          <name val="Arial"/>
          <scheme val="none"/>
        </font>
      </dxf>
    </rfmt>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qref="E1" start="0" length="0">
      <dxf>
        <font>
          <sz val="10"/>
          <color auto="1"/>
          <name val="Arial"/>
          <scheme val="none"/>
        </font>
      </dxf>
    </rfmt>
    <rfmt sheetId="7" sqref="F1" start="0" length="0">
      <dxf>
        <font>
          <sz val="10"/>
          <color auto="1"/>
          <name val="Arial"/>
          <scheme val="none"/>
        </font>
        <numFmt numFmtId="10" formatCode="&quot;$&quot;#,##0_);[Red]\(&quot;$&quot;#,##0\)"/>
      </dxf>
    </rfmt>
    <rfmt sheetId="7"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573" sId="7" ref="A1:XFD1" action="deleteRow">
    <rfmt sheetId="7" xfDxf="1" sqref="A1:XFD1" start="0" length="0"/>
    <rfmt sheetId="7" sqref="A1" start="0" length="0">
      <dxf>
        <font>
          <sz val="10"/>
          <color auto="1"/>
          <name val="Arial"/>
          <scheme val="none"/>
        </font>
      </dxf>
    </rfmt>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qref="E1" start="0" length="0">
      <dxf>
        <font>
          <sz val="10"/>
          <color auto="1"/>
          <name val="Arial"/>
          <scheme val="none"/>
        </font>
      </dxf>
    </rfmt>
    <rfmt sheetId="7" sqref="F1" start="0" length="0">
      <dxf>
        <font>
          <sz val="10"/>
          <color auto="1"/>
          <name val="Arial"/>
          <scheme val="none"/>
        </font>
        <numFmt numFmtId="10" formatCode="&quot;$&quot;#,##0_);[Red]\(&quot;$&quot;#,##0\)"/>
      </dxf>
    </rfmt>
    <rfmt sheetId="7"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574" sId="7" ref="A1:XFD1" action="deleteRow">
    <rfmt sheetId="7" xfDxf="1" sqref="A1:XFD1" start="0" length="0"/>
    <rfmt sheetId="7" sqref="A1" start="0" length="0">
      <dxf>
        <font>
          <sz val="10"/>
          <color auto="1"/>
          <name val="Arial"/>
          <scheme val="none"/>
        </font>
      </dxf>
    </rfmt>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qref="E1" start="0" length="0">
      <dxf>
        <font>
          <sz val="10"/>
          <color auto="1"/>
          <name val="Arial"/>
          <scheme val="none"/>
        </font>
      </dxf>
    </rfmt>
    <rfmt sheetId="7" sqref="F1" start="0" length="0">
      <dxf>
        <font>
          <sz val="10"/>
          <color auto="1"/>
          <name val="Arial"/>
          <scheme val="none"/>
        </font>
        <numFmt numFmtId="10" formatCode="&quot;$&quot;#,##0_);[Red]\(&quot;$&quot;#,##0\)"/>
      </dxf>
    </rfmt>
    <rfmt sheetId="7"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575" sId="7" ref="A1:XFD1" action="deleteRow">
    <rfmt sheetId="7" xfDxf="1" sqref="A1:XFD1" start="0" length="0"/>
    <rfmt sheetId="7" sqref="A1" start="0" length="0">
      <dxf>
        <font>
          <sz val="10"/>
          <color auto="1"/>
          <name val="Arial"/>
          <scheme val="none"/>
        </font>
      </dxf>
    </rfmt>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qref="E1" start="0" length="0">
      <dxf>
        <font>
          <sz val="10"/>
          <color auto="1"/>
          <name val="Arial"/>
          <scheme val="none"/>
        </font>
      </dxf>
    </rfmt>
    <rfmt sheetId="7" sqref="F1" start="0" length="0">
      <dxf>
        <font>
          <sz val="10"/>
          <color auto="1"/>
          <name val="Arial"/>
          <scheme val="none"/>
        </font>
        <numFmt numFmtId="10" formatCode="&quot;$&quot;#,##0_);[Red]\(&quot;$&quot;#,##0\)"/>
      </dxf>
    </rfmt>
    <rfmt sheetId="7"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576" sId="7" ref="A1:XFD1" action="deleteRow">
    <rfmt sheetId="7" xfDxf="1" sqref="A1:XFD1" start="0" length="0"/>
    <rfmt sheetId="7" sqref="A1" start="0" length="0">
      <dxf>
        <font>
          <sz val="10"/>
          <color auto="1"/>
          <name val="Arial"/>
          <scheme val="none"/>
        </font>
      </dxf>
    </rfmt>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qref="E1" start="0" length="0">
      <dxf>
        <font>
          <sz val="10"/>
          <color auto="1"/>
          <name val="Arial"/>
          <scheme val="none"/>
        </font>
      </dxf>
    </rfmt>
    <rfmt sheetId="7" sqref="F1" start="0" length="0">
      <dxf>
        <font>
          <sz val="10"/>
          <color auto="1"/>
          <name val="Arial"/>
          <scheme val="none"/>
        </font>
        <numFmt numFmtId="10" formatCode="&quot;$&quot;#,##0_);[Red]\(&quot;$&quot;#,##0\)"/>
      </dxf>
    </rfmt>
    <rfmt sheetId="7"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577" sId="7" ref="A1:XFD1" action="deleteRow">
    <rfmt sheetId="7" xfDxf="1" sqref="A1:XFD1" start="0" length="0"/>
    <rfmt sheetId="7" sqref="A1" start="0" length="0">
      <dxf>
        <font>
          <sz val="10"/>
          <color auto="1"/>
          <name val="Arial"/>
          <scheme val="none"/>
        </font>
      </dxf>
    </rfmt>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qref="E1" start="0" length="0">
      <dxf>
        <font>
          <sz val="10"/>
          <color auto="1"/>
          <name val="Arial"/>
          <scheme val="none"/>
        </font>
      </dxf>
    </rfmt>
    <rfmt sheetId="7" sqref="F1" start="0" length="0">
      <dxf>
        <font>
          <sz val="10"/>
          <color auto="1"/>
          <name val="Arial"/>
          <scheme val="none"/>
        </font>
        <numFmt numFmtId="10" formatCode="&quot;$&quot;#,##0_);[Red]\(&quot;$&quot;#,##0\)"/>
      </dxf>
    </rfmt>
    <rfmt sheetId="7"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578" sId="7" ref="A1:XFD1" action="deleteRow">
    <rfmt sheetId="7" xfDxf="1" sqref="A1:XFD1" start="0" length="0"/>
    <rfmt sheetId="7" sqref="A1" start="0" length="0">
      <dxf>
        <font>
          <sz val="10"/>
          <color auto="1"/>
          <name val="Arial"/>
          <scheme val="none"/>
        </font>
      </dxf>
    </rfmt>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qref="E1" start="0" length="0">
      <dxf>
        <font>
          <sz val="10"/>
          <color auto="1"/>
          <name val="Arial"/>
          <scheme val="none"/>
        </font>
      </dxf>
    </rfmt>
    <rfmt sheetId="7" sqref="F1" start="0" length="0">
      <dxf>
        <font>
          <sz val="10"/>
          <color auto="1"/>
          <name val="Arial"/>
          <scheme val="none"/>
        </font>
        <numFmt numFmtId="10" formatCode="&quot;$&quot;#,##0_);[Red]\(&quot;$&quot;#,##0\)"/>
      </dxf>
    </rfmt>
    <rfmt sheetId="7"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579" sId="7" ref="A1:XFD1" action="deleteRow">
    <rfmt sheetId="7" xfDxf="1" sqref="A1:XFD1" start="0" length="0"/>
    <rfmt sheetId="7" sqref="A1" start="0" length="0">
      <dxf>
        <font>
          <sz val="10"/>
          <color auto="1"/>
          <name val="Arial"/>
          <scheme val="none"/>
        </font>
      </dxf>
    </rfmt>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qref="E1" start="0" length="0">
      <dxf>
        <font>
          <sz val="10"/>
          <color auto="1"/>
          <name val="Arial"/>
          <scheme val="none"/>
        </font>
      </dxf>
    </rfmt>
    <rfmt sheetId="7" sqref="F1" start="0" length="0">
      <dxf>
        <font>
          <sz val="10"/>
          <color auto="1"/>
          <name val="Arial"/>
          <scheme val="none"/>
        </font>
        <numFmt numFmtId="10" formatCode="&quot;$&quot;#,##0_);[Red]\(&quot;$&quot;#,##0\)"/>
      </dxf>
    </rfmt>
    <rfmt sheetId="7"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580" sId="7" ref="A1:XFD1" action="deleteRow">
    <rfmt sheetId="7" xfDxf="1" sqref="A1:XFD1" start="0" length="0"/>
    <rfmt sheetId="7" sqref="A1" start="0" length="0">
      <dxf>
        <font>
          <sz val="10"/>
          <color auto="1"/>
          <name val="Arial"/>
          <scheme val="none"/>
        </font>
      </dxf>
    </rfmt>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qref="E1" start="0" length="0">
      <dxf>
        <font>
          <sz val="10"/>
          <color auto="1"/>
          <name val="Arial"/>
          <scheme val="none"/>
        </font>
      </dxf>
    </rfmt>
    <rfmt sheetId="7" sqref="F1" start="0" length="0">
      <dxf>
        <font>
          <sz val="10"/>
          <color auto="1"/>
          <name val="Arial"/>
          <scheme val="none"/>
        </font>
        <numFmt numFmtId="10" formatCode="&quot;$&quot;#,##0_);[Red]\(&quot;$&quot;#,##0\)"/>
      </dxf>
    </rfmt>
    <rfmt sheetId="7"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581" sId="7" ref="A1:XFD1" action="deleteRow">
    <rfmt sheetId="7" xfDxf="1" sqref="A1:XFD1" start="0" length="0"/>
    <rfmt sheetId="7" sqref="A1" start="0" length="0">
      <dxf>
        <font>
          <sz val="10"/>
          <color auto="1"/>
          <name val="Arial"/>
          <scheme val="none"/>
        </font>
      </dxf>
    </rfmt>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qref="E1" start="0" length="0">
      <dxf>
        <font>
          <sz val="10"/>
          <color auto="1"/>
          <name val="Arial"/>
          <scheme val="none"/>
        </font>
      </dxf>
    </rfmt>
    <rfmt sheetId="7" sqref="F1" start="0" length="0">
      <dxf>
        <font>
          <sz val="10"/>
          <color auto="1"/>
          <name val="Arial"/>
          <scheme val="none"/>
        </font>
        <numFmt numFmtId="10" formatCode="&quot;$&quot;#,##0_);[Red]\(&quot;$&quot;#,##0\)"/>
      </dxf>
    </rfmt>
    <rfmt sheetId="7"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582" sId="7" ref="A1:XFD1" action="deleteRow">
    <rfmt sheetId="7" xfDxf="1" sqref="A1:XFD1" start="0" length="0"/>
    <rfmt sheetId="7" sqref="A1" start="0" length="0">
      <dxf>
        <font>
          <sz val="10"/>
          <color auto="1"/>
          <name val="Arial"/>
          <scheme val="none"/>
        </font>
      </dxf>
    </rfmt>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qref="E1" start="0" length="0">
      <dxf>
        <font>
          <sz val="10"/>
          <color auto="1"/>
          <name val="Arial"/>
          <scheme val="none"/>
        </font>
      </dxf>
    </rfmt>
    <rfmt sheetId="7" sqref="F1" start="0" length="0">
      <dxf>
        <font>
          <sz val="10"/>
          <color auto="1"/>
          <name val="Arial"/>
          <scheme val="none"/>
        </font>
        <numFmt numFmtId="10" formatCode="&quot;$&quot;#,##0_);[Red]\(&quot;$&quot;#,##0\)"/>
      </dxf>
    </rfmt>
    <rfmt sheetId="7"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583" sId="7" ref="A1:XFD1" action="deleteRow">
    <rfmt sheetId="7" xfDxf="1" sqref="A1:XFD1" start="0" length="0"/>
    <rfmt sheetId="7" sqref="A1" start="0" length="0">
      <dxf>
        <font>
          <sz val="10"/>
          <color auto="1"/>
          <name val="Arial"/>
          <scheme val="none"/>
        </font>
      </dxf>
    </rfmt>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qref="E1" start="0" length="0">
      <dxf>
        <font>
          <sz val="10"/>
          <color auto="1"/>
          <name val="Arial"/>
          <scheme val="none"/>
        </font>
      </dxf>
    </rfmt>
    <rfmt sheetId="7" sqref="F1" start="0" length="0">
      <dxf>
        <font>
          <sz val="10"/>
          <color auto="1"/>
          <name val="Arial"/>
          <scheme val="none"/>
        </font>
        <numFmt numFmtId="10" formatCode="&quot;$&quot;#,##0_);[Red]\(&quot;$&quot;#,##0\)"/>
      </dxf>
    </rfmt>
    <rfmt sheetId="7"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584" sId="7" ref="A1:XFD1" action="deleteRow">
    <rfmt sheetId="7" xfDxf="1" sqref="A1:XFD1" start="0" length="0"/>
    <rfmt sheetId="7" sqref="A1" start="0" length="0">
      <dxf>
        <font>
          <sz val="10"/>
          <color auto="1"/>
          <name val="Arial"/>
          <scheme val="none"/>
        </font>
      </dxf>
    </rfmt>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qref="E1" start="0" length="0">
      <dxf>
        <font>
          <sz val="10"/>
          <color auto="1"/>
          <name val="Arial"/>
          <scheme val="none"/>
        </font>
      </dxf>
    </rfmt>
    <rfmt sheetId="7" sqref="F1" start="0" length="0">
      <dxf>
        <font>
          <sz val="10"/>
          <color auto="1"/>
          <name val="Arial"/>
          <scheme val="none"/>
        </font>
        <numFmt numFmtId="10" formatCode="&quot;$&quot;#,##0_);[Red]\(&quot;$&quot;#,##0\)"/>
      </dxf>
    </rfmt>
    <rfmt sheetId="7"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585" sId="7" ref="A1:XFD1" action="deleteRow">
    <rfmt sheetId="7" xfDxf="1" sqref="A1:XFD1" start="0" length="0"/>
    <rfmt sheetId="7" sqref="A1" start="0" length="0">
      <dxf>
        <font>
          <sz val="10"/>
          <color auto="1"/>
          <name val="Arial"/>
          <scheme val="none"/>
        </font>
      </dxf>
    </rfmt>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qref="E1" start="0" length="0">
      <dxf>
        <font>
          <sz val="10"/>
          <color auto="1"/>
          <name val="Arial"/>
          <scheme val="none"/>
        </font>
      </dxf>
    </rfmt>
    <rfmt sheetId="7" sqref="F1" start="0" length="0">
      <dxf>
        <font>
          <sz val="10"/>
          <color auto="1"/>
          <name val="Arial"/>
          <scheme val="none"/>
        </font>
        <numFmt numFmtId="10" formatCode="&quot;$&quot;#,##0_);[Red]\(&quot;$&quot;#,##0\)"/>
      </dxf>
    </rfmt>
    <rfmt sheetId="7"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586" sId="7" ref="A1:XFD1" action="deleteRow">
    <rfmt sheetId="7" xfDxf="1" sqref="A1:XFD1" start="0" length="0"/>
    <rfmt sheetId="7" sqref="A1" start="0" length="0">
      <dxf>
        <font>
          <sz val="10"/>
          <color auto="1"/>
          <name val="Arial"/>
          <scheme val="none"/>
        </font>
      </dxf>
    </rfmt>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qref="E1" start="0" length="0">
      <dxf>
        <font>
          <sz val="10"/>
          <color auto="1"/>
          <name val="Arial"/>
          <scheme val="none"/>
        </font>
      </dxf>
    </rfmt>
    <rfmt sheetId="7" sqref="F1" start="0" length="0">
      <dxf>
        <font>
          <sz val="10"/>
          <color auto="1"/>
          <name val="Arial"/>
          <scheme val="none"/>
        </font>
        <numFmt numFmtId="10" formatCode="&quot;$&quot;#,##0_);[Red]\(&quot;$&quot;#,##0\)"/>
      </dxf>
    </rfmt>
    <rfmt sheetId="7"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587" sId="7" ref="A1:XFD1" action="deleteRow">
    <rfmt sheetId="7" xfDxf="1" sqref="A1:XFD1" start="0" length="0"/>
    <rfmt sheetId="7" sqref="A1" start="0" length="0">
      <dxf>
        <font>
          <sz val="10"/>
          <color auto="1"/>
          <name val="Arial"/>
          <scheme val="none"/>
        </font>
      </dxf>
    </rfmt>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qref="E1" start="0" length="0">
      <dxf>
        <font>
          <sz val="10"/>
          <color auto="1"/>
          <name val="Arial"/>
          <scheme val="none"/>
        </font>
      </dxf>
    </rfmt>
    <rfmt sheetId="7" sqref="F1" start="0" length="0">
      <dxf>
        <font>
          <sz val="10"/>
          <color auto="1"/>
          <name val="Arial"/>
          <scheme val="none"/>
        </font>
        <numFmt numFmtId="10" formatCode="&quot;$&quot;#,##0_);[Red]\(&quot;$&quot;#,##0\)"/>
      </dxf>
    </rfmt>
    <rfmt sheetId="7"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588" sId="7" ref="A1:XFD1" action="deleteRow">
    <rfmt sheetId="7" xfDxf="1" sqref="A1:XFD1" start="0" length="0"/>
    <rfmt sheetId="7" sqref="A1" start="0" length="0">
      <dxf>
        <font>
          <sz val="10"/>
          <color auto="1"/>
          <name val="Arial"/>
          <scheme val="none"/>
        </font>
      </dxf>
    </rfmt>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qref="F1" start="0" length="0">
      <dxf>
        <font>
          <sz val="10"/>
          <color auto="1"/>
          <name val="Arial"/>
          <scheme val="none"/>
        </font>
        <numFmt numFmtId="10" formatCode="&quot;$&quot;#,##0_);[Red]\(&quot;$&quot;#,##0\)"/>
      </dxf>
    </rfmt>
    <rfmt sheetId="7"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589" sId="7" ref="A1:XFD1" action="deleteRow">
    <rfmt sheetId="7" xfDxf="1" sqref="A1:XFD1" start="0" length="0"/>
    <rfmt sheetId="7" sqref="A1" start="0" length="0">
      <dxf>
        <font>
          <sz val="10"/>
          <color auto="1"/>
          <name val="Arial"/>
          <scheme val="none"/>
        </font>
      </dxf>
    </rfmt>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qref="F1" start="0" length="0">
      <dxf>
        <font>
          <sz val="10"/>
          <color auto="1"/>
          <name val="Arial"/>
          <scheme val="none"/>
        </font>
        <numFmt numFmtId="10" formatCode="&quot;$&quot;#,##0_);[Red]\(&quot;$&quot;#,##0\)"/>
      </dxf>
    </rfmt>
    <rfmt sheetId="7"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590" sId="7" ref="A1:XFD1" action="deleteRow">
    <rfmt sheetId="7" xfDxf="1" sqref="A1:XFD1" start="0" length="0"/>
    <rfmt sheetId="7" sqref="A1" start="0" length="0">
      <dxf>
        <font>
          <sz val="10"/>
          <color auto="1"/>
          <name val="Arial"/>
          <scheme val="none"/>
        </font>
      </dxf>
    </rfmt>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qref="F1" start="0" length="0">
      <dxf>
        <font>
          <sz val="10"/>
          <color auto="1"/>
          <name val="Arial"/>
          <scheme val="none"/>
        </font>
        <numFmt numFmtId="10" formatCode="&quot;$&quot;#,##0_);[Red]\(&quot;$&quot;#,##0\)"/>
      </dxf>
    </rfmt>
    <rfmt sheetId="7"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591" sId="7" ref="A1:XFD1" action="deleteRow">
    <rfmt sheetId="7" xfDxf="1" sqref="A1:XFD1" start="0" length="0"/>
    <rfmt sheetId="7" sqref="A1" start="0" length="0">
      <dxf>
        <font>
          <sz val="10"/>
          <color auto="1"/>
          <name val="Arial"/>
          <scheme val="none"/>
        </font>
      </dxf>
    </rfmt>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qref="F1" start="0" length="0">
      <dxf>
        <font>
          <sz val="10"/>
          <color auto="1"/>
          <name val="Arial"/>
          <scheme val="none"/>
        </font>
        <numFmt numFmtId="10" formatCode="&quot;$&quot;#,##0_);[Red]\(&quot;$&quot;#,##0\)"/>
      </dxf>
    </rfmt>
    <rfmt sheetId="7"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592" sId="7" ref="A1:XFD1" action="deleteRow">
    <rfmt sheetId="7" xfDxf="1" sqref="A1:XFD1" start="0" length="0"/>
    <rfmt sheetId="7" sqref="A1" start="0" length="0">
      <dxf>
        <font>
          <sz val="10"/>
          <color auto="1"/>
          <name val="Arial"/>
          <scheme val="none"/>
        </font>
      </dxf>
    </rfmt>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qref="F1" start="0" length="0">
      <dxf>
        <font>
          <sz val="10"/>
          <color auto="1"/>
          <name val="Arial"/>
          <scheme val="none"/>
        </font>
        <numFmt numFmtId="10" formatCode="&quot;$&quot;#,##0_);[Red]\(&quot;$&quot;#,##0\)"/>
      </dxf>
    </rfmt>
    <rfmt sheetId="7"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593" sId="7" ref="A1:XFD1" action="deleteRow">
    <rfmt sheetId="7" xfDxf="1" sqref="A1:XFD1" start="0" length="0"/>
    <rfmt sheetId="7" sqref="A1" start="0" length="0">
      <dxf>
        <font>
          <sz val="10"/>
          <color auto="1"/>
          <name val="Arial"/>
          <scheme val="none"/>
        </font>
      </dxf>
    </rfmt>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qref="F1" start="0" length="0">
      <dxf>
        <font>
          <sz val="10"/>
          <color auto="1"/>
          <name val="Arial"/>
          <scheme val="none"/>
        </font>
        <numFmt numFmtId="10" formatCode="&quot;$&quot;#,##0_);[Red]\(&quot;$&quot;#,##0\)"/>
      </dxf>
    </rfmt>
    <rfmt sheetId="7"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594" sId="7" ref="A1:XFD1" action="deleteRow">
    <rfmt sheetId="7" xfDxf="1" sqref="A1:XFD1" start="0" length="0"/>
    <rfmt sheetId="7" sqref="A1" start="0" length="0">
      <dxf>
        <font>
          <sz val="10"/>
          <color auto="1"/>
          <name val="Arial"/>
          <scheme val="none"/>
        </font>
      </dxf>
    </rfmt>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qref="F1" start="0" length="0">
      <dxf>
        <font>
          <sz val="10"/>
          <color auto="1"/>
          <name val="Arial"/>
          <scheme val="none"/>
        </font>
        <numFmt numFmtId="10" formatCode="&quot;$&quot;#,##0_);[Red]\(&quot;$&quot;#,##0\)"/>
      </dxf>
    </rfmt>
    <rfmt sheetId="7"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595" sId="7" ref="A1:XFD1" action="deleteRow">
    <rfmt sheetId="7" xfDxf="1" sqref="A1:XFD1" start="0" length="0"/>
    <rfmt sheetId="7" sqref="A1" start="0" length="0">
      <dxf>
        <font>
          <sz val="10"/>
          <color auto="1"/>
          <name val="Arial"/>
          <scheme val="none"/>
        </font>
      </dxf>
    </rfmt>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qref="F1" start="0" length="0">
      <dxf>
        <font>
          <sz val="10"/>
          <color auto="1"/>
          <name val="Arial"/>
          <scheme val="none"/>
        </font>
        <numFmt numFmtId="10" formatCode="&quot;$&quot;#,##0_);[Red]\(&quot;$&quot;#,##0\)"/>
      </dxf>
    </rfmt>
    <rfmt sheetId="7"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596" sId="7" ref="A1:XFD1" action="deleteRow">
    <rfmt sheetId="7" xfDxf="1" sqref="A1:XFD1" start="0" length="0"/>
    <rfmt sheetId="7" sqref="A1" start="0" length="0">
      <dxf>
        <font>
          <sz val="10"/>
          <color auto="1"/>
          <name val="Arial"/>
          <scheme val="none"/>
        </font>
      </dxf>
    </rfmt>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qref="F1" start="0" length="0">
      <dxf>
        <font>
          <sz val="10"/>
          <color auto="1"/>
          <name val="Arial"/>
          <scheme val="none"/>
        </font>
        <numFmt numFmtId="10" formatCode="&quot;$&quot;#,##0_);[Red]\(&quot;$&quot;#,##0\)"/>
      </dxf>
    </rfmt>
    <rfmt sheetId="7"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597" sId="7" ref="A1:XFD1" action="deleteRow">
    <rfmt sheetId="7" xfDxf="1" sqref="A1:XFD1" start="0" length="0"/>
    <rfmt sheetId="7" sqref="A1" start="0" length="0">
      <dxf>
        <font>
          <sz val="10"/>
          <color auto="1"/>
          <name val="Arial"/>
          <scheme val="none"/>
        </font>
      </dxf>
    </rfmt>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qref="F1" start="0" length="0">
      <dxf>
        <font>
          <sz val="10"/>
          <color auto="1"/>
          <name val="Arial"/>
          <scheme val="none"/>
        </font>
        <numFmt numFmtId="10" formatCode="&quot;$&quot;#,##0_);[Red]\(&quot;$&quot;#,##0\)"/>
      </dxf>
    </rfmt>
    <rfmt sheetId="7"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598" sId="7" ref="A1:XFD1" action="deleteRow">
    <rfmt sheetId="7" xfDxf="1" sqref="A1:XFD1" start="0" length="0"/>
    <rfmt sheetId="7" sqref="A1" start="0" length="0">
      <dxf>
        <font>
          <sz val="10"/>
          <color auto="1"/>
          <name val="Arial"/>
          <scheme val="none"/>
        </font>
      </dxf>
    </rfmt>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qref="F1" start="0" length="0">
      <dxf>
        <font>
          <sz val="10"/>
          <color auto="1"/>
          <name val="Arial"/>
          <scheme val="none"/>
        </font>
        <numFmt numFmtId="10" formatCode="&quot;$&quot;#,##0_);[Red]\(&quot;$&quot;#,##0\)"/>
      </dxf>
    </rfmt>
    <rfmt sheetId="7"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599" sId="7" ref="A1:XFD1" action="deleteRow">
    <rfmt sheetId="7" xfDxf="1" sqref="A1:XFD1" start="0" length="0"/>
    <rfmt sheetId="7" sqref="A1" start="0" length="0">
      <dxf>
        <font>
          <sz val="10"/>
          <color auto="1"/>
          <name val="Arial"/>
          <scheme val="none"/>
        </font>
      </dxf>
    </rfmt>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qref="F1" start="0" length="0">
      <dxf>
        <font>
          <sz val="10"/>
          <color auto="1"/>
          <name val="Arial"/>
          <scheme val="none"/>
        </font>
        <numFmt numFmtId="10" formatCode="&quot;$&quot;#,##0_);[Red]\(&quot;$&quot;#,##0\)"/>
      </dxf>
    </rfmt>
    <rfmt sheetId="7"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600" sId="7" ref="A1:XFD1" action="deleteRow">
    <rfmt sheetId="7" xfDxf="1" sqref="A1:XFD1" start="0" length="0"/>
    <rfmt sheetId="7" sqref="A1" start="0" length="0">
      <dxf>
        <font>
          <sz val="10"/>
          <color auto="1"/>
          <name val="Arial"/>
          <scheme val="none"/>
        </font>
      </dxf>
    </rfmt>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qref="F1" start="0" length="0">
      <dxf>
        <font>
          <sz val="10"/>
          <color auto="1"/>
          <name val="Arial"/>
          <scheme val="none"/>
        </font>
        <numFmt numFmtId="10" formatCode="&quot;$&quot;#,##0_);[Red]\(&quot;$&quot;#,##0\)"/>
      </dxf>
    </rfmt>
    <rfmt sheetId="7"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601" sId="7" ref="A1:XFD1" action="deleteRow">
    <rfmt sheetId="7" xfDxf="1" sqref="A1:XFD1" start="0" length="0"/>
    <rfmt sheetId="7" sqref="A1" start="0" length="0">
      <dxf>
        <font>
          <sz val="10"/>
          <color auto="1"/>
          <name val="Arial"/>
          <scheme val="none"/>
        </font>
      </dxf>
    </rfmt>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qref="F1" start="0" length="0">
      <dxf>
        <font>
          <sz val="10"/>
          <color auto="1"/>
          <name val="Arial"/>
          <scheme val="none"/>
        </font>
        <numFmt numFmtId="10" formatCode="&quot;$&quot;#,##0_);[Red]\(&quot;$&quot;#,##0\)"/>
      </dxf>
    </rfmt>
    <rfmt sheetId="7"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602" sId="7" ref="A1:XFD1" action="deleteRow">
    <rfmt sheetId="7" xfDxf="1" sqref="A1:XFD1" start="0" length="0"/>
    <rfmt sheetId="7" sqref="A1" start="0" length="0">
      <dxf>
        <font>
          <sz val="10"/>
          <color auto="1"/>
          <name val="Arial"/>
          <scheme val="none"/>
        </font>
      </dxf>
    </rfmt>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qref="F1" start="0" length="0">
      <dxf>
        <font>
          <sz val="10"/>
          <color auto="1"/>
          <name val="Arial"/>
          <scheme val="none"/>
        </font>
        <numFmt numFmtId="10" formatCode="&quot;$&quot;#,##0_);[Red]\(&quot;$&quot;#,##0\)"/>
      </dxf>
    </rfmt>
    <rfmt sheetId="7"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603" sId="7" ref="A1:XFD1" action="deleteRow">
    <rfmt sheetId="7" xfDxf="1" sqref="A1:XFD1" start="0" length="0"/>
    <rfmt sheetId="7" sqref="A1" start="0" length="0">
      <dxf>
        <font>
          <sz val="10"/>
          <color auto="1"/>
          <name val="Arial"/>
          <scheme val="none"/>
        </font>
      </dxf>
    </rfmt>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qref="F1" start="0" length="0">
      <dxf>
        <font>
          <sz val="10"/>
          <color auto="1"/>
          <name val="Arial"/>
          <scheme val="none"/>
        </font>
        <numFmt numFmtId="10" formatCode="&quot;$&quot;#,##0_);[Red]\(&quot;$&quot;#,##0\)"/>
      </dxf>
    </rfmt>
    <rfmt sheetId="7"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604" sId="7" ref="A1:XFD1" action="deleteRow">
    <rfmt sheetId="7" xfDxf="1" sqref="A1:XFD1" start="0" length="0"/>
    <rfmt sheetId="7" sqref="A1" start="0" length="0">
      <dxf>
        <font>
          <sz val="10"/>
          <color auto="1"/>
          <name val="Arial"/>
          <scheme val="none"/>
        </font>
      </dxf>
    </rfmt>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qref="F1" start="0" length="0">
      <dxf>
        <font>
          <sz val="10"/>
          <color auto="1"/>
          <name val="Arial"/>
          <scheme val="none"/>
        </font>
        <numFmt numFmtId="10" formatCode="&quot;$&quot;#,##0_);[Red]\(&quot;$&quot;#,##0\)"/>
      </dxf>
    </rfmt>
    <rfmt sheetId="7"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605" sId="7" ref="A1:XFD1" action="deleteRow">
    <rfmt sheetId="7" xfDxf="1" sqref="A1:XFD1" start="0" length="0"/>
    <rfmt sheetId="7" sqref="A1" start="0" length="0">
      <dxf>
        <font>
          <sz val="10"/>
          <color auto="1"/>
          <name val="Arial"/>
          <scheme val="none"/>
        </font>
      </dxf>
    </rfmt>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qref="F1" start="0" length="0">
      <dxf>
        <font>
          <sz val="10"/>
          <color auto="1"/>
          <name val="Arial"/>
          <scheme val="none"/>
        </font>
        <numFmt numFmtId="10" formatCode="&quot;$&quot;#,##0_);[Red]\(&quot;$&quot;#,##0\)"/>
      </dxf>
    </rfmt>
    <rfmt sheetId="7"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606" sId="7" ref="A1:XFD1" action="deleteRow">
    <rfmt sheetId="7" xfDxf="1" sqref="A1:XFD1" start="0" length="0"/>
    <rfmt sheetId="7" sqref="A1" start="0" length="0">
      <dxf>
        <font>
          <sz val="10"/>
          <color auto="1"/>
          <name val="Arial"/>
          <scheme val="none"/>
        </font>
      </dxf>
    </rfmt>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qref="F1" start="0" length="0">
      <dxf>
        <font>
          <sz val="10"/>
          <color auto="1"/>
          <name val="Arial"/>
          <scheme val="none"/>
        </font>
        <numFmt numFmtId="10" formatCode="&quot;$&quot;#,##0_);[Red]\(&quot;$&quot;#,##0\)"/>
      </dxf>
    </rfmt>
    <rfmt sheetId="7"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607" sId="7" ref="A1:XFD1" action="deleteRow">
    <rfmt sheetId="7" xfDxf="1" sqref="A1:XFD1" start="0" length="0"/>
    <rfmt sheetId="7" sqref="A1" start="0" length="0">
      <dxf>
        <font>
          <sz val="10"/>
          <color auto="1"/>
          <name val="Arial"/>
          <scheme val="none"/>
        </font>
      </dxf>
    </rfmt>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qref="F1" start="0" length="0">
      <dxf>
        <font>
          <sz val="10"/>
          <color auto="1"/>
          <name val="Arial"/>
          <scheme val="none"/>
        </font>
        <numFmt numFmtId="10" formatCode="&quot;$&quot;#,##0_);[Red]\(&quot;$&quot;#,##0\)"/>
      </dxf>
    </rfmt>
    <rfmt sheetId="7"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608" sId="7" ref="A1:XFD1" action="deleteRow">
    <rfmt sheetId="7" xfDxf="1" sqref="A1:XFD1" start="0" length="0"/>
    <rfmt sheetId="7" sqref="A1" start="0" length="0">
      <dxf>
        <font>
          <sz val="10"/>
          <color auto="1"/>
          <name val="Arial"/>
          <scheme val="none"/>
        </font>
      </dxf>
    </rfmt>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qref="F1" start="0" length="0">
      <dxf>
        <font>
          <sz val="10"/>
          <color auto="1"/>
          <name val="Arial"/>
          <scheme val="none"/>
        </font>
        <numFmt numFmtId="10" formatCode="&quot;$&quot;#,##0_);[Red]\(&quot;$&quot;#,##0\)"/>
      </dxf>
    </rfmt>
    <rfmt sheetId="7"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609" sId="7" ref="A1:XFD1" action="deleteRow">
    <rfmt sheetId="7" xfDxf="1" sqref="A1:XFD1" start="0" length="0"/>
    <rfmt sheetId="7" sqref="A1" start="0" length="0">
      <dxf>
        <font>
          <sz val="10"/>
          <color auto="1"/>
          <name val="Arial"/>
          <scheme val="none"/>
        </font>
      </dxf>
    </rfmt>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qref="F1" start="0" length="0">
      <dxf>
        <font>
          <sz val="10"/>
          <color auto="1"/>
          <name val="Arial"/>
          <scheme val="none"/>
        </font>
        <numFmt numFmtId="10" formatCode="&quot;$&quot;#,##0_);[Red]\(&quot;$&quot;#,##0\)"/>
      </dxf>
    </rfmt>
    <rfmt sheetId="7"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610" sId="7" ref="A1:XFD1" action="deleteRow">
    <rfmt sheetId="7" xfDxf="1" sqref="A1:XFD1" start="0" length="0"/>
    <rfmt sheetId="7" sqref="A1" start="0" length="0">
      <dxf>
        <font>
          <sz val="10"/>
          <color auto="1"/>
          <name val="Arial"/>
          <scheme val="none"/>
        </font>
      </dxf>
    </rfmt>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qref="F1" start="0" length="0">
      <dxf>
        <font>
          <sz val="10"/>
          <color auto="1"/>
          <name val="Arial"/>
          <scheme val="none"/>
        </font>
        <numFmt numFmtId="10" formatCode="&quot;$&quot;#,##0_);[Red]\(&quot;$&quot;#,##0\)"/>
      </dxf>
    </rfmt>
    <rfmt sheetId="7"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611" sId="7" ref="A1:XFD1" action="deleteRow">
    <rfmt sheetId="7" xfDxf="1" sqref="A1:XFD1" start="0" length="0"/>
    <rfmt sheetId="7" sqref="A1" start="0" length="0">
      <dxf>
        <font>
          <sz val="10"/>
          <color auto="1"/>
          <name val="Arial"/>
          <scheme val="none"/>
        </font>
      </dxf>
    </rfmt>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qref="F1" start="0" length="0">
      <dxf>
        <font>
          <sz val="10"/>
          <color auto="1"/>
          <name val="Arial"/>
          <scheme val="none"/>
        </font>
        <numFmt numFmtId="10" formatCode="&quot;$&quot;#,##0_);[Red]\(&quot;$&quot;#,##0\)"/>
      </dxf>
    </rfmt>
    <rfmt sheetId="7"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612" sId="7" ref="A1:XFD1" action="deleteRow">
    <rfmt sheetId="7" xfDxf="1" sqref="A1:XFD1" start="0" length="0"/>
    <rfmt sheetId="7" sqref="A1" start="0" length="0">
      <dxf>
        <font>
          <sz val="10"/>
          <color auto="1"/>
          <name val="Arial"/>
          <scheme val="none"/>
        </font>
      </dxf>
    </rfmt>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qref="F1" start="0" length="0">
      <dxf>
        <font>
          <sz val="10"/>
          <color auto="1"/>
          <name val="Arial"/>
          <scheme val="none"/>
        </font>
        <numFmt numFmtId="10" formatCode="&quot;$&quot;#,##0_);[Red]\(&quot;$&quot;#,##0\)"/>
      </dxf>
    </rfmt>
    <rfmt sheetId="7"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613" sId="7" ref="A1:XFD1" action="deleteRow">
    <rfmt sheetId="7" xfDxf="1" sqref="A1:XFD1" start="0" length="0"/>
    <rfmt sheetId="7" sqref="A1" start="0" length="0">
      <dxf>
        <font>
          <sz val="10"/>
          <color auto="1"/>
          <name val="Arial"/>
          <scheme val="none"/>
        </font>
      </dxf>
    </rfmt>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qref="F1" start="0" length="0">
      <dxf>
        <font>
          <sz val="10"/>
          <color auto="1"/>
          <name val="Arial"/>
          <scheme val="none"/>
        </font>
        <numFmt numFmtId="10" formatCode="&quot;$&quot;#,##0_);[Red]\(&quot;$&quot;#,##0\)"/>
      </dxf>
    </rfmt>
    <rfmt sheetId="7"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614" sId="7" ref="A1:XFD1" action="deleteRow">
    <rfmt sheetId="7" xfDxf="1" sqref="A1:XFD1" start="0" length="0"/>
    <rfmt sheetId="7" sqref="A1" start="0" length="0">
      <dxf>
        <font>
          <sz val="10"/>
          <color auto="1"/>
          <name val="Arial"/>
          <scheme val="none"/>
        </font>
      </dxf>
    </rfmt>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qref="F1" start="0" length="0">
      <dxf>
        <font>
          <sz val="10"/>
          <color auto="1"/>
          <name val="Arial"/>
          <scheme val="none"/>
        </font>
        <numFmt numFmtId="10" formatCode="&quot;$&quot;#,##0_);[Red]\(&quot;$&quot;#,##0\)"/>
      </dxf>
    </rfmt>
    <rfmt sheetId="7"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615" sId="7" ref="A1:XFD1" action="deleteRow">
    <rfmt sheetId="7" xfDxf="1" sqref="A1:XFD1" start="0" length="0"/>
    <rfmt sheetId="7" sqref="A1" start="0" length="0">
      <dxf>
        <font>
          <sz val="10"/>
          <color auto="1"/>
          <name val="Arial"/>
          <scheme val="none"/>
        </font>
      </dxf>
    </rfmt>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qref="F1" start="0" length="0">
      <dxf>
        <font>
          <sz val="10"/>
          <color auto="1"/>
          <name val="Arial"/>
          <scheme val="none"/>
        </font>
        <numFmt numFmtId="10" formatCode="&quot;$&quot;#,##0_);[Red]\(&quot;$&quot;#,##0\)"/>
      </dxf>
    </rfmt>
    <rfmt sheetId="7"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616" sId="7" ref="A1:XFD1" action="deleteRow">
    <rfmt sheetId="7" xfDxf="1" sqref="A1:XFD1" start="0" length="0"/>
    <rfmt sheetId="7" sqref="A1" start="0" length="0">
      <dxf>
        <font>
          <sz val="10"/>
          <color auto="1"/>
          <name val="Arial"/>
          <scheme val="none"/>
        </font>
      </dxf>
    </rfmt>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qref="F1" start="0" length="0">
      <dxf>
        <font>
          <sz val="10"/>
          <color auto="1"/>
          <name val="Arial"/>
          <scheme val="none"/>
        </font>
        <numFmt numFmtId="10" formatCode="&quot;$&quot;#,##0_);[Red]\(&quot;$&quot;#,##0\)"/>
      </dxf>
    </rfmt>
    <rfmt sheetId="7"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617" sId="7" ref="A1:XFD1" action="deleteRow">
    <rfmt sheetId="7" xfDxf="1" sqref="A1:XFD1" start="0" length="0"/>
    <rfmt sheetId="7" sqref="A1" start="0" length="0">
      <dxf>
        <font>
          <sz val="10"/>
          <color auto="1"/>
          <name val="Arial"/>
          <scheme val="none"/>
        </font>
      </dxf>
    </rfmt>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qref="F1" start="0" length="0">
      <dxf>
        <font>
          <sz val="10"/>
          <color auto="1"/>
          <name val="Arial"/>
          <scheme val="none"/>
        </font>
        <numFmt numFmtId="10" formatCode="&quot;$&quot;#,##0_);[Red]\(&quot;$&quot;#,##0\)"/>
      </dxf>
    </rfmt>
    <rfmt sheetId="7"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618" sId="7" ref="A1:XFD1" action="deleteRow">
    <rfmt sheetId="7" xfDxf="1" sqref="A1:XFD1" start="0" length="0"/>
    <rfmt sheetId="7" sqref="A1" start="0" length="0">
      <dxf>
        <font>
          <sz val="10"/>
          <color auto="1"/>
          <name val="Arial"/>
          <scheme val="none"/>
        </font>
      </dxf>
    </rfmt>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qref="F1" start="0" length="0">
      <dxf>
        <font>
          <sz val="10"/>
          <color auto="1"/>
          <name val="Arial"/>
          <scheme val="none"/>
        </font>
        <numFmt numFmtId="10" formatCode="&quot;$&quot;#,##0_);[Red]\(&quot;$&quot;#,##0\)"/>
      </dxf>
    </rfmt>
    <rfmt sheetId="7"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619" sId="7" ref="A1:XFD1" action="deleteRow">
    <rfmt sheetId="7" xfDxf="1" sqref="A1:XFD1" start="0" length="0"/>
    <rfmt sheetId="7" sqref="A1" start="0" length="0">
      <dxf>
        <font>
          <sz val="10"/>
          <color auto="1"/>
          <name val="Arial"/>
          <scheme val="none"/>
        </font>
      </dxf>
    </rfmt>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qref="F1" start="0" length="0">
      <dxf>
        <font>
          <sz val="10"/>
          <color auto="1"/>
          <name val="Arial"/>
          <scheme val="none"/>
        </font>
        <numFmt numFmtId="10" formatCode="&quot;$&quot;#,##0_);[Red]\(&quot;$&quot;#,##0\)"/>
      </dxf>
    </rfmt>
    <rfmt sheetId="7"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620" sId="7" ref="A1:XFD1" action="deleteRow">
    <rfmt sheetId="7" xfDxf="1" sqref="A1:XFD1" start="0" length="0"/>
    <rfmt sheetId="7" sqref="A1" start="0" length="0">
      <dxf>
        <font>
          <sz val="10"/>
          <color auto="1"/>
          <name val="Arial"/>
          <scheme val="none"/>
        </font>
      </dxf>
    </rfmt>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qref="F1" start="0" length="0">
      <dxf>
        <font>
          <sz val="10"/>
          <color auto="1"/>
          <name val="Arial"/>
          <scheme val="none"/>
        </font>
        <numFmt numFmtId="10" formatCode="&quot;$&quot;#,##0_);[Red]\(&quot;$&quot;#,##0\)"/>
      </dxf>
    </rfmt>
    <rfmt sheetId="7"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621" sId="7" ref="A1:XFD1" action="deleteRow">
    <rfmt sheetId="7" xfDxf="1" sqref="A1:XFD1" start="0" length="0"/>
    <rfmt sheetId="7" sqref="A1" start="0" length="0">
      <dxf>
        <font>
          <sz val="10"/>
          <color auto="1"/>
          <name val="Arial"/>
          <scheme val="none"/>
        </font>
      </dxf>
    </rfmt>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qref="F1" start="0" length="0">
      <dxf>
        <font>
          <sz val="10"/>
          <color auto="1"/>
          <name val="Arial"/>
          <scheme val="none"/>
        </font>
        <numFmt numFmtId="10" formatCode="&quot;$&quot;#,##0_);[Red]\(&quot;$&quot;#,##0\)"/>
      </dxf>
    </rfmt>
    <rfmt sheetId="7"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622" sId="7" ref="A1:XFD1" action="deleteRow">
    <rfmt sheetId="7" xfDxf="1" sqref="A1:XFD1" start="0" length="0"/>
    <rfmt sheetId="7" sqref="A1" start="0" length="0">
      <dxf>
        <font>
          <sz val="10"/>
          <color auto="1"/>
          <name val="Arial"/>
          <scheme val="none"/>
        </font>
      </dxf>
    </rfmt>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qref="F1" start="0" length="0">
      <dxf>
        <font>
          <sz val="10"/>
          <color auto="1"/>
          <name val="Arial"/>
          <scheme val="none"/>
        </font>
        <numFmt numFmtId="10" formatCode="&quot;$&quot;#,##0_);[Red]\(&quot;$&quot;#,##0\)"/>
      </dxf>
    </rfmt>
    <rfmt sheetId="7"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623" sId="7" ref="A1:XFD1" action="deleteRow">
    <rfmt sheetId="7" xfDxf="1" sqref="A1:XFD1" start="0" length="0"/>
    <rfmt sheetId="7" sqref="A1" start="0" length="0">
      <dxf>
        <font>
          <sz val="10"/>
          <color auto="1"/>
          <name val="Arial"/>
          <scheme val="none"/>
        </font>
      </dxf>
    </rfmt>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qref="F1" start="0" length="0">
      <dxf>
        <font>
          <sz val="10"/>
          <color auto="1"/>
          <name val="Arial"/>
          <scheme val="none"/>
        </font>
        <numFmt numFmtId="10" formatCode="&quot;$&quot;#,##0_);[Red]\(&quot;$&quot;#,##0\)"/>
      </dxf>
    </rfmt>
    <rfmt sheetId="7"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624" sId="7" ref="A1:XFD1" action="deleteRow">
    <rfmt sheetId="7" xfDxf="1" sqref="A1:XFD1" start="0" length="0"/>
    <rfmt sheetId="7" sqref="A1" start="0" length="0">
      <dxf>
        <font>
          <sz val="10"/>
          <color auto="1"/>
          <name val="Arial"/>
          <scheme val="none"/>
        </font>
      </dxf>
    </rfmt>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qref="F1" start="0" length="0">
      <dxf>
        <font>
          <sz val="10"/>
          <color auto="1"/>
          <name val="Arial"/>
          <scheme val="none"/>
        </font>
        <numFmt numFmtId="10" formatCode="&quot;$&quot;#,##0_);[Red]\(&quot;$&quot;#,##0\)"/>
      </dxf>
    </rfmt>
    <rfmt sheetId="7"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625" sId="7" ref="A1:XFD1" action="deleteRow">
    <rfmt sheetId="7" xfDxf="1" sqref="A1:XFD1" start="0" length="0"/>
    <rfmt sheetId="7" sqref="A1" start="0" length="0">
      <dxf>
        <font>
          <sz val="10"/>
          <color auto="1"/>
          <name val="Arial"/>
          <scheme val="none"/>
        </font>
      </dxf>
    </rfmt>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qref="F1" start="0" length="0">
      <dxf>
        <font>
          <sz val="10"/>
          <color auto="1"/>
          <name val="Arial"/>
          <scheme val="none"/>
        </font>
        <numFmt numFmtId="10" formatCode="&quot;$&quot;#,##0_);[Red]\(&quot;$&quot;#,##0\)"/>
      </dxf>
    </rfmt>
    <rfmt sheetId="7"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626" sId="7" ref="A1:XFD1" action="deleteRow">
    <rfmt sheetId="7" xfDxf="1" sqref="A1:XFD1" start="0" length="0"/>
    <rfmt sheetId="7" sqref="A1" start="0" length="0">
      <dxf>
        <font>
          <sz val="10"/>
          <color auto="1"/>
          <name val="Arial"/>
          <scheme val="none"/>
        </font>
      </dxf>
    </rfmt>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qref="F1" start="0" length="0">
      <dxf>
        <font>
          <sz val="10"/>
          <color auto="1"/>
          <name val="Arial"/>
          <scheme val="none"/>
        </font>
        <numFmt numFmtId="10" formatCode="&quot;$&quot;#,##0_);[Red]\(&quot;$&quot;#,##0\)"/>
      </dxf>
    </rfmt>
    <rfmt sheetId="7"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627" sId="7" ref="A1:XFD1" action="deleteRow">
    <rfmt sheetId="7" xfDxf="1" sqref="A1:XFD1" start="0" length="0"/>
    <rfmt sheetId="7" sqref="A1" start="0" length="0">
      <dxf>
        <font>
          <sz val="10"/>
          <color auto="1"/>
          <name val="Arial"/>
          <scheme val="none"/>
        </font>
      </dxf>
    </rfmt>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qref="F1" start="0" length="0">
      <dxf>
        <font>
          <sz val="10"/>
          <color auto="1"/>
          <name val="Arial"/>
          <scheme val="none"/>
        </font>
        <numFmt numFmtId="10" formatCode="&quot;$&quot;#,##0_);[Red]\(&quot;$&quot;#,##0\)"/>
      </dxf>
    </rfmt>
    <rfmt sheetId="7"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628" sId="7" ref="A1:XFD1" action="deleteRow">
    <rfmt sheetId="7" xfDxf="1" sqref="A1:XFD1" start="0" length="0"/>
    <rfmt sheetId="7" sqref="A1" start="0" length="0">
      <dxf>
        <font>
          <sz val="10"/>
          <color auto="1"/>
          <name val="Arial"/>
          <scheme val="none"/>
        </font>
      </dxf>
    </rfmt>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qref="F1" start="0" length="0">
      <dxf>
        <font>
          <sz val="10"/>
          <color auto="1"/>
          <name val="Arial"/>
          <scheme val="none"/>
        </font>
        <numFmt numFmtId="10" formatCode="&quot;$&quot;#,##0_);[Red]\(&quot;$&quot;#,##0\)"/>
      </dxf>
    </rfmt>
    <rfmt sheetId="7"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629" sId="7" ref="A1:XFD1" action="deleteRow">
    <rfmt sheetId="7" xfDxf="1" sqref="A1:XFD1" start="0" length="0"/>
    <rfmt sheetId="7" sqref="A1" start="0" length="0">
      <dxf>
        <font>
          <sz val="10"/>
          <color auto="1"/>
          <name val="Arial"/>
          <scheme val="none"/>
        </font>
      </dxf>
    </rfmt>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qref="F1" start="0" length="0">
      <dxf>
        <font>
          <sz val="10"/>
          <color auto="1"/>
          <name val="Arial"/>
          <scheme val="none"/>
        </font>
        <numFmt numFmtId="10" formatCode="&quot;$&quot;#,##0_);[Red]\(&quot;$&quot;#,##0\)"/>
      </dxf>
    </rfmt>
    <rfmt sheetId="7"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630" sId="7" ref="A1:XFD1" action="deleteRow">
    <rfmt sheetId="7" xfDxf="1" sqref="A1:XFD1" start="0" length="0"/>
    <rfmt sheetId="7" sqref="A1" start="0" length="0">
      <dxf>
        <font>
          <sz val="10"/>
          <color auto="1"/>
          <name val="Arial"/>
          <scheme val="none"/>
        </font>
      </dxf>
    </rfmt>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qref="F1" start="0" length="0">
      <dxf>
        <font>
          <sz val="10"/>
          <color auto="1"/>
          <name val="Arial"/>
          <scheme val="none"/>
        </font>
        <numFmt numFmtId="10" formatCode="&quot;$&quot;#,##0_);[Red]\(&quot;$&quot;#,##0\)"/>
      </dxf>
    </rfmt>
    <rfmt sheetId="7"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631" sId="7" ref="A1:XFD1" action="deleteRow">
    <rfmt sheetId="7" xfDxf="1" sqref="A1:XFD1" start="0" length="0"/>
    <rfmt sheetId="7" sqref="A1" start="0" length="0">
      <dxf>
        <font>
          <sz val="10"/>
          <color auto="1"/>
          <name val="Arial"/>
          <scheme val="none"/>
        </font>
      </dxf>
    </rfmt>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qref="F1" start="0" length="0">
      <dxf>
        <font>
          <sz val="10"/>
          <color auto="1"/>
          <name val="Arial"/>
          <scheme val="none"/>
        </font>
        <numFmt numFmtId="10" formatCode="&quot;$&quot;#,##0_);[Red]\(&quot;$&quot;#,##0\)"/>
      </dxf>
    </rfmt>
    <rfmt sheetId="7"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632" sId="7" ref="A1:XFD1" action="deleteRow">
    <rfmt sheetId="7" xfDxf="1" sqref="A1:XFD1" start="0" length="0"/>
    <rfmt sheetId="7" sqref="A1" start="0" length="0">
      <dxf>
        <font>
          <sz val="10"/>
          <color auto="1"/>
          <name val="Arial"/>
          <scheme val="none"/>
        </font>
      </dxf>
    </rfmt>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qref="F1" start="0" length="0">
      <dxf>
        <font>
          <sz val="10"/>
          <color auto="1"/>
          <name val="Arial"/>
          <scheme val="none"/>
        </font>
        <numFmt numFmtId="10" formatCode="&quot;$&quot;#,##0_);[Red]\(&quot;$&quot;#,##0\)"/>
      </dxf>
    </rfmt>
    <rfmt sheetId="7"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633" sId="7" ref="A1:XFD1" action="deleteRow">
    <rfmt sheetId="7" xfDxf="1" sqref="A1:XFD1" start="0" length="0"/>
    <rfmt sheetId="7" sqref="A1" start="0" length="0">
      <dxf>
        <font>
          <sz val="10"/>
          <color auto="1"/>
          <name val="Arial"/>
          <scheme val="none"/>
        </font>
      </dxf>
    </rfmt>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qref="F1" start="0" length="0">
      <dxf>
        <font>
          <sz val="10"/>
          <color auto="1"/>
          <name val="Arial"/>
          <scheme val="none"/>
        </font>
        <numFmt numFmtId="10" formatCode="&quot;$&quot;#,##0_);[Red]\(&quot;$&quot;#,##0\)"/>
      </dxf>
    </rfmt>
    <rfmt sheetId="7"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634" sId="7" ref="A1:XFD1" action="deleteRow">
    <rfmt sheetId="7" xfDxf="1" sqref="A1:XFD1" start="0" length="0"/>
    <rfmt sheetId="7" sqref="A1" start="0" length="0">
      <dxf>
        <font>
          <sz val="10"/>
          <color auto="1"/>
          <name val="Arial"/>
          <scheme val="none"/>
        </font>
      </dxf>
    </rfmt>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qref="F1" start="0" length="0">
      <dxf>
        <font>
          <sz val="10"/>
          <color auto="1"/>
          <name val="Arial"/>
          <scheme val="none"/>
        </font>
        <numFmt numFmtId="10" formatCode="&quot;$&quot;#,##0_);[Red]\(&quot;$&quot;#,##0\)"/>
      </dxf>
    </rfmt>
    <rfmt sheetId="7"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635" sId="7" ref="A1:XFD1" action="deleteRow">
    <rfmt sheetId="7" xfDxf="1" sqref="A1:XFD1" start="0" length="0"/>
    <rfmt sheetId="7" sqref="A1" start="0" length="0">
      <dxf>
        <font>
          <sz val="10"/>
          <color auto="1"/>
          <name val="Arial"/>
          <scheme val="none"/>
        </font>
      </dxf>
    </rfmt>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qref="F1" start="0" length="0">
      <dxf>
        <font>
          <sz val="10"/>
          <color auto="1"/>
          <name val="Arial"/>
          <scheme val="none"/>
        </font>
        <numFmt numFmtId="10" formatCode="&quot;$&quot;#,##0_);[Red]\(&quot;$&quot;#,##0\)"/>
      </dxf>
    </rfmt>
    <rfmt sheetId="7"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636" sId="7" ref="A1:XFD1" action="deleteRow">
    <rfmt sheetId="7" xfDxf="1" sqref="A1:XFD1" start="0" length="0"/>
    <rfmt sheetId="7" sqref="A1" start="0" length="0">
      <dxf>
        <font>
          <sz val="10"/>
          <color auto="1"/>
          <name val="Arial"/>
          <scheme val="none"/>
        </font>
      </dxf>
    </rfmt>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qref="F1" start="0" length="0">
      <dxf>
        <font>
          <sz val="10"/>
          <color auto="1"/>
          <name val="Arial"/>
          <scheme val="none"/>
        </font>
        <numFmt numFmtId="10" formatCode="&quot;$&quot;#,##0_);[Red]\(&quot;$&quot;#,##0\)"/>
      </dxf>
    </rfmt>
    <rfmt sheetId="7"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637" sId="7" ref="A1:XFD1" action="deleteRow">
    <rfmt sheetId="7" xfDxf="1" sqref="A1:XFD1" start="0" length="0"/>
    <rfmt sheetId="7" sqref="A1" start="0" length="0">
      <dxf>
        <font>
          <sz val="10"/>
          <color auto="1"/>
          <name val="Arial"/>
          <scheme val="none"/>
        </font>
      </dxf>
    </rfmt>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qref="F1" start="0" length="0">
      <dxf>
        <font>
          <sz val="10"/>
          <color auto="1"/>
          <name val="Arial"/>
          <scheme val="none"/>
        </font>
        <numFmt numFmtId="10" formatCode="&quot;$&quot;#,##0_);[Red]\(&quot;$&quot;#,##0\)"/>
      </dxf>
    </rfmt>
    <rfmt sheetId="7"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638" sId="7" ref="A1:XFD1" action="deleteRow">
    <rfmt sheetId="7" xfDxf="1" sqref="A1:XFD1" start="0" length="0"/>
    <rfmt sheetId="7" sqref="A1" start="0" length="0">
      <dxf>
        <font>
          <sz val="10"/>
          <color auto="1"/>
          <name val="Arial"/>
          <scheme val="none"/>
        </font>
      </dxf>
    </rfmt>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qref="F1" start="0" length="0">
      <dxf>
        <font>
          <sz val="10"/>
          <color auto="1"/>
          <name val="Arial"/>
          <scheme val="none"/>
        </font>
        <numFmt numFmtId="10" formatCode="&quot;$&quot;#,##0_);[Red]\(&quot;$&quot;#,##0\)"/>
      </dxf>
    </rfmt>
    <rfmt sheetId="7"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639" sId="7" ref="A1:XFD1" action="deleteRow">
    <rfmt sheetId="7" xfDxf="1" sqref="A1:XFD1" start="0" length="0"/>
    <rfmt sheetId="7" sqref="A1" start="0" length="0">
      <dxf>
        <font>
          <sz val="10"/>
          <color auto="1"/>
          <name val="Arial"/>
          <scheme val="none"/>
        </font>
      </dxf>
    </rfmt>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qref="F1" start="0" length="0">
      <dxf>
        <font>
          <sz val="10"/>
          <color auto="1"/>
          <name val="Arial"/>
          <scheme val="none"/>
        </font>
        <numFmt numFmtId="10" formatCode="&quot;$&quot;#,##0_);[Red]\(&quot;$&quot;#,##0\)"/>
      </dxf>
    </rfmt>
    <rfmt sheetId="7"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640" sId="7" ref="A1:XFD1" action="deleteRow">
    <rfmt sheetId="7" xfDxf="1" sqref="A1:XFD1" start="0" length="0"/>
    <rfmt sheetId="7" sqref="A1" start="0" length="0">
      <dxf>
        <font>
          <sz val="10"/>
          <color auto="1"/>
          <name val="Arial"/>
          <scheme val="none"/>
        </font>
      </dxf>
    </rfmt>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qref="F1" start="0" length="0">
      <dxf>
        <font>
          <sz val="10"/>
          <color auto="1"/>
          <name val="Arial"/>
          <scheme val="none"/>
        </font>
        <numFmt numFmtId="10" formatCode="&quot;$&quot;#,##0_);[Red]\(&quot;$&quot;#,##0\)"/>
      </dxf>
    </rfmt>
    <rfmt sheetId="7"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641" sId="7" ref="A1:XFD1" action="deleteRow">
    <rfmt sheetId="7" xfDxf="1" sqref="A1:XFD1" start="0" length="0"/>
    <rfmt sheetId="7" sqref="A1" start="0" length="0">
      <dxf>
        <font>
          <sz val="10"/>
          <color auto="1"/>
          <name val="Arial"/>
          <scheme val="none"/>
        </font>
      </dxf>
    </rfmt>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qref="F1" start="0" length="0">
      <dxf>
        <font>
          <sz val="10"/>
          <color auto="1"/>
          <name val="Arial"/>
          <scheme val="none"/>
        </font>
        <numFmt numFmtId="10" formatCode="&quot;$&quot;#,##0_);[Red]\(&quot;$&quot;#,##0\)"/>
      </dxf>
    </rfmt>
    <rfmt sheetId="7"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642" sId="7" ref="A1:XFD1" action="deleteRow">
    <rfmt sheetId="7" xfDxf="1" sqref="A1:XFD1" start="0" length="0"/>
    <rfmt sheetId="7" sqref="A1" start="0" length="0">
      <dxf>
        <font>
          <sz val="10"/>
          <color auto="1"/>
          <name val="Arial"/>
          <scheme val="none"/>
        </font>
      </dxf>
    </rfmt>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qref="F1" start="0" length="0">
      <dxf>
        <font>
          <sz val="10"/>
          <color auto="1"/>
          <name val="Arial"/>
          <scheme val="none"/>
        </font>
        <numFmt numFmtId="10" formatCode="&quot;$&quot;#,##0_);[Red]\(&quot;$&quot;#,##0\)"/>
      </dxf>
    </rfmt>
    <rfmt sheetId="7"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643" sId="7" ref="A1:XFD1" action="deleteRow">
    <rfmt sheetId="7" xfDxf="1" sqref="A1:XFD1" start="0" length="0"/>
    <rfmt sheetId="7" sqref="A1" start="0" length="0">
      <dxf>
        <font>
          <sz val="10"/>
          <color auto="1"/>
          <name val="Arial"/>
          <scheme val="none"/>
        </font>
      </dxf>
    </rfmt>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qref="F1" start="0" length="0">
      <dxf>
        <font>
          <sz val="10"/>
          <color auto="1"/>
          <name val="Arial"/>
          <scheme val="none"/>
        </font>
        <numFmt numFmtId="10" formatCode="&quot;$&quot;#,##0_);[Red]\(&quot;$&quot;#,##0\)"/>
      </dxf>
    </rfmt>
    <rfmt sheetId="7"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644" sId="7" ref="A1:XFD1" action="deleteRow">
    <rfmt sheetId="7" xfDxf="1" sqref="A1:XFD1" start="0" length="0"/>
    <rfmt sheetId="7" sqref="A1" start="0" length="0">
      <dxf>
        <font>
          <sz val="10"/>
          <color auto="1"/>
          <name val="Arial"/>
          <scheme val="none"/>
        </font>
      </dxf>
    </rfmt>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qref="F1" start="0" length="0">
      <dxf>
        <font>
          <sz val="10"/>
          <color auto="1"/>
          <name val="Arial"/>
          <scheme val="none"/>
        </font>
        <numFmt numFmtId="10" formatCode="&quot;$&quot;#,##0_);[Red]\(&quot;$&quot;#,##0\)"/>
      </dxf>
    </rfmt>
    <rfmt sheetId="7"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645" sId="7" ref="A1:XFD1" action="deleteRow">
    <rfmt sheetId="7" xfDxf="1" sqref="A1:XFD1" start="0" length="0"/>
    <rfmt sheetId="7" sqref="A1" start="0" length="0">
      <dxf>
        <font>
          <sz val="10"/>
          <color auto="1"/>
          <name val="Arial"/>
          <scheme val="none"/>
        </font>
      </dxf>
    </rfmt>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qref="F1" start="0" length="0">
      <dxf>
        <font>
          <sz val="10"/>
          <color auto="1"/>
          <name val="Arial"/>
          <scheme val="none"/>
        </font>
        <numFmt numFmtId="10" formatCode="&quot;$&quot;#,##0_);[Red]\(&quot;$&quot;#,##0\)"/>
      </dxf>
    </rfmt>
    <rfmt sheetId="7"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646" sId="7" ref="A1:XFD1" action="deleteRow">
    <rfmt sheetId="7" xfDxf="1" sqref="A1:XFD1" start="0" length="0"/>
    <rfmt sheetId="7" sqref="A1" start="0" length="0">
      <dxf>
        <font>
          <sz val="10"/>
          <color auto="1"/>
          <name val="Arial"/>
          <scheme val="none"/>
        </font>
      </dxf>
    </rfmt>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qref="F1" start="0" length="0">
      <dxf>
        <font>
          <sz val="10"/>
          <color auto="1"/>
          <name val="Arial"/>
          <scheme val="none"/>
        </font>
        <numFmt numFmtId="10" formatCode="&quot;$&quot;#,##0_);[Red]\(&quot;$&quot;#,##0\)"/>
      </dxf>
    </rfmt>
    <rfmt sheetId="7"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647" sId="7" ref="A1:XFD1" action="deleteRow">
    <rfmt sheetId="7" xfDxf="1" sqref="A1:XFD1" start="0" length="0"/>
    <rfmt sheetId="7" sqref="A1" start="0" length="0">
      <dxf>
        <font>
          <sz val="10"/>
          <color auto="1"/>
          <name val="Arial"/>
          <scheme val="none"/>
        </font>
      </dxf>
    </rfmt>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qref="F1" start="0" length="0">
      <dxf>
        <font>
          <sz val="10"/>
          <color auto="1"/>
          <name val="Arial"/>
          <scheme val="none"/>
        </font>
        <numFmt numFmtId="10" formatCode="&quot;$&quot;#,##0_);[Red]\(&quot;$&quot;#,##0\)"/>
      </dxf>
    </rfmt>
    <rfmt sheetId="7"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648" sId="7" ref="A1:XFD1" action="deleteRow">
    <rfmt sheetId="7" xfDxf="1" sqref="A1:XFD1" start="0" length="0"/>
    <rfmt sheetId="7" sqref="A1" start="0" length="0">
      <dxf>
        <font>
          <sz val="10"/>
          <color auto="1"/>
          <name val="Arial"/>
          <scheme val="none"/>
        </font>
      </dxf>
    </rfmt>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qref="F1" start="0" length="0">
      <dxf>
        <font>
          <sz val="10"/>
          <color auto="1"/>
          <name val="Arial"/>
          <scheme val="none"/>
        </font>
        <numFmt numFmtId="10" formatCode="&quot;$&quot;#,##0_);[Red]\(&quot;$&quot;#,##0\)"/>
      </dxf>
    </rfmt>
    <rfmt sheetId="7"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649" sId="7" ref="A1:XFD1" action="deleteRow">
    <rfmt sheetId="7" xfDxf="1" sqref="A1:XFD1" start="0" length="0"/>
    <rfmt sheetId="7" sqref="A1" start="0" length="0">
      <dxf>
        <font>
          <sz val="10"/>
          <color auto="1"/>
          <name val="Arial"/>
          <scheme val="none"/>
        </font>
      </dxf>
    </rfmt>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qref="F1" start="0" length="0">
      <dxf>
        <font>
          <sz val="10"/>
          <color auto="1"/>
          <name val="Arial"/>
          <scheme val="none"/>
        </font>
        <numFmt numFmtId="10" formatCode="&quot;$&quot;#,##0_);[Red]\(&quot;$&quot;#,##0\)"/>
      </dxf>
    </rfmt>
    <rfmt sheetId="7"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650" sId="7" ref="A1:XFD1" action="deleteRow">
    <rfmt sheetId="7" xfDxf="1" sqref="A1:XFD1" start="0" length="0"/>
    <rfmt sheetId="7" sqref="A1" start="0" length="0">
      <dxf>
        <font>
          <sz val="10"/>
          <color auto="1"/>
          <name val="Arial"/>
          <scheme val="none"/>
        </font>
      </dxf>
    </rfmt>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qref="F1" start="0" length="0">
      <dxf>
        <font>
          <sz val="10"/>
          <color auto="1"/>
          <name val="Arial"/>
          <scheme val="none"/>
        </font>
        <numFmt numFmtId="10" formatCode="&quot;$&quot;#,##0_);[Red]\(&quot;$&quot;#,##0\)"/>
      </dxf>
    </rfmt>
    <rfmt sheetId="7"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651" sId="7" ref="A1:XFD1" action="deleteRow">
    <rfmt sheetId="7" xfDxf="1" sqref="A1:XFD1" start="0" length="0"/>
    <rfmt sheetId="7" sqref="A1" start="0" length="0">
      <dxf>
        <font>
          <sz val="10"/>
          <color auto="1"/>
          <name val="Arial"/>
          <scheme val="none"/>
        </font>
      </dxf>
    </rfmt>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qref="F1" start="0" length="0">
      <dxf>
        <font>
          <sz val="10"/>
          <color auto="1"/>
          <name val="Arial"/>
          <scheme val="none"/>
        </font>
        <numFmt numFmtId="10" formatCode="&quot;$&quot;#,##0_);[Red]\(&quot;$&quot;#,##0\)"/>
      </dxf>
    </rfmt>
    <rfmt sheetId="7"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652" sId="7" ref="A1:XFD1" action="deleteRow">
    <rfmt sheetId="7" xfDxf="1" sqref="A1:XFD1" start="0" length="0"/>
    <rfmt sheetId="7" sqref="A1" start="0" length="0">
      <dxf>
        <font>
          <sz val="10"/>
          <color auto="1"/>
          <name val="Arial"/>
          <scheme val="none"/>
        </font>
      </dxf>
    </rfmt>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qref="F1" start="0" length="0">
      <dxf>
        <font>
          <sz val="10"/>
          <color auto="1"/>
          <name val="Arial"/>
          <scheme val="none"/>
        </font>
        <numFmt numFmtId="10" formatCode="&quot;$&quot;#,##0_);[Red]\(&quot;$&quot;#,##0\)"/>
      </dxf>
    </rfmt>
    <rfmt sheetId="7"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653" sId="7" ref="A1:XFD1" action="deleteRow">
    <rfmt sheetId="7" xfDxf="1" sqref="A1:XFD1" start="0" length="0"/>
    <rfmt sheetId="7" sqref="A1" start="0" length="0">
      <dxf>
        <font>
          <sz val="10"/>
          <color auto="1"/>
          <name val="Arial"/>
          <scheme val="none"/>
        </font>
      </dxf>
    </rfmt>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qref="F1" start="0" length="0">
      <dxf>
        <font>
          <sz val="10"/>
          <color auto="1"/>
          <name val="Arial"/>
          <scheme val="none"/>
        </font>
        <numFmt numFmtId="10" formatCode="&quot;$&quot;#,##0_);[Red]\(&quot;$&quot;#,##0\)"/>
      </dxf>
    </rfmt>
    <rfmt sheetId="7"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654" sId="7" ref="A1:XFD1" action="deleteRow">
    <rfmt sheetId="7" xfDxf="1" sqref="A1:XFD1" start="0" length="0"/>
    <rfmt sheetId="7" sqref="A1" start="0" length="0">
      <dxf>
        <font>
          <sz val="10"/>
          <color auto="1"/>
          <name val="Arial"/>
          <scheme val="none"/>
        </font>
      </dxf>
    </rfmt>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qref="F1" start="0" length="0">
      <dxf>
        <font>
          <sz val="10"/>
          <color auto="1"/>
          <name val="Arial"/>
          <scheme val="none"/>
        </font>
        <numFmt numFmtId="10" formatCode="&quot;$&quot;#,##0_);[Red]\(&quot;$&quot;#,##0\)"/>
      </dxf>
    </rfmt>
    <rfmt sheetId="7"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655" sId="7" ref="A1:XFD1" action="deleteRow">
    <rfmt sheetId="7" xfDxf="1" sqref="A1:XFD1" start="0" length="0"/>
    <rfmt sheetId="7" sqref="A1" start="0" length="0">
      <dxf>
        <font>
          <sz val="10"/>
          <color auto="1"/>
          <name val="Arial"/>
          <scheme val="none"/>
        </font>
      </dxf>
    </rfmt>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qref="F1" start="0" length="0">
      <dxf>
        <font>
          <sz val="10"/>
          <color auto="1"/>
          <name val="Arial"/>
          <scheme val="none"/>
        </font>
        <numFmt numFmtId="10" formatCode="&quot;$&quot;#,##0_);[Red]\(&quot;$&quot;#,##0\)"/>
      </dxf>
    </rfmt>
    <rfmt sheetId="7"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656" sId="7" ref="A1:XFD1" action="deleteRow">
    <rfmt sheetId="7" xfDxf="1" sqref="A1:XFD1" start="0" length="0"/>
    <rfmt sheetId="7" sqref="A1" start="0" length="0">
      <dxf>
        <font>
          <sz val="10"/>
          <color auto="1"/>
          <name val="Arial"/>
          <scheme val="none"/>
        </font>
      </dxf>
    </rfmt>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qref="F1" start="0" length="0">
      <dxf>
        <font>
          <sz val="10"/>
          <color auto="1"/>
          <name val="Arial"/>
          <scheme val="none"/>
        </font>
        <numFmt numFmtId="10" formatCode="&quot;$&quot;#,##0_);[Red]\(&quot;$&quot;#,##0\)"/>
      </dxf>
    </rfmt>
    <rfmt sheetId="7"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657" sId="7" ref="A1:XFD1" action="deleteRow">
    <rfmt sheetId="7" xfDxf="1" sqref="A1:XFD1" start="0" length="0"/>
    <rfmt sheetId="7" sqref="A1" start="0" length="0">
      <dxf>
        <font>
          <sz val="10"/>
          <color auto="1"/>
          <name val="Arial"/>
          <scheme val="none"/>
        </font>
      </dxf>
    </rfmt>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qref="F1" start="0" length="0">
      <dxf>
        <font>
          <sz val="10"/>
          <color auto="1"/>
          <name val="Arial"/>
          <scheme val="none"/>
        </font>
        <numFmt numFmtId="10" formatCode="&quot;$&quot;#,##0_);[Red]\(&quot;$&quot;#,##0\)"/>
      </dxf>
    </rfmt>
    <rfmt sheetId="7"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658" sId="7" ref="A1:XFD1" action="deleteRow">
    <rfmt sheetId="7" xfDxf="1" sqref="A1:XFD1" start="0" length="0"/>
    <rfmt sheetId="7" sqref="A1" start="0" length="0">
      <dxf>
        <font>
          <sz val="10"/>
          <color auto="1"/>
          <name val="Arial"/>
          <scheme val="none"/>
        </font>
      </dxf>
    </rfmt>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qref="F1" start="0" length="0">
      <dxf>
        <font>
          <sz val="10"/>
          <color auto="1"/>
          <name val="Arial"/>
          <scheme val="none"/>
        </font>
        <numFmt numFmtId="10" formatCode="&quot;$&quot;#,##0_);[Red]\(&quot;$&quot;#,##0\)"/>
      </dxf>
    </rfmt>
    <rfmt sheetId="7"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659" sId="7" ref="A1:XFD1" action="deleteRow">
    <rfmt sheetId="7" xfDxf="1" sqref="A1:XFD1" start="0" length="0"/>
    <rfmt sheetId="7" sqref="A1" start="0" length="0">
      <dxf>
        <font>
          <sz val="10"/>
          <color auto="1"/>
          <name val="Arial"/>
          <scheme val="none"/>
        </font>
      </dxf>
    </rfmt>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qref="F1" start="0" length="0">
      <dxf>
        <font>
          <sz val="10"/>
          <color auto="1"/>
          <name val="Arial"/>
          <scheme val="none"/>
        </font>
        <numFmt numFmtId="10" formatCode="&quot;$&quot;#,##0_);[Red]\(&quot;$&quot;#,##0\)"/>
      </dxf>
    </rfmt>
    <rfmt sheetId="7"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660" sId="7" ref="A1:XFD1" action="deleteRow">
    <rfmt sheetId="7" xfDxf="1" sqref="A1:XFD1" start="0" length="0"/>
    <rfmt sheetId="7" sqref="A1" start="0" length="0">
      <dxf>
        <font>
          <sz val="10"/>
          <color auto="1"/>
          <name val="Arial"/>
          <scheme val="none"/>
        </font>
      </dxf>
    </rfmt>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qref="F1" start="0" length="0">
      <dxf>
        <font>
          <sz val="10"/>
          <color auto="1"/>
          <name val="Arial"/>
          <scheme val="none"/>
        </font>
        <numFmt numFmtId="10" formatCode="&quot;$&quot;#,##0_);[Red]\(&quot;$&quot;#,##0\)"/>
      </dxf>
    </rfmt>
    <rfmt sheetId="7"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661" sId="7" ref="A1:XFD1" action="deleteRow">
    <rfmt sheetId="7" xfDxf="1" sqref="A1:XFD1" start="0" length="0"/>
    <rfmt sheetId="7" sqref="A1" start="0" length="0">
      <dxf>
        <font>
          <sz val="10"/>
          <color auto="1"/>
          <name val="Arial"/>
          <scheme val="none"/>
        </font>
      </dxf>
    </rfmt>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qref="F1" start="0" length="0">
      <dxf>
        <font>
          <sz val="10"/>
          <color auto="1"/>
          <name val="Arial"/>
          <scheme val="none"/>
        </font>
        <numFmt numFmtId="10" formatCode="&quot;$&quot;#,##0_);[Red]\(&quot;$&quot;#,##0\)"/>
      </dxf>
    </rfmt>
    <rfmt sheetId="7"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662" sId="7" ref="A1:XFD1" action="deleteRow">
    <rfmt sheetId="7" xfDxf="1" sqref="A1:XFD1" start="0" length="0"/>
    <rfmt sheetId="7" sqref="A1" start="0" length="0">
      <dxf>
        <font>
          <sz val="10"/>
          <color auto="1"/>
          <name val="Arial"/>
          <scheme val="none"/>
        </font>
      </dxf>
    </rfmt>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qref="F1" start="0" length="0">
      <dxf>
        <font>
          <sz val="10"/>
          <color auto="1"/>
          <name val="Arial"/>
          <scheme val="none"/>
        </font>
        <numFmt numFmtId="10" formatCode="&quot;$&quot;#,##0_);[Red]\(&quot;$&quot;#,##0\)"/>
      </dxf>
    </rfmt>
    <rfmt sheetId="7"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663" sId="7" ref="A1:XFD1" action="deleteRow">
    <rfmt sheetId="7" xfDxf="1" sqref="A1:XFD1" start="0" length="0"/>
    <rfmt sheetId="7" sqref="A1" start="0" length="0">
      <dxf>
        <font>
          <sz val="10"/>
          <color auto="1"/>
          <name val="Arial"/>
          <scheme val="none"/>
        </font>
      </dxf>
    </rfmt>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qref="F1" start="0" length="0">
      <dxf>
        <font>
          <sz val="10"/>
          <color auto="1"/>
          <name val="Arial"/>
          <scheme val="none"/>
        </font>
        <numFmt numFmtId="10" formatCode="&quot;$&quot;#,##0_);[Red]\(&quot;$&quot;#,##0\)"/>
      </dxf>
    </rfmt>
    <rfmt sheetId="7"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664" sId="7" ref="A1:XFD1" action="deleteRow">
    <rfmt sheetId="7" xfDxf="1" sqref="A1:XFD1" start="0" length="0"/>
    <rfmt sheetId="7" sqref="A1" start="0" length="0">
      <dxf>
        <font>
          <sz val="10"/>
          <color auto="1"/>
          <name val="Arial"/>
          <scheme val="none"/>
        </font>
      </dxf>
    </rfmt>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qref="F1" start="0" length="0">
      <dxf>
        <font>
          <sz val="10"/>
          <color auto="1"/>
          <name val="Arial"/>
          <scheme val="none"/>
        </font>
        <numFmt numFmtId="10" formatCode="&quot;$&quot;#,##0_);[Red]\(&quot;$&quot;#,##0\)"/>
      </dxf>
    </rfmt>
    <rfmt sheetId="7"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665" sId="7" ref="A1:XFD1" action="deleteRow">
    <rfmt sheetId="7" xfDxf="1" sqref="A1:XFD1" start="0" length="0"/>
    <rfmt sheetId="7" sqref="A1" start="0" length="0">
      <dxf>
        <font>
          <sz val="10"/>
          <color auto="1"/>
          <name val="Arial"/>
          <scheme val="none"/>
        </font>
      </dxf>
    </rfmt>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qref="F1" start="0" length="0">
      <dxf>
        <font>
          <sz val="10"/>
          <color auto="1"/>
          <name val="Arial"/>
          <scheme val="none"/>
        </font>
        <numFmt numFmtId="10" formatCode="&quot;$&quot;#,##0_);[Red]\(&quot;$&quot;#,##0\)"/>
      </dxf>
    </rfmt>
    <rfmt sheetId="7"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666" sId="7" ref="A1:XFD1" action="deleteRow">
    <rfmt sheetId="7" xfDxf="1" sqref="A1:XFD1" start="0" length="0"/>
    <rfmt sheetId="7" sqref="A1" start="0" length="0">
      <dxf>
        <font>
          <sz val="10"/>
          <color auto="1"/>
          <name val="Arial"/>
          <scheme val="none"/>
        </font>
      </dxf>
    </rfmt>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qref="F1" start="0" length="0">
      <dxf>
        <font>
          <sz val="10"/>
          <color auto="1"/>
          <name val="Arial"/>
          <scheme val="none"/>
        </font>
        <numFmt numFmtId="10" formatCode="&quot;$&quot;#,##0_);[Red]\(&quot;$&quot;#,##0\)"/>
      </dxf>
    </rfmt>
    <rfmt sheetId="7"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667" sId="7" ref="A1:XFD1" action="deleteRow">
    <rfmt sheetId="7" xfDxf="1" sqref="A1:XFD1" start="0" length="0"/>
    <rfmt sheetId="7" sqref="A1" start="0" length="0">
      <dxf>
        <font>
          <sz val="10"/>
          <color auto="1"/>
          <name val="Arial"/>
          <scheme val="none"/>
        </font>
      </dxf>
    </rfmt>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qref="F1" start="0" length="0">
      <dxf>
        <font>
          <sz val="10"/>
          <color auto="1"/>
          <name val="Arial"/>
          <scheme val="none"/>
        </font>
        <numFmt numFmtId="10" formatCode="&quot;$&quot;#,##0_);[Red]\(&quot;$&quot;#,##0\)"/>
      </dxf>
    </rfmt>
    <rfmt sheetId="7"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668" sId="7" ref="A1:XFD1" action="deleteRow">
    <rfmt sheetId="7" xfDxf="1" sqref="A1:XFD1" start="0" length="0"/>
    <rfmt sheetId="7" sqref="A1" start="0" length="0">
      <dxf>
        <font>
          <sz val="10"/>
          <color auto="1"/>
          <name val="Arial"/>
          <scheme val="none"/>
        </font>
      </dxf>
    </rfmt>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qref="F1" start="0" length="0">
      <dxf>
        <font>
          <sz val="10"/>
          <color auto="1"/>
          <name val="Arial"/>
          <scheme val="none"/>
        </font>
        <numFmt numFmtId="10" formatCode="&quot;$&quot;#,##0_);[Red]\(&quot;$&quot;#,##0\)"/>
      </dxf>
    </rfmt>
    <rfmt sheetId="7"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669" sId="7" ref="A1:XFD1" action="deleteRow">
    <rfmt sheetId="7" xfDxf="1" sqref="A1:XFD1" start="0" length="0"/>
    <rfmt sheetId="7" sqref="A1" start="0" length="0">
      <dxf>
        <font>
          <sz val="10"/>
          <color auto="1"/>
          <name val="Arial"/>
          <scheme val="none"/>
        </font>
      </dxf>
    </rfmt>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qref="F1" start="0" length="0">
      <dxf>
        <font>
          <sz val="10"/>
          <color auto="1"/>
          <name val="Arial"/>
          <scheme val="none"/>
        </font>
        <numFmt numFmtId="10" formatCode="&quot;$&quot;#,##0_);[Red]\(&quot;$&quot;#,##0\)"/>
      </dxf>
    </rfmt>
    <rfmt sheetId="7"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670" sId="7" ref="A1:XFD1" action="deleteRow">
    <rfmt sheetId="7" xfDxf="1" sqref="A1:XFD1" start="0" length="0"/>
    <rfmt sheetId="7" sqref="A1" start="0" length="0">
      <dxf>
        <font>
          <sz val="10"/>
          <color auto="1"/>
          <name val="Arial"/>
          <scheme val="none"/>
        </font>
      </dxf>
    </rfmt>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qref="F1" start="0" length="0">
      <dxf>
        <font>
          <sz val="10"/>
          <color auto="1"/>
          <name val="Arial"/>
          <scheme val="none"/>
        </font>
        <numFmt numFmtId="10" formatCode="&quot;$&quot;#,##0_);[Red]\(&quot;$&quot;#,##0\)"/>
      </dxf>
    </rfmt>
    <rfmt sheetId="7"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671" sId="7" ref="A1:XFD1" action="deleteRow">
    <rfmt sheetId="7" xfDxf="1" sqref="A1:XFD1" start="0" length="0"/>
    <rfmt sheetId="7" sqref="A1" start="0" length="0">
      <dxf>
        <font>
          <sz val="10"/>
          <color auto="1"/>
          <name val="Arial"/>
          <scheme val="none"/>
        </font>
      </dxf>
    </rfmt>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qref="F1" start="0" length="0">
      <dxf>
        <font>
          <sz val="10"/>
          <color auto="1"/>
          <name val="Arial"/>
          <scheme val="none"/>
        </font>
        <numFmt numFmtId="10" formatCode="&quot;$&quot;#,##0_);[Red]\(&quot;$&quot;#,##0\)"/>
      </dxf>
    </rfmt>
    <rfmt sheetId="7"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672" sId="7" ref="A1:XFD1" action="deleteRow">
    <rfmt sheetId="7" xfDxf="1" sqref="A1:XFD1" start="0" length="0"/>
    <rfmt sheetId="7" sqref="A1" start="0" length="0">
      <dxf>
        <font>
          <sz val="10"/>
          <color auto="1"/>
          <name val="Arial"/>
          <scheme val="none"/>
        </font>
      </dxf>
    </rfmt>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qref="F1" start="0" length="0">
      <dxf>
        <font>
          <sz val="10"/>
          <color auto="1"/>
          <name val="Arial"/>
          <scheme val="none"/>
        </font>
        <numFmt numFmtId="10" formatCode="&quot;$&quot;#,##0_);[Red]\(&quot;$&quot;#,##0\)"/>
      </dxf>
    </rfmt>
    <rfmt sheetId="7"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673" sId="7" ref="A1:XFD1" action="deleteRow">
    <rfmt sheetId="7" xfDxf="1" sqref="A1:XFD1" start="0" length="0"/>
    <rfmt sheetId="7" sqref="A1" start="0" length="0">
      <dxf>
        <font>
          <sz val="10"/>
          <color auto="1"/>
          <name val="Arial"/>
          <scheme val="none"/>
        </font>
      </dxf>
    </rfmt>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qref="F1" start="0" length="0">
      <dxf>
        <font>
          <sz val="10"/>
          <color auto="1"/>
          <name val="Arial"/>
          <scheme val="none"/>
        </font>
        <numFmt numFmtId="10" formatCode="&quot;$&quot;#,##0_);[Red]\(&quot;$&quot;#,##0\)"/>
      </dxf>
    </rfmt>
    <rfmt sheetId="7"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674" sId="7" ref="A1:XFD1" action="deleteRow">
    <rfmt sheetId="7" xfDxf="1" sqref="A1:XFD1" start="0" length="0"/>
    <rfmt sheetId="7" sqref="A1" start="0" length="0">
      <dxf>
        <font>
          <sz val="10"/>
          <color auto="1"/>
          <name val="Arial"/>
          <scheme val="none"/>
        </font>
      </dxf>
    </rfmt>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qref="F1" start="0" length="0">
      <dxf>
        <font>
          <sz val="10"/>
          <color auto="1"/>
          <name val="Arial"/>
          <scheme val="none"/>
        </font>
        <numFmt numFmtId="10" formatCode="&quot;$&quot;#,##0_);[Red]\(&quot;$&quot;#,##0\)"/>
      </dxf>
    </rfmt>
    <rfmt sheetId="7"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675" sId="7" ref="A1:XFD1" action="deleteRow">
    <rfmt sheetId="7" xfDxf="1" sqref="A1:XFD1" start="0" length="0"/>
    <rfmt sheetId="7" sqref="A1" start="0" length="0">
      <dxf>
        <font>
          <sz val="10"/>
          <color auto="1"/>
          <name val="Arial"/>
          <scheme val="none"/>
        </font>
      </dxf>
    </rfmt>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qref="F1" start="0" length="0">
      <dxf>
        <font>
          <sz val="10"/>
          <color auto="1"/>
          <name val="Arial"/>
          <scheme val="none"/>
        </font>
        <numFmt numFmtId="10" formatCode="&quot;$&quot;#,##0_);[Red]\(&quot;$&quot;#,##0\)"/>
      </dxf>
    </rfmt>
    <rfmt sheetId="7"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676" sId="7" ref="A1:XFD1" action="deleteRow">
    <rfmt sheetId="7" xfDxf="1" sqref="A1:XFD1" start="0" length="0"/>
    <rfmt sheetId="7" sqref="A1" start="0" length="0">
      <dxf>
        <font>
          <sz val="10"/>
          <color auto="1"/>
          <name val="Arial"/>
          <scheme val="none"/>
        </font>
      </dxf>
    </rfmt>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qref="F1" start="0" length="0">
      <dxf>
        <font>
          <sz val="10"/>
          <color auto="1"/>
          <name val="Arial"/>
          <scheme val="none"/>
        </font>
        <numFmt numFmtId="10" formatCode="&quot;$&quot;#,##0_);[Red]\(&quot;$&quot;#,##0\)"/>
      </dxf>
    </rfmt>
    <rfmt sheetId="7"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677" sId="7" ref="A1:XFD1" action="deleteRow">
    <rfmt sheetId="7" xfDxf="1" sqref="A1:XFD1" start="0" length="0"/>
    <rfmt sheetId="7" sqref="A1" start="0" length="0">
      <dxf>
        <font>
          <sz val="10"/>
          <color auto="1"/>
          <name val="Arial"/>
          <scheme val="none"/>
        </font>
      </dxf>
    </rfmt>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qref="F1" start="0" length="0">
      <dxf>
        <font>
          <sz val="10"/>
          <color auto="1"/>
          <name val="Arial"/>
          <scheme val="none"/>
        </font>
        <numFmt numFmtId="10" formatCode="&quot;$&quot;#,##0_);[Red]\(&quot;$&quot;#,##0\)"/>
      </dxf>
    </rfmt>
    <rfmt sheetId="7"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678" sId="7" ref="A1:XFD1" action="deleteRow">
    <rfmt sheetId="7" xfDxf="1" sqref="A1:XFD1" start="0" length="0"/>
    <rfmt sheetId="7" sqref="A1" start="0" length="0">
      <dxf>
        <font>
          <sz val="10"/>
          <color auto="1"/>
          <name val="Arial"/>
          <scheme val="none"/>
        </font>
      </dxf>
    </rfmt>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qref="F1" start="0" length="0">
      <dxf>
        <font>
          <sz val="10"/>
          <color auto="1"/>
          <name val="Arial"/>
          <scheme val="none"/>
        </font>
        <numFmt numFmtId="10" formatCode="&quot;$&quot;#,##0_);[Red]\(&quot;$&quot;#,##0\)"/>
      </dxf>
    </rfmt>
    <rfmt sheetId="7"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679" sId="7" ref="A1:XFD1" action="deleteRow">
    <rfmt sheetId="7" xfDxf="1" sqref="A1:XFD1" start="0" length="0"/>
    <rfmt sheetId="7" sqref="A1" start="0" length="0">
      <dxf>
        <font>
          <sz val="10"/>
          <color auto="1"/>
          <name val="Arial"/>
          <scheme val="none"/>
        </font>
      </dxf>
    </rfmt>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qref="F1" start="0" length="0">
      <dxf>
        <font>
          <sz val="10"/>
          <color auto="1"/>
          <name val="Arial"/>
          <scheme val="none"/>
        </font>
        <numFmt numFmtId="10" formatCode="&quot;$&quot;#,##0_);[Red]\(&quot;$&quot;#,##0\)"/>
      </dxf>
    </rfmt>
    <rfmt sheetId="7"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680" sId="7" ref="A1:XFD1" action="deleteRow">
    <rfmt sheetId="7" xfDxf="1" sqref="A1:XFD1" start="0" length="0"/>
    <rfmt sheetId="7" sqref="A1" start="0" length="0">
      <dxf>
        <font>
          <sz val="10"/>
          <color auto="1"/>
          <name val="Arial"/>
          <scheme val="none"/>
        </font>
      </dxf>
    </rfmt>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qref="F1" start="0" length="0">
      <dxf>
        <font>
          <sz val="10"/>
          <color auto="1"/>
          <name val="Arial"/>
          <scheme val="none"/>
        </font>
        <numFmt numFmtId="10" formatCode="&quot;$&quot;#,##0_);[Red]\(&quot;$&quot;#,##0\)"/>
      </dxf>
    </rfmt>
    <rfmt sheetId="7"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681" sId="7" ref="A1:XFD1" action="deleteRow">
    <rfmt sheetId="7" xfDxf="1" sqref="A1:XFD1" start="0" length="0"/>
    <rfmt sheetId="7" sqref="A1" start="0" length="0">
      <dxf>
        <font>
          <sz val="10"/>
          <color auto="1"/>
          <name val="Arial"/>
          <scheme val="none"/>
        </font>
      </dxf>
    </rfmt>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qref="F1" start="0" length="0">
      <dxf>
        <font>
          <sz val="10"/>
          <color auto="1"/>
          <name val="Arial"/>
          <scheme val="none"/>
        </font>
        <numFmt numFmtId="10" formatCode="&quot;$&quot;#,##0_);[Red]\(&quot;$&quot;#,##0\)"/>
      </dxf>
    </rfmt>
    <rfmt sheetId="7"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682" sId="7" ref="A1:XFD1" action="deleteRow">
    <rfmt sheetId="7" xfDxf="1" sqref="A1:XFD1" start="0" length="0"/>
    <rfmt sheetId="7" sqref="A1" start="0" length="0">
      <dxf>
        <font>
          <sz val="10"/>
          <color auto="1"/>
          <name val="Arial"/>
          <scheme val="none"/>
        </font>
      </dxf>
    </rfmt>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qref="F1" start="0" length="0">
      <dxf>
        <font>
          <sz val="10"/>
          <color auto="1"/>
          <name val="Arial"/>
          <scheme val="none"/>
        </font>
        <numFmt numFmtId="10" formatCode="&quot;$&quot;#,##0_);[Red]\(&quot;$&quot;#,##0\)"/>
      </dxf>
    </rfmt>
    <rfmt sheetId="7"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683" sId="7" ref="A1:XFD1" action="deleteRow">
    <rfmt sheetId="7" xfDxf="1" sqref="A1:XFD1" start="0" length="0"/>
    <rfmt sheetId="7" sqref="A1" start="0" length="0">
      <dxf>
        <font>
          <sz val="10"/>
          <color auto="1"/>
          <name val="Arial"/>
          <scheme val="none"/>
        </font>
      </dxf>
    </rfmt>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qref="F1" start="0" length="0">
      <dxf>
        <font>
          <sz val="10"/>
          <color auto="1"/>
          <name val="Arial"/>
          <scheme val="none"/>
        </font>
        <numFmt numFmtId="10" formatCode="&quot;$&quot;#,##0_);[Red]\(&quot;$&quot;#,##0\)"/>
      </dxf>
    </rfmt>
    <rfmt sheetId="7"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684" sId="7" ref="A1:XFD1" action="deleteRow">
    <rfmt sheetId="7" xfDxf="1" sqref="A1:XFD1" start="0" length="0"/>
    <rfmt sheetId="7" sqref="A1" start="0" length="0">
      <dxf>
        <font>
          <sz val="10"/>
          <color auto="1"/>
          <name val="Arial"/>
          <scheme val="none"/>
        </font>
      </dxf>
    </rfmt>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qref="F1" start="0" length="0">
      <dxf>
        <font>
          <sz val="10"/>
          <color auto="1"/>
          <name val="Arial"/>
          <scheme val="none"/>
        </font>
        <numFmt numFmtId="10" formatCode="&quot;$&quot;#,##0_);[Red]\(&quot;$&quot;#,##0\)"/>
      </dxf>
    </rfmt>
    <rfmt sheetId="7"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685" sId="7" ref="A1:XFD1" action="deleteRow">
    <rfmt sheetId="7" xfDxf="1" sqref="A1:XFD1" start="0" length="0"/>
    <rfmt sheetId="7" sqref="A1" start="0" length="0">
      <dxf>
        <font>
          <sz val="10"/>
          <color auto="1"/>
          <name val="Arial"/>
          <scheme val="none"/>
        </font>
      </dxf>
    </rfmt>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qref="F1" start="0" length="0">
      <dxf>
        <font>
          <sz val="10"/>
          <color auto="1"/>
          <name val="Arial"/>
          <scheme val="none"/>
        </font>
        <numFmt numFmtId="10" formatCode="&quot;$&quot;#,##0_);[Red]\(&quot;$&quot;#,##0\)"/>
      </dxf>
    </rfmt>
    <rfmt sheetId="7"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686" sId="7" ref="A1:XFD1" action="deleteRow">
    <rfmt sheetId="7" xfDxf="1" sqref="A1:XFD1" start="0" length="0"/>
    <rfmt sheetId="7" sqref="A1" start="0" length="0">
      <dxf>
        <font>
          <sz val="10"/>
          <color auto="1"/>
          <name val="Arial"/>
          <scheme val="none"/>
        </font>
      </dxf>
    </rfmt>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qref="F1" start="0" length="0">
      <dxf>
        <font>
          <sz val="10"/>
          <color auto="1"/>
          <name val="Arial"/>
          <scheme val="none"/>
        </font>
        <numFmt numFmtId="10" formatCode="&quot;$&quot;#,##0_);[Red]\(&quot;$&quot;#,##0\)"/>
      </dxf>
    </rfmt>
    <rfmt sheetId="7"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687" sId="7" ref="A1:XFD1" action="deleteRow">
    <rfmt sheetId="7" xfDxf="1" sqref="A1:XFD1" start="0" length="0"/>
    <rfmt sheetId="7" sqref="A1" start="0" length="0">
      <dxf>
        <font>
          <sz val="10"/>
          <color auto="1"/>
          <name val="Arial"/>
          <scheme val="none"/>
        </font>
      </dxf>
    </rfmt>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qref="F1" start="0" length="0">
      <dxf>
        <font>
          <sz val="10"/>
          <color auto="1"/>
          <name val="Arial"/>
          <scheme val="none"/>
        </font>
        <numFmt numFmtId="10" formatCode="&quot;$&quot;#,##0_);[Red]\(&quot;$&quot;#,##0\)"/>
      </dxf>
    </rfmt>
    <rfmt sheetId="7"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688" sId="7" ref="A1:XFD1" action="deleteRow">
    <rfmt sheetId="7" xfDxf="1" sqref="A1:XFD1" start="0" length="0"/>
    <rfmt sheetId="7" sqref="A1" start="0" length="0">
      <dxf>
        <font>
          <sz val="10"/>
          <color auto="1"/>
          <name val="Arial"/>
          <scheme val="none"/>
        </font>
      </dxf>
    </rfmt>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qref="F1" start="0" length="0">
      <dxf>
        <font>
          <sz val="10"/>
          <color auto="1"/>
          <name val="Arial"/>
          <scheme val="none"/>
        </font>
        <numFmt numFmtId="10" formatCode="&quot;$&quot;#,##0_);[Red]\(&quot;$&quot;#,##0\)"/>
      </dxf>
    </rfmt>
    <rfmt sheetId="7"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689" sId="7" ref="A1:XFD1" action="deleteRow">
    <rfmt sheetId="7" xfDxf="1" sqref="A1:XFD1" start="0" length="0"/>
    <rfmt sheetId="7" sqref="A1" start="0" length="0">
      <dxf>
        <font>
          <sz val="10"/>
          <color auto="1"/>
          <name val="Arial"/>
          <scheme val="none"/>
        </font>
      </dxf>
    </rfmt>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qref="F1" start="0" length="0">
      <dxf>
        <font>
          <sz val="10"/>
          <color auto="1"/>
          <name val="Arial"/>
          <scheme val="none"/>
        </font>
        <numFmt numFmtId="10" formatCode="&quot;$&quot;#,##0_);[Red]\(&quot;$&quot;#,##0\)"/>
      </dxf>
    </rfmt>
    <rfmt sheetId="7"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690" sId="7" ref="A1:XFD1" action="deleteRow">
    <rfmt sheetId="7" xfDxf="1" sqref="A1:XFD1" start="0" length="0"/>
    <rfmt sheetId="7" sqref="A1" start="0" length="0">
      <dxf>
        <font>
          <sz val="10"/>
          <color auto="1"/>
          <name val="Arial"/>
          <scheme val="none"/>
        </font>
      </dxf>
    </rfmt>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qref="F1" start="0" length="0">
      <dxf>
        <font>
          <sz val="10"/>
          <color auto="1"/>
          <name val="Arial"/>
          <scheme val="none"/>
        </font>
        <numFmt numFmtId="10" formatCode="&quot;$&quot;#,##0_);[Red]\(&quot;$&quot;#,##0\)"/>
      </dxf>
    </rfmt>
    <rfmt sheetId="7"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691" sId="7" ref="A1:XFD1" action="deleteRow">
    <rfmt sheetId="7" xfDxf="1" sqref="A1:XFD1" start="0" length="0"/>
    <rfmt sheetId="7" sqref="A1" start="0" length="0">
      <dxf>
        <font>
          <sz val="10"/>
          <color auto="1"/>
          <name val="Arial"/>
          <scheme val="none"/>
        </font>
      </dxf>
    </rfmt>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qref="F1" start="0" length="0">
      <dxf>
        <font>
          <sz val="10"/>
          <color auto="1"/>
          <name val="Arial"/>
          <scheme val="none"/>
        </font>
        <numFmt numFmtId="10" formatCode="&quot;$&quot;#,##0_);[Red]\(&quot;$&quot;#,##0\)"/>
      </dxf>
    </rfmt>
    <rfmt sheetId="7"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692" sId="7" ref="A1:XFD1" action="deleteRow">
    <rfmt sheetId="7" xfDxf="1" sqref="A1:XFD1" start="0" length="0"/>
    <rfmt sheetId="7" sqref="A1" start="0" length="0">
      <dxf>
        <font>
          <sz val="10"/>
          <color auto="1"/>
          <name val="Arial"/>
          <scheme val="none"/>
        </font>
      </dxf>
    </rfmt>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qref="F1" start="0" length="0">
      <dxf>
        <font>
          <sz val="10"/>
          <color auto="1"/>
          <name val="Arial"/>
          <scheme val="none"/>
        </font>
        <numFmt numFmtId="10" formatCode="&quot;$&quot;#,##0_);[Red]\(&quot;$&quot;#,##0\)"/>
      </dxf>
    </rfmt>
    <rfmt sheetId="7"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693" sId="7" ref="A1:XFD1" action="deleteRow">
    <rfmt sheetId="7" xfDxf="1" sqref="A1:XFD1" start="0" length="0"/>
    <rfmt sheetId="7" sqref="A1" start="0" length="0">
      <dxf>
        <font>
          <sz val="10"/>
          <color auto="1"/>
          <name val="Arial"/>
          <scheme val="none"/>
        </font>
      </dxf>
    </rfmt>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qref="F1" start="0" length="0">
      <dxf>
        <font>
          <sz val="10"/>
          <color auto="1"/>
          <name val="Arial"/>
          <scheme val="none"/>
        </font>
        <numFmt numFmtId="10" formatCode="&quot;$&quot;#,##0_);[Red]\(&quot;$&quot;#,##0\)"/>
      </dxf>
    </rfmt>
    <rfmt sheetId="7"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694" sId="7" ref="A1:XFD1" action="deleteRow">
    <rfmt sheetId="7" xfDxf="1" sqref="A1:XFD1" start="0" length="0"/>
    <rfmt sheetId="7" sqref="A1" start="0" length="0">
      <dxf>
        <font>
          <sz val="10"/>
          <color auto="1"/>
          <name val="Arial"/>
          <scheme val="none"/>
        </font>
      </dxf>
    </rfmt>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qref="F1" start="0" length="0">
      <dxf>
        <font>
          <sz val="10"/>
          <color auto="1"/>
          <name val="Arial"/>
          <scheme val="none"/>
        </font>
        <numFmt numFmtId="10" formatCode="&quot;$&quot;#,##0_);[Red]\(&quot;$&quot;#,##0\)"/>
      </dxf>
    </rfmt>
    <rfmt sheetId="7"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695" sId="7" ref="A1:XFD1" action="deleteRow">
    <rfmt sheetId="7" xfDxf="1" sqref="A1:XFD1" start="0" length="0"/>
    <rfmt sheetId="7" sqref="A1" start="0" length="0">
      <dxf>
        <font>
          <sz val="10"/>
          <color auto="1"/>
          <name val="Arial"/>
          <scheme val="none"/>
        </font>
      </dxf>
    </rfmt>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qref="F1" start="0" length="0">
      <dxf>
        <font>
          <sz val="10"/>
          <color auto="1"/>
          <name val="Arial"/>
          <scheme val="none"/>
        </font>
        <numFmt numFmtId="10" formatCode="&quot;$&quot;#,##0_);[Red]\(&quot;$&quot;#,##0\)"/>
      </dxf>
    </rfmt>
    <rfmt sheetId="7"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696" sId="7" ref="A1:XFD1" action="deleteRow">
    <rfmt sheetId="7" xfDxf="1" sqref="A1:XFD1" start="0" length="0"/>
    <rfmt sheetId="7" sqref="A1" start="0" length="0">
      <dxf>
        <font>
          <sz val="10"/>
          <color auto="1"/>
          <name val="Arial"/>
          <scheme val="none"/>
        </font>
      </dxf>
    </rfmt>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qref="F1" start="0" length="0">
      <dxf>
        <font>
          <sz val="10"/>
          <color auto="1"/>
          <name val="Arial"/>
          <scheme val="none"/>
        </font>
        <numFmt numFmtId="10" formatCode="&quot;$&quot;#,##0_);[Red]\(&quot;$&quot;#,##0\)"/>
      </dxf>
    </rfmt>
    <rfmt sheetId="7"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697" sId="7" ref="A1:XFD1" action="deleteRow">
    <rfmt sheetId="7" xfDxf="1" sqref="A1:XFD1" start="0" length="0"/>
    <rfmt sheetId="7" sqref="A1" start="0" length="0">
      <dxf>
        <font>
          <sz val="10"/>
          <color auto="1"/>
          <name val="Arial"/>
          <scheme val="none"/>
        </font>
      </dxf>
    </rfmt>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qref="F1" start="0" length="0">
      <dxf>
        <font>
          <sz val="10"/>
          <color auto="1"/>
          <name val="Arial"/>
          <scheme val="none"/>
        </font>
        <numFmt numFmtId="10" formatCode="&quot;$&quot;#,##0_);[Red]\(&quot;$&quot;#,##0\)"/>
      </dxf>
    </rfmt>
    <rfmt sheetId="7"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698" sId="7" ref="A1:XFD1" action="deleteRow">
    <rfmt sheetId="7" xfDxf="1" sqref="A1:XFD1" start="0" length="0"/>
    <rfmt sheetId="7" sqref="A1" start="0" length="0">
      <dxf>
        <font>
          <sz val="10"/>
          <color auto="1"/>
          <name val="Arial"/>
          <scheme val="none"/>
        </font>
      </dxf>
    </rfmt>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qref="F1" start="0" length="0">
      <dxf>
        <font>
          <sz val="10"/>
          <color auto="1"/>
          <name val="Arial"/>
          <scheme val="none"/>
        </font>
        <numFmt numFmtId="10" formatCode="&quot;$&quot;#,##0_);[Red]\(&quot;$&quot;#,##0\)"/>
      </dxf>
    </rfmt>
    <rfmt sheetId="7"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699" sId="7" ref="A1:XFD1" action="deleteRow">
    <rfmt sheetId="7" xfDxf="1" sqref="A1:XFD1" start="0" length="0"/>
    <rfmt sheetId="7" sqref="A1" start="0" length="0">
      <dxf>
        <font>
          <sz val="10"/>
          <color auto="1"/>
          <name val="Arial"/>
          <scheme val="none"/>
        </font>
      </dxf>
    </rfmt>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qref="F1" start="0" length="0">
      <dxf>
        <font>
          <sz val="10"/>
          <color auto="1"/>
          <name val="Arial"/>
          <scheme val="none"/>
        </font>
        <numFmt numFmtId="10" formatCode="&quot;$&quot;#,##0_);[Red]\(&quot;$&quot;#,##0\)"/>
      </dxf>
    </rfmt>
    <rfmt sheetId="7"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700" sId="7" ref="A1:XFD1" action="deleteRow">
    <rfmt sheetId="7" xfDxf="1" sqref="A1:XFD1" start="0" length="0"/>
    <rfmt sheetId="7" sqref="A1" start="0" length="0">
      <dxf>
        <font>
          <sz val="10"/>
          <color auto="1"/>
          <name val="Arial"/>
          <scheme val="none"/>
        </font>
      </dxf>
    </rfmt>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qref="F1" start="0" length="0">
      <dxf>
        <font>
          <sz val="10"/>
          <color auto="1"/>
          <name val="Arial"/>
          <scheme val="none"/>
        </font>
        <numFmt numFmtId="10" formatCode="&quot;$&quot;#,##0_);[Red]\(&quot;$&quot;#,##0\)"/>
      </dxf>
    </rfmt>
    <rfmt sheetId="7"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701" sId="7" ref="A1:XFD1" action="deleteRow">
    <rfmt sheetId="7" xfDxf="1" sqref="A1:XFD1" start="0" length="0"/>
    <rfmt sheetId="7" sqref="A1" start="0" length="0">
      <dxf>
        <font>
          <sz val="10"/>
          <color auto="1"/>
          <name val="Arial"/>
          <scheme val="none"/>
        </font>
      </dxf>
    </rfmt>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qref="F1" start="0" length="0">
      <dxf>
        <font>
          <sz val="10"/>
          <color auto="1"/>
          <name val="Arial"/>
          <scheme val="none"/>
        </font>
        <numFmt numFmtId="10" formatCode="&quot;$&quot;#,##0_);[Red]\(&quot;$&quot;#,##0\)"/>
      </dxf>
    </rfmt>
    <rfmt sheetId="7"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702" sId="7" ref="A1:XFD1" action="deleteRow">
    <rfmt sheetId="7" xfDxf="1" sqref="A1:XFD1" start="0" length="0"/>
    <rfmt sheetId="7" sqref="A1" start="0" length="0">
      <dxf>
        <font>
          <sz val="10"/>
          <color auto="1"/>
          <name val="Arial"/>
          <scheme val="none"/>
        </font>
      </dxf>
    </rfmt>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qref="F1" start="0" length="0">
      <dxf>
        <font>
          <sz val="10"/>
          <color auto="1"/>
          <name val="Arial"/>
          <scheme val="none"/>
        </font>
        <numFmt numFmtId="10" formatCode="&quot;$&quot;#,##0_);[Red]\(&quot;$&quot;#,##0\)"/>
      </dxf>
    </rfmt>
    <rfmt sheetId="7"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703" sId="7" ref="A1:XFD1" action="deleteRow">
    <rfmt sheetId="7" xfDxf="1" sqref="A1:XFD1" start="0" length="0"/>
    <rfmt sheetId="7" sqref="A1" start="0" length="0">
      <dxf>
        <font>
          <sz val="10"/>
          <color auto="1"/>
          <name val="Arial"/>
          <scheme val="none"/>
        </font>
      </dxf>
    </rfmt>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qref="F1" start="0" length="0">
      <dxf>
        <font>
          <sz val="10"/>
          <color auto="1"/>
          <name val="Arial"/>
          <scheme val="none"/>
        </font>
        <numFmt numFmtId="10" formatCode="&quot;$&quot;#,##0_);[Red]\(&quot;$&quot;#,##0\)"/>
      </dxf>
    </rfmt>
    <rfmt sheetId="7"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704" sId="7" ref="A1:XFD1" action="deleteRow">
    <rfmt sheetId="7" xfDxf="1" sqref="A1:XFD1" start="0" length="0"/>
    <rfmt sheetId="7" sqref="A1" start="0" length="0">
      <dxf>
        <font>
          <sz val="10"/>
          <color auto="1"/>
          <name val="Arial"/>
          <scheme val="none"/>
        </font>
      </dxf>
    </rfmt>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qref="F1" start="0" length="0">
      <dxf>
        <font>
          <sz val="10"/>
          <color auto="1"/>
          <name val="Arial"/>
          <scheme val="none"/>
        </font>
        <numFmt numFmtId="10" formatCode="&quot;$&quot;#,##0_);[Red]\(&quot;$&quot;#,##0\)"/>
      </dxf>
    </rfmt>
    <rfmt sheetId="7"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705" sId="7" ref="A1:XFD1" action="deleteRow">
    <rfmt sheetId="7" xfDxf="1" sqref="A1:XFD1" start="0" length="0"/>
    <rfmt sheetId="7" sqref="A1" start="0" length="0">
      <dxf>
        <font>
          <sz val="10"/>
          <color auto="1"/>
          <name val="Arial"/>
          <scheme val="none"/>
        </font>
      </dxf>
    </rfmt>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qref="F1" start="0" length="0">
      <dxf>
        <font>
          <sz val="10"/>
          <color auto="1"/>
          <name val="Arial"/>
          <scheme val="none"/>
        </font>
        <numFmt numFmtId="10" formatCode="&quot;$&quot;#,##0_);[Red]\(&quot;$&quot;#,##0\)"/>
      </dxf>
    </rfmt>
    <rfmt sheetId="7"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706" sId="7" ref="A1:XFD1" action="deleteRow">
    <rfmt sheetId="7" xfDxf="1" sqref="A1:XFD1" start="0" length="0"/>
    <rfmt sheetId="7" sqref="A1" start="0" length="0">
      <dxf>
        <font>
          <sz val="10"/>
          <color auto="1"/>
          <name val="Arial"/>
          <scheme val="none"/>
        </font>
      </dxf>
    </rfmt>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qref="F1" start="0" length="0">
      <dxf>
        <font>
          <sz val="10"/>
          <color auto="1"/>
          <name val="Arial"/>
          <scheme val="none"/>
        </font>
        <numFmt numFmtId="10" formatCode="&quot;$&quot;#,##0_);[Red]\(&quot;$&quot;#,##0\)"/>
      </dxf>
    </rfmt>
    <rfmt sheetId="7"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707" sId="7" ref="A1:XFD1" action="deleteRow">
    <rfmt sheetId="7" xfDxf="1" sqref="A1:XFD1" start="0" length="0"/>
    <rfmt sheetId="7" sqref="A1" start="0" length="0">
      <dxf>
        <font>
          <sz val="10"/>
          <color auto="1"/>
          <name val="Arial"/>
          <scheme val="none"/>
        </font>
      </dxf>
    </rfmt>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qref="F1" start="0" length="0">
      <dxf>
        <font>
          <sz val="10"/>
          <color auto="1"/>
          <name val="Arial"/>
          <scheme val="none"/>
        </font>
        <numFmt numFmtId="10" formatCode="&quot;$&quot;#,##0_);[Red]\(&quot;$&quot;#,##0\)"/>
      </dxf>
    </rfmt>
    <rfmt sheetId="7"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708" sId="7" ref="A1:XFD1" action="deleteRow">
    <rfmt sheetId="7" xfDxf="1" sqref="A1:XFD1" start="0" length="0"/>
    <rfmt sheetId="7" sqref="A1" start="0" length="0">
      <dxf>
        <font>
          <sz val="10"/>
          <color auto="1"/>
          <name val="Arial"/>
          <scheme val="none"/>
        </font>
      </dxf>
    </rfmt>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qref="F1" start="0" length="0">
      <dxf>
        <font>
          <sz val="10"/>
          <color auto="1"/>
          <name val="Arial"/>
          <scheme val="none"/>
        </font>
        <numFmt numFmtId="10" formatCode="&quot;$&quot;#,##0_);[Red]\(&quot;$&quot;#,##0\)"/>
      </dxf>
    </rfmt>
    <rfmt sheetId="7"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709" sId="7" ref="A1:XFD1" action="deleteRow">
    <rfmt sheetId="7" xfDxf="1" sqref="A1:XFD1" start="0" length="0"/>
    <rfmt sheetId="7" sqref="A1" start="0" length="0">
      <dxf>
        <font>
          <sz val="10"/>
          <color auto="1"/>
          <name val="Arial"/>
          <scheme val="none"/>
        </font>
      </dxf>
    </rfmt>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qref="F1" start="0" length="0">
      <dxf>
        <font>
          <sz val="10"/>
          <color auto="1"/>
          <name val="Arial"/>
          <scheme val="none"/>
        </font>
        <numFmt numFmtId="10" formatCode="&quot;$&quot;#,##0_);[Red]\(&quot;$&quot;#,##0\)"/>
      </dxf>
    </rfmt>
    <rfmt sheetId="7"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710" sId="7" ref="A1:XFD1" action="deleteRow">
    <rfmt sheetId="7" xfDxf="1" sqref="A1:XFD1" start="0" length="0"/>
    <rfmt sheetId="7" sqref="A1" start="0" length="0">
      <dxf>
        <font>
          <sz val="10"/>
          <color auto="1"/>
          <name val="Arial"/>
          <scheme val="none"/>
        </font>
      </dxf>
    </rfmt>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qref="F1" start="0" length="0">
      <dxf>
        <font>
          <sz val="10"/>
          <color auto="1"/>
          <name val="Arial"/>
          <scheme val="none"/>
        </font>
        <numFmt numFmtId="10" formatCode="&quot;$&quot;#,##0_);[Red]\(&quot;$&quot;#,##0\)"/>
      </dxf>
    </rfmt>
    <rfmt sheetId="7"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711" sId="7" ref="A1:XFD1" action="deleteRow">
    <rfmt sheetId="7" xfDxf="1" sqref="A1:XFD1" start="0" length="0"/>
    <rfmt sheetId="7" sqref="A1" start="0" length="0">
      <dxf>
        <font>
          <sz val="10"/>
          <color auto="1"/>
          <name val="Arial"/>
          <scheme val="none"/>
        </font>
      </dxf>
    </rfmt>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qref="F1" start="0" length="0">
      <dxf>
        <font>
          <sz val="10"/>
          <color auto="1"/>
          <name val="Arial"/>
          <scheme val="none"/>
        </font>
        <numFmt numFmtId="10" formatCode="&quot;$&quot;#,##0_);[Red]\(&quot;$&quot;#,##0\)"/>
      </dxf>
    </rfmt>
    <rfmt sheetId="7"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712" sId="7" ref="A1:XFD1" action="deleteRow">
    <rfmt sheetId="7" xfDxf="1" sqref="A1:XFD1" start="0" length="0"/>
    <rfmt sheetId="7" sqref="A1" start="0" length="0">
      <dxf>
        <font>
          <sz val="10"/>
          <color auto="1"/>
          <name val="Arial"/>
          <scheme val="none"/>
        </font>
      </dxf>
    </rfmt>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qref="F1" start="0" length="0">
      <dxf>
        <font>
          <sz val="10"/>
          <color auto="1"/>
          <name val="Arial"/>
          <scheme val="none"/>
        </font>
        <numFmt numFmtId="10" formatCode="&quot;$&quot;#,##0_);[Red]\(&quot;$&quot;#,##0\)"/>
      </dxf>
    </rfmt>
    <rfmt sheetId="7"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713" sId="7" ref="A1:XFD1" action="deleteRow">
    <rfmt sheetId="7" xfDxf="1" sqref="A1:XFD1" start="0" length="0"/>
    <rfmt sheetId="7" sqref="A1" start="0" length="0">
      <dxf>
        <font>
          <sz val="10"/>
          <color auto="1"/>
          <name val="Arial"/>
          <scheme val="none"/>
        </font>
      </dxf>
    </rfmt>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qref="F1" start="0" length="0">
      <dxf>
        <font>
          <sz val="10"/>
          <color auto="1"/>
          <name val="Arial"/>
          <scheme val="none"/>
        </font>
        <numFmt numFmtId="10" formatCode="&quot;$&quot;#,##0_);[Red]\(&quot;$&quot;#,##0\)"/>
      </dxf>
    </rfmt>
    <rfmt sheetId="7"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714" sId="7" ref="A1:XFD1" action="deleteRow">
    <rfmt sheetId="7" xfDxf="1" sqref="A1:XFD1" start="0" length="0"/>
    <rfmt sheetId="7" sqref="A1" start="0" length="0">
      <dxf>
        <font>
          <sz val="10"/>
          <color auto="1"/>
          <name val="Arial"/>
          <scheme val="none"/>
        </font>
      </dxf>
    </rfmt>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qref="F1" start="0" length="0">
      <dxf>
        <font>
          <sz val="10"/>
          <color auto="1"/>
          <name val="Arial"/>
          <scheme val="none"/>
        </font>
        <numFmt numFmtId="10" formatCode="&quot;$&quot;#,##0_);[Red]\(&quot;$&quot;#,##0\)"/>
      </dxf>
    </rfmt>
    <rfmt sheetId="7"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715" sId="7" ref="A1:XFD1" action="deleteRow">
    <rfmt sheetId="7" xfDxf="1" sqref="A1:XFD1" start="0" length="0"/>
    <rfmt sheetId="7" sqref="A1" start="0" length="0">
      <dxf>
        <font>
          <sz val="10"/>
          <color auto="1"/>
          <name val="Arial"/>
          <scheme val="none"/>
        </font>
      </dxf>
    </rfmt>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qref="F1" start="0" length="0">
      <dxf>
        <font>
          <sz val="10"/>
          <color auto="1"/>
          <name val="Arial"/>
          <scheme val="none"/>
        </font>
        <numFmt numFmtId="10" formatCode="&quot;$&quot;#,##0_);[Red]\(&quot;$&quot;#,##0\)"/>
      </dxf>
    </rfmt>
    <rfmt sheetId="7"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716" sId="7" ref="A1:XFD1" action="deleteRow">
    <rfmt sheetId="7" xfDxf="1" sqref="A1:XFD1" start="0" length="0"/>
    <rfmt sheetId="7" sqref="A1" start="0" length="0">
      <dxf>
        <font>
          <sz val="10"/>
          <color auto="1"/>
          <name val="Arial"/>
          <scheme val="none"/>
        </font>
      </dxf>
    </rfmt>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qref="F1" start="0" length="0">
      <dxf>
        <font>
          <sz val="10"/>
          <color auto="1"/>
          <name val="Arial"/>
          <scheme val="none"/>
        </font>
        <numFmt numFmtId="10" formatCode="&quot;$&quot;#,##0_);[Red]\(&quot;$&quot;#,##0\)"/>
      </dxf>
    </rfmt>
    <rfmt sheetId="7"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717" sId="7" ref="A1:XFD1" action="deleteRow">
    <rfmt sheetId="7" xfDxf="1" sqref="A1:XFD1" start="0" length="0"/>
    <rfmt sheetId="7" sqref="A1" start="0" length="0">
      <dxf>
        <font>
          <sz val="10"/>
          <color auto="1"/>
          <name val="Arial"/>
          <scheme val="none"/>
        </font>
      </dxf>
    </rfmt>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qref="F1" start="0" length="0">
      <dxf>
        <font>
          <sz val="10"/>
          <color auto="1"/>
          <name val="Arial"/>
          <scheme val="none"/>
        </font>
        <numFmt numFmtId="10" formatCode="&quot;$&quot;#,##0_);[Red]\(&quot;$&quot;#,##0\)"/>
      </dxf>
    </rfmt>
    <rfmt sheetId="7"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718" sId="7" ref="A1:XFD1" action="deleteRow">
    <rfmt sheetId="7" xfDxf="1" sqref="A1:XFD1" start="0" length="0"/>
    <rfmt sheetId="7" sqref="A1" start="0" length="0">
      <dxf>
        <font>
          <sz val="10"/>
          <color auto="1"/>
          <name val="Arial"/>
          <scheme val="none"/>
        </font>
      </dxf>
    </rfmt>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qref="F1" start="0" length="0">
      <dxf>
        <font>
          <sz val="10"/>
          <color auto="1"/>
          <name val="Arial"/>
          <scheme val="none"/>
        </font>
        <numFmt numFmtId="10" formatCode="&quot;$&quot;#,##0_);[Red]\(&quot;$&quot;#,##0\)"/>
      </dxf>
    </rfmt>
    <rfmt sheetId="7"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719" sId="7" ref="A1:XFD1" action="deleteRow">
    <rfmt sheetId="7" xfDxf="1" sqref="A1:XFD1" start="0" length="0"/>
    <rfmt sheetId="7" sqref="A1" start="0" length="0">
      <dxf>
        <font>
          <sz val="10"/>
          <color auto="1"/>
          <name val="Arial"/>
          <scheme val="none"/>
        </font>
      </dxf>
    </rfmt>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qref="F1" start="0" length="0">
      <dxf>
        <font>
          <sz val="10"/>
          <color auto="1"/>
          <name val="Arial"/>
          <scheme val="none"/>
        </font>
        <numFmt numFmtId="10" formatCode="&quot;$&quot;#,##0_);[Red]\(&quot;$&quot;#,##0\)"/>
      </dxf>
    </rfmt>
    <rfmt sheetId="7"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720" sId="7" ref="A1:XFD1" action="deleteRow">
    <rfmt sheetId="7" xfDxf="1" sqref="A1:XFD1" start="0" length="0"/>
    <rfmt sheetId="7" sqref="A1" start="0" length="0">
      <dxf>
        <font>
          <sz val="10"/>
          <color auto="1"/>
          <name val="Arial"/>
          <scheme val="none"/>
        </font>
      </dxf>
    </rfmt>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qref="F1" start="0" length="0">
      <dxf>
        <font>
          <sz val="10"/>
          <color auto="1"/>
          <name val="Arial"/>
          <scheme val="none"/>
        </font>
        <numFmt numFmtId="10" formatCode="&quot;$&quot;#,##0_);[Red]\(&quot;$&quot;#,##0\)"/>
      </dxf>
    </rfmt>
    <rfmt sheetId="7"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721" sId="7" ref="A1:XFD1" action="deleteRow">
    <rfmt sheetId="7" xfDxf="1" sqref="A1:XFD1" start="0" length="0"/>
    <rfmt sheetId="7" sqref="A1" start="0" length="0">
      <dxf>
        <font>
          <sz val="10"/>
          <color auto="1"/>
          <name val="Arial"/>
          <scheme val="none"/>
        </font>
      </dxf>
    </rfmt>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qref="F1" start="0" length="0">
      <dxf>
        <font>
          <sz val="10"/>
          <color auto="1"/>
          <name val="Arial"/>
          <scheme val="none"/>
        </font>
        <numFmt numFmtId="10" formatCode="&quot;$&quot;#,##0_);[Red]\(&quot;$&quot;#,##0\)"/>
      </dxf>
    </rfmt>
    <rfmt sheetId="7"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722" sId="7" ref="A1:XFD1" action="deleteRow">
    <rfmt sheetId="7" xfDxf="1" sqref="A1:XFD1" start="0" length="0"/>
    <rfmt sheetId="7" sqref="A1" start="0" length="0">
      <dxf>
        <font>
          <sz val="10"/>
          <color auto="1"/>
          <name val="Arial"/>
          <scheme val="none"/>
        </font>
      </dxf>
    </rfmt>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qref="F1" start="0" length="0">
      <dxf>
        <font>
          <sz val="10"/>
          <color auto="1"/>
          <name val="Arial"/>
          <scheme val="none"/>
        </font>
        <numFmt numFmtId="10" formatCode="&quot;$&quot;#,##0_);[Red]\(&quot;$&quot;#,##0\)"/>
      </dxf>
    </rfmt>
    <rfmt sheetId="7"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723" sId="7" ref="A1:XFD1" action="deleteRow">
    <rfmt sheetId="7" xfDxf="1" sqref="A1:XFD1" start="0" length="0"/>
    <rfmt sheetId="7" sqref="A1" start="0" length="0">
      <dxf>
        <font>
          <sz val="10"/>
          <color auto="1"/>
          <name val="Arial"/>
          <scheme val="none"/>
        </font>
      </dxf>
    </rfmt>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qref="F1" start="0" length="0">
      <dxf>
        <font>
          <sz val="10"/>
          <color auto="1"/>
          <name val="Arial"/>
          <scheme val="none"/>
        </font>
        <numFmt numFmtId="10" formatCode="&quot;$&quot;#,##0_);[Red]\(&quot;$&quot;#,##0\)"/>
      </dxf>
    </rfmt>
    <rfmt sheetId="7"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724" sId="7" ref="A1:XFD1" action="deleteRow">
    <rfmt sheetId="7" xfDxf="1" sqref="A1:XFD1" start="0" length="0"/>
    <rfmt sheetId="7" sqref="A1" start="0" length="0">
      <dxf>
        <font>
          <sz val="10"/>
          <color auto="1"/>
          <name val="Arial"/>
          <scheme val="none"/>
        </font>
      </dxf>
    </rfmt>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qref="F1" start="0" length="0">
      <dxf>
        <font>
          <sz val="10"/>
          <color auto="1"/>
          <name val="Arial"/>
          <scheme val="none"/>
        </font>
        <numFmt numFmtId="10" formatCode="&quot;$&quot;#,##0_);[Red]\(&quot;$&quot;#,##0\)"/>
      </dxf>
    </rfmt>
    <rfmt sheetId="7"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725" sId="7" ref="A1:XFD1" action="deleteRow">
    <rfmt sheetId="7" xfDxf="1" sqref="A1:XFD1" start="0" length="0"/>
    <rfmt sheetId="7" sqref="A1" start="0" length="0">
      <dxf>
        <font>
          <sz val="10"/>
          <color auto="1"/>
          <name val="Arial"/>
          <scheme val="none"/>
        </font>
      </dxf>
    </rfmt>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qref="F1" start="0" length="0">
      <dxf>
        <font>
          <sz val="10"/>
          <color auto="1"/>
          <name val="Arial"/>
          <scheme val="none"/>
        </font>
        <numFmt numFmtId="10" formatCode="&quot;$&quot;#,##0_);[Red]\(&quot;$&quot;#,##0\)"/>
      </dxf>
    </rfmt>
    <rfmt sheetId="7"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726" sId="7" ref="A1:XFD1" action="deleteRow">
    <rfmt sheetId="7" xfDxf="1" sqref="A1:XFD1" start="0" length="0"/>
    <rfmt sheetId="7" sqref="A1" start="0" length="0">
      <dxf>
        <font>
          <sz val="10"/>
          <color auto="1"/>
          <name val="Arial"/>
          <scheme val="none"/>
        </font>
      </dxf>
    </rfmt>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qref="F1" start="0" length="0">
      <dxf>
        <font>
          <sz val="10"/>
          <color auto="1"/>
          <name val="Arial"/>
          <scheme val="none"/>
        </font>
        <numFmt numFmtId="10" formatCode="&quot;$&quot;#,##0_);[Red]\(&quot;$&quot;#,##0\)"/>
      </dxf>
    </rfmt>
    <rfmt sheetId="7"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727" sId="7" ref="A1:XFD1" action="deleteRow">
    <rfmt sheetId="7" xfDxf="1" sqref="A1:XFD1" start="0" length="0"/>
    <rfmt sheetId="7" sqref="A1" start="0" length="0">
      <dxf>
        <font>
          <sz val="10"/>
          <color auto="1"/>
          <name val="Arial"/>
          <scheme val="none"/>
        </font>
      </dxf>
    </rfmt>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qref="F1" start="0" length="0">
      <dxf>
        <font>
          <sz val="10"/>
          <color auto="1"/>
          <name val="Arial"/>
          <scheme val="none"/>
        </font>
        <numFmt numFmtId="10" formatCode="&quot;$&quot;#,##0_);[Red]\(&quot;$&quot;#,##0\)"/>
      </dxf>
    </rfmt>
    <rfmt sheetId="7"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728" sId="7" ref="A1:XFD1" action="deleteRow">
    <rfmt sheetId="7" xfDxf="1" sqref="A1:XFD1" start="0" length="0"/>
    <rfmt sheetId="7" sqref="A1" start="0" length="0">
      <dxf>
        <font>
          <sz val="10"/>
          <color auto="1"/>
          <name val="Arial"/>
          <scheme val="none"/>
        </font>
      </dxf>
    </rfmt>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qref="F1" start="0" length="0">
      <dxf>
        <font>
          <sz val="10"/>
          <color auto="1"/>
          <name val="Arial"/>
          <scheme val="none"/>
        </font>
        <numFmt numFmtId="10" formatCode="&quot;$&quot;#,##0_);[Red]\(&quot;$&quot;#,##0\)"/>
      </dxf>
    </rfmt>
    <rfmt sheetId="7"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729" sId="7" ref="A1:XFD1" action="deleteRow">
    <rfmt sheetId="7" xfDxf="1" sqref="A1:XFD1" start="0" length="0"/>
    <rfmt sheetId="7" sqref="A1" start="0" length="0">
      <dxf>
        <font>
          <sz val="10"/>
          <color auto="1"/>
          <name val="Arial"/>
          <scheme val="none"/>
        </font>
      </dxf>
    </rfmt>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qref="F1" start="0" length="0">
      <dxf>
        <font>
          <sz val="10"/>
          <color auto="1"/>
          <name val="Arial"/>
          <scheme val="none"/>
        </font>
        <numFmt numFmtId="10" formatCode="&quot;$&quot;#,##0_);[Red]\(&quot;$&quot;#,##0\)"/>
      </dxf>
    </rfmt>
    <rfmt sheetId="7"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730" sId="7" ref="A1:XFD1" action="deleteRow">
    <rfmt sheetId="7" xfDxf="1" sqref="A1:XFD1" start="0" length="0"/>
    <rfmt sheetId="7" sqref="A1" start="0" length="0">
      <dxf>
        <font>
          <sz val="10"/>
          <color auto="1"/>
          <name val="Arial"/>
          <scheme val="none"/>
        </font>
      </dxf>
    </rfmt>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qref="F1" start="0" length="0">
      <dxf>
        <font>
          <sz val="10"/>
          <color auto="1"/>
          <name val="Arial"/>
          <scheme val="none"/>
        </font>
        <numFmt numFmtId="10" formatCode="&quot;$&quot;#,##0_);[Red]\(&quot;$&quot;#,##0\)"/>
      </dxf>
    </rfmt>
    <rfmt sheetId="7"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731" sId="7" ref="A1:XFD1" action="deleteRow">
    <rfmt sheetId="7" xfDxf="1" sqref="A1:XFD1" start="0" length="0"/>
    <rfmt sheetId="7" sqref="A1" start="0" length="0">
      <dxf>
        <font>
          <sz val="10"/>
          <color auto="1"/>
          <name val="Arial"/>
          <scheme val="none"/>
        </font>
      </dxf>
    </rfmt>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qref="F1" start="0" length="0">
      <dxf>
        <font>
          <sz val="10"/>
          <color auto="1"/>
          <name val="Arial"/>
          <scheme val="none"/>
        </font>
        <numFmt numFmtId="10" formatCode="&quot;$&quot;#,##0_);[Red]\(&quot;$&quot;#,##0\)"/>
      </dxf>
    </rfmt>
    <rfmt sheetId="7"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732" sId="7" ref="A1:XFD1" action="deleteRow">
    <rfmt sheetId="7" xfDxf="1" sqref="A1:XFD1" start="0" length="0"/>
    <rfmt sheetId="7" sqref="A1" start="0" length="0">
      <dxf>
        <font>
          <sz val="10"/>
          <color auto="1"/>
          <name val="Arial"/>
          <scheme val="none"/>
        </font>
      </dxf>
    </rfmt>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qref="F1" start="0" length="0">
      <dxf>
        <font>
          <sz val="10"/>
          <color auto="1"/>
          <name val="Arial"/>
          <scheme val="none"/>
        </font>
        <numFmt numFmtId="10" formatCode="&quot;$&quot;#,##0_);[Red]\(&quot;$&quot;#,##0\)"/>
      </dxf>
    </rfmt>
    <rfmt sheetId="7"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733" sId="7" ref="A1:XFD1" action="deleteRow">
    <rfmt sheetId="7" xfDxf="1" sqref="A1:XFD1" start="0" length="0"/>
    <rfmt sheetId="7" sqref="A1" start="0" length="0">
      <dxf>
        <font>
          <sz val="10"/>
          <color auto="1"/>
          <name val="Arial"/>
          <scheme val="none"/>
        </font>
      </dxf>
    </rfmt>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qref="F1" start="0" length="0">
      <dxf>
        <font>
          <sz val="10"/>
          <color auto="1"/>
          <name val="Arial"/>
          <scheme val="none"/>
        </font>
        <numFmt numFmtId="10" formatCode="&quot;$&quot;#,##0_);[Red]\(&quot;$&quot;#,##0\)"/>
      </dxf>
    </rfmt>
    <rfmt sheetId="7"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734" sId="7" ref="A1:XFD1" action="deleteRow">
    <rfmt sheetId="7" xfDxf="1" sqref="A1:XFD1" start="0" length="0"/>
    <rfmt sheetId="7" sqref="A1" start="0" length="0">
      <dxf>
        <font>
          <sz val="10"/>
          <color auto="1"/>
          <name val="Arial"/>
          <scheme val="none"/>
        </font>
      </dxf>
    </rfmt>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qref="F1" start="0" length="0">
      <dxf>
        <font>
          <sz val="10"/>
          <color auto="1"/>
          <name val="Arial"/>
          <scheme val="none"/>
        </font>
        <numFmt numFmtId="10" formatCode="&quot;$&quot;#,##0_);[Red]\(&quot;$&quot;#,##0\)"/>
      </dxf>
    </rfmt>
    <rfmt sheetId="7"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735" sId="7" ref="A1:XFD1" action="deleteRow">
    <rfmt sheetId="7" xfDxf="1" sqref="A1:XFD1" start="0" length="0"/>
    <rfmt sheetId="7" sqref="A1" start="0" length="0">
      <dxf>
        <font>
          <sz val="10"/>
          <color auto="1"/>
          <name val="Arial"/>
          <scheme val="none"/>
        </font>
      </dxf>
    </rfmt>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qref="F1" start="0" length="0">
      <dxf>
        <font>
          <sz val="10"/>
          <color auto="1"/>
          <name val="Arial"/>
          <scheme val="none"/>
        </font>
        <numFmt numFmtId="10" formatCode="&quot;$&quot;#,##0_);[Red]\(&quot;$&quot;#,##0\)"/>
      </dxf>
    </rfmt>
    <rfmt sheetId="7"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736" sId="7" ref="A1:XFD1" action="deleteRow">
    <rfmt sheetId="7" xfDxf="1" sqref="A1:XFD1" start="0" length="0"/>
    <rfmt sheetId="7" sqref="A1" start="0" length="0">
      <dxf>
        <font>
          <sz val="10"/>
          <color auto="1"/>
          <name val="Arial"/>
          <scheme val="none"/>
        </font>
      </dxf>
    </rfmt>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qref="F1" start="0" length="0">
      <dxf>
        <font>
          <sz val="10"/>
          <color auto="1"/>
          <name val="Arial"/>
          <scheme val="none"/>
        </font>
        <numFmt numFmtId="10" formatCode="&quot;$&quot;#,##0_);[Red]\(&quot;$&quot;#,##0\)"/>
      </dxf>
    </rfmt>
    <rfmt sheetId="7"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737" sId="7" ref="A1:XFD1" action="deleteRow">
    <rfmt sheetId="7" xfDxf="1" sqref="A1:XFD1" start="0" length="0"/>
    <rfmt sheetId="7" sqref="A1" start="0" length="0">
      <dxf>
        <font>
          <sz val="10"/>
          <color auto="1"/>
          <name val="Arial"/>
          <scheme val="none"/>
        </font>
      </dxf>
    </rfmt>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qref="F1" start="0" length="0">
      <dxf>
        <font>
          <sz val="10"/>
          <color auto="1"/>
          <name val="Arial"/>
          <scheme val="none"/>
        </font>
        <numFmt numFmtId="10" formatCode="&quot;$&quot;#,##0_);[Red]\(&quot;$&quot;#,##0\)"/>
      </dxf>
    </rfmt>
    <rfmt sheetId="7"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738" sId="7" ref="A1:XFD1" action="deleteRow">
    <rfmt sheetId="7" xfDxf="1" sqref="A1:XFD1" start="0" length="0"/>
    <rfmt sheetId="7" sqref="A1" start="0" length="0">
      <dxf>
        <font>
          <sz val="10"/>
          <color auto="1"/>
          <name val="Arial"/>
          <scheme val="none"/>
        </font>
      </dxf>
    </rfmt>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qref="F1" start="0" length="0">
      <dxf>
        <font>
          <sz val="10"/>
          <color auto="1"/>
          <name val="Arial"/>
          <scheme val="none"/>
        </font>
        <numFmt numFmtId="10" formatCode="&quot;$&quot;#,##0_);[Red]\(&quot;$&quot;#,##0\)"/>
      </dxf>
    </rfmt>
    <rfmt sheetId="7"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739" sId="7" ref="A1:XFD1" action="deleteRow">
    <rfmt sheetId="7" xfDxf="1" sqref="A1:XFD1" start="0" length="0"/>
    <rfmt sheetId="7" sqref="A1" start="0" length="0">
      <dxf>
        <font>
          <sz val="10"/>
          <color auto="1"/>
          <name val="Arial"/>
          <scheme val="none"/>
        </font>
      </dxf>
    </rfmt>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qref="F1" start="0" length="0">
      <dxf>
        <font>
          <sz val="10"/>
          <color auto="1"/>
          <name val="Arial"/>
          <scheme val="none"/>
        </font>
        <numFmt numFmtId="10" formatCode="&quot;$&quot;#,##0_);[Red]\(&quot;$&quot;#,##0\)"/>
      </dxf>
    </rfmt>
    <rfmt sheetId="7"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740" sId="7" ref="A1:XFD1" action="deleteRow">
    <rfmt sheetId="7" xfDxf="1" sqref="A1:XFD1" start="0" length="0"/>
    <rfmt sheetId="7" sqref="A1" start="0" length="0">
      <dxf>
        <font>
          <sz val="10"/>
          <color auto="1"/>
          <name val="Arial"/>
          <scheme val="none"/>
        </font>
      </dxf>
    </rfmt>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qref="F1" start="0" length="0">
      <dxf>
        <font>
          <sz val="10"/>
          <color auto="1"/>
          <name val="Arial"/>
          <scheme val="none"/>
        </font>
        <numFmt numFmtId="10" formatCode="&quot;$&quot;#,##0_);[Red]\(&quot;$&quot;#,##0\)"/>
      </dxf>
    </rfmt>
    <rfmt sheetId="7"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741" sId="7" ref="A1:XFD1" action="deleteRow">
    <rfmt sheetId="7" xfDxf="1" sqref="A1:XFD1" start="0" length="0"/>
    <rfmt sheetId="7" sqref="A1" start="0" length="0">
      <dxf>
        <font>
          <sz val="10"/>
          <color auto="1"/>
          <name val="Arial"/>
          <scheme val="none"/>
        </font>
      </dxf>
    </rfmt>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qref="F1" start="0" length="0">
      <dxf>
        <font>
          <sz val="10"/>
          <color auto="1"/>
          <name val="Arial"/>
          <scheme val="none"/>
        </font>
        <numFmt numFmtId="10" formatCode="&quot;$&quot;#,##0_);[Red]\(&quot;$&quot;#,##0\)"/>
      </dxf>
    </rfmt>
    <rfmt sheetId="7"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742" sId="7" ref="A1:XFD1" action="deleteRow">
    <rfmt sheetId="7" xfDxf="1" sqref="A1:XFD1" start="0" length="0"/>
    <rfmt sheetId="7" sqref="A1" start="0" length="0">
      <dxf>
        <font>
          <sz val="10"/>
          <color auto="1"/>
          <name val="Arial"/>
          <scheme val="none"/>
        </font>
      </dxf>
    </rfmt>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qref="F1" start="0" length="0">
      <dxf>
        <font>
          <sz val="10"/>
          <color auto="1"/>
          <name val="Arial"/>
          <scheme val="none"/>
        </font>
        <numFmt numFmtId="10" formatCode="&quot;$&quot;#,##0_);[Red]\(&quot;$&quot;#,##0\)"/>
      </dxf>
    </rfmt>
    <rfmt sheetId="7"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743" sId="7" ref="A1:XFD1" action="deleteRow">
    <rfmt sheetId="7" xfDxf="1" sqref="A1:XFD1" start="0" length="0"/>
    <rfmt sheetId="7" sqref="A1" start="0" length="0">
      <dxf>
        <font>
          <sz val="10"/>
          <color auto="1"/>
          <name val="Arial"/>
          <scheme val="none"/>
        </font>
      </dxf>
    </rfmt>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qref="F1" start="0" length="0">
      <dxf>
        <font>
          <sz val="10"/>
          <color auto="1"/>
          <name val="Arial"/>
          <scheme val="none"/>
        </font>
        <numFmt numFmtId="10" formatCode="&quot;$&quot;#,##0_);[Red]\(&quot;$&quot;#,##0\)"/>
      </dxf>
    </rfmt>
    <rfmt sheetId="7"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744" sId="7" ref="A1:XFD1" action="deleteRow">
    <rfmt sheetId="7" xfDxf="1" sqref="A1:XFD1" start="0" length="0"/>
    <rfmt sheetId="7" sqref="A1" start="0" length="0">
      <dxf>
        <font>
          <sz val="10"/>
          <color auto="1"/>
          <name val="Arial"/>
          <scheme val="none"/>
        </font>
      </dxf>
    </rfmt>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qref="F1" start="0" length="0">
      <dxf>
        <font>
          <sz val="10"/>
          <color auto="1"/>
          <name val="Arial"/>
          <scheme val="none"/>
        </font>
        <numFmt numFmtId="10" formatCode="&quot;$&quot;#,##0_);[Red]\(&quot;$&quot;#,##0\)"/>
      </dxf>
    </rfmt>
    <rfmt sheetId="7"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745" sId="7" ref="A1:XFD1" action="deleteRow">
    <rfmt sheetId="7" xfDxf="1" sqref="A1:XFD1" start="0" length="0"/>
    <rfmt sheetId="7" sqref="A1" start="0" length="0">
      <dxf>
        <font>
          <sz val="10"/>
          <color auto="1"/>
          <name val="Arial"/>
          <scheme val="none"/>
        </font>
      </dxf>
    </rfmt>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qref="F1" start="0" length="0">
      <dxf>
        <font>
          <sz val="10"/>
          <color auto="1"/>
          <name val="Arial"/>
          <scheme val="none"/>
        </font>
        <numFmt numFmtId="10" formatCode="&quot;$&quot;#,##0_);[Red]\(&quot;$&quot;#,##0\)"/>
      </dxf>
    </rfmt>
    <rfmt sheetId="7"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746" sId="7" ref="A1:XFD1" action="deleteRow">
    <rfmt sheetId="7" xfDxf="1" sqref="A1:XFD1" start="0" length="0"/>
    <rfmt sheetId="7" sqref="A1" start="0" length="0">
      <dxf>
        <font>
          <sz val="10"/>
          <color auto="1"/>
          <name val="Arial"/>
          <scheme val="none"/>
        </font>
      </dxf>
    </rfmt>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qref="F1" start="0" length="0">
      <dxf>
        <font>
          <sz val="10"/>
          <color auto="1"/>
          <name val="Arial"/>
          <scheme val="none"/>
        </font>
        <numFmt numFmtId="10" formatCode="&quot;$&quot;#,##0_);[Red]\(&quot;$&quot;#,##0\)"/>
      </dxf>
    </rfmt>
    <rfmt sheetId="7"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747" sId="7" ref="A1:XFD1" action="deleteRow">
    <rfmt sheetId="7" xfDxf="1" sqref="A1:XFD1" start="0" length="0"/>
    <rfmt sheetId="7" sqref="A1" start="0" length="0">
      <dxf>
        <font>
          <sz val="10"/>
          <color auto="1"/>
          <name val="Arial"/>
          <scheme val="none"/>
        </font>
      </dxf>
    </rfmt>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qref="F1" start="0" length="0">
      <dxf>
        <font>
          <sz val="10"/>
          <color auto="1"/>
          <name val="Arial"/>
          <scheme val="none"/>
        </font>
        <numFmt numFmtId="10" formatCode="&quot;$&quot;#,##0_);[Red]\(&quot;$&quot;#,##0\)"/>
      </dxf>
    </rfmt>
    <rfmt sheetId="7"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748" sId="7" ref="A1:XFD1" action="deleteRow">
    <rfmt sheetId="7" xfDxf="1" sqref="A1:XFD1" start="0" length="0"/>
    <rfmt sheetId="7" sqref="A1" start="0" length="0">
      <dxf>
        <font>
          <sz val="10"/>
          <color auto="1"/>
          <name val="Arial"/>
          <scheme val="none"/>
        </font>
      </dxf>
    </rfmt>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qref="F1" start="0" length="0">
      <dxf>
        <font>
          <sz val="10"/>
          <color auto="1"/>
          <name val="Arial"/>
          <scheme val="none"/>
        </font>
        <numFmt numFmtId="10" formatCode="&quot;$&quot;#,##0_);[Red]\(&quot;$&quot;#,##0\)"/>
      </dxf>
    </rfmt>
    <rfmt sheetId="7"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749" sId="7" ref="A1:XFD1" action="deleteRow">
    <rfmt sheetId="7" xfDxf="1" sqref="A1:XFD1" start="0" length="0"/>
    <rfmt sheetId="7" sqref="A1" start="0" length="0">
      <dxf>
        <font>
          <sz val="10"/>
          <color auto="1"/>
          <name val="Arial"/>
          <scheme val="none"/>
        </font>
      </dxf>
    </rfmt>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qref="F1" start="0" length="0">
      <dxf>
        <font>
          <sz val="10"/>
          <color auto="1"/>
          <name val="Arial"/>
          <scheme val="none"/>
        </font>
        <numFmt numFmtId="10" formatCode="&quot;$&quot;#,##0_);[Red]\(&quot;$&quot;#,##0\)"/>
      </dxf>
    </rfmt>
    <rfmt sheetId="7"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750" sId="7" ref="A1:XFD1" action="deleteRow">
    <rfmt sheetId="7" xfDxf="1" sqref="A1:XFD1" start="0" length="0"/>
    <rfmt sheetId="7" sqref="A1" start="0" length="0">
      <dxf>
        <font>
          <sz val="10"/>
          <color auto="1"/>
          <name val="Arial"/>
          <scheme val="none"/>
        </font>
      </dxf>
    </rfmt>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qref="F1" start="0" length="0">
      <dxf>
        <font>
          <sz val="10"/>
          <color auto="1"/>
          <name val="Arial"/>
          <scheme val="none"/>
        </font>
        <numFmt numFmtId="10" formatCode="&quot;$&quot;#,##0_);[Red]\(&quot;$&quot;#,##0\)"/>
      </dxf>
    </rfmt>
    <rfmt sheetId="7"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751" sId="7" ref="A1:XFD1" action="deleteRow">
    <rfmt sheetId="7" xfDxf="1" sqref="A1:XFD1" start="0" length="0"/>
    <rfmt sheetId="7" sqref="A1" start="0" length="0">
      <dxf>
        <font>
          <sz val="10"/>
          <color auto="1"/>
          <name val="Arial"/>
          <scheme val="none"/>
        </font>
      </dxf>
    </rfmt>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qref="F1" start="0" length="0">
      <dxf>
        <font>
          <sz val="10"/>
          <color auto="1"/>
          <name val="Arial"/>
          <scheme val="none"/>
        </font>
        <numFmt numFmtId="10" formatCode="&quot;$&quot;#,##0_);[Red]\(&quot;$&quot;#,##0\)"/>
      </dxf>
    </rfmt>
    <rfmt sheetId="7"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752" sId="7" ref="A1:XFD1" action="deleteRow">
    <rfmt sheetId="7" xfDxf="1" sqref="A1:XFD1" start="0" length="0"/>
    <rfmt sheetId="7" sqref="A1" start="0" length="0">
      <dxf>
        <font>
          <sz val="10"/>
          <color auto="1"/>
          <name val="Arial"/>
          <scheme val="none"/>
        </font>
      </dxf>
    </rfmt>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qref="F1" start="0" length="0">
      <dxf>
        <font>
          <sz val="10"/>
          <color auto="1"/>
          <name val="Arial"/>
          <scheme val="none"/>
        </font>
        <numFmt numFmtId="10" formatCode="&quot;$&quot;#,##0_);[Red]\(&quot;$&quot;#,##0\)"/>
      </dxf>
    </rfmt>
    <rfmt sheetId="7"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753" sId="7" ref="A1:XFD1" action="deleteRow">
    <rfmt sheetId="7" xfDxf="1" sqref="A1:XFD1" start="0" length="0"/>
    <rfmt sheetId="7" sqref="A1" start="0" length="0">
      <dxf>
        <font>
          <sz val="10"/>
          <color auto="1"/>
          <name val="Arial"/>
          <scheme val="none"/>
        </font>
      </dxf>
    </rfmt>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qref="F1" start="0" length="0">
      <dxf>
        <font>
          <sz val="10"/>
          <color auto="1"/>
          <name val="Arial"/>
          <scheme val="none"/>
        </font>
        <numFmt numFmtId="10" formatCode="&quot;$&quot;#,##0_);[Red]\(&quot;$&quot;#,##0\)"/>
      </dxf>
    </rfmt>
    <rfmt sheetId="7"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754" sId="7" ref="A1:XFD1" action="deleteRow">
    <rfmt sheetId="7" xfDxf="1" sqref="A1:XFD1" start="0" length="0"/>
    <rfmt sheetId="7" sqref="A1" start="0" length="0">
      <dxf>
        <font>
          <sz val="10"/>
          <color auto="1"/>
          <name val="Arial"/>
          <scheme val="none"/>
        </font>
      </dxf>
    </rfmt>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qref="F1" start="0" length="0">
      <dxf>
        <font>
          <sz val="10"/>
          <color auto="1"/>
          <name val="Arial"/>
          <scheme val="none"/>
        </font>
        <numFmt numFmtId="10" formatCode="&quot;$&quot;#,##0_);[Red]\(&quot;$&quot;#,##0\)"/>
      </dxf>
    </rfmt>
    <rfmt sheetId="7"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755" sId="7" ref="A1:XFD1" action="deleteRow">
    <rfmt sheetId="7" xfDxf="1" sqref="A1:XFD1" start="0" length="0"/>
    <rfmt sheetId="7" sqref="A1" start="0" length="0">
      <dxf>
        <font>
          <sz val="10"/>
          <color auto="1"/>
          <name val="Arial"/>
          <scheme val="none"/>
        </font>
      </dxf>
    </rfmt>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qref="F1" start="0" length="0">
      <dxf>
        <font>
          <sz val="10"/>
          <color auto="1"/>
          <name val="Arial"/>
          <scheme val="none"/>
        </font>
        <numFmt numFmtId="10" formatCode="&quot;$&quot;#,##0_);[Red]\(&quot;$&quot;#,##0\)"/>
      </dxf>
    </rfmt>
    <rfmt sheetId="7"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756" sId="7" ref="A1:XFD1" action="deleteRow">
    <rfmt sheetId="7" xfDxf="1" sqref="A1:XFD1" start="0" length="0"/>
    <rfmt sheetId="7" sqref="A1" start="0" length="0">
      <dxf>
        <font>
          <sz val="10"/>
          <color auto="1"/>
          <name val="Arial"/>
          <scheme val="none"/>
        </font>
      </dxf>
    </rfmt>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qref="F1" start="0" length="0">
      <dxf>
        <font>
          <sz val="10"/>
          <color auto="1"/>
          <name val="Arial"/>
          <scheme val="none"/>
        </font>
        <numFmt numFmtId="10" formatCode="&quot;$&quot;#,##0_);[Red]\(&quot;$&quot;#,##0\)"/>
      </dxf>
    </rfmt>
    <rfmt sheetId="7"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757" sId="7" ref="A1:XFD1" action="deleteRow">
    <rfmt sheetId="7" xfDxf="1" sqref="A1:XFD1" start="0" length="0"/>
    <rfmt sheetId="7" sqref="A1" start="0" length="0">
      <dxf>
        <font>
          <sz val="10"/>
          <color auto="1"/>
          <name val="Arial"/>
          <scheme val="none"/>
        </font>
      </dxf>
    </rfmt>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qref="F1" start="0" length="0">
      <dxf>
        <font>
          <sz val="10"/>
          <color auto="1"/>
          <name val="Arial"/>
          <scheme val="none"/>
        </font>
        <numFmt numFmtId="10" formatCode="&quot;$&quot;#,##0_);[Red]\(&quot;$&quot;#,##0\)"/>
      </dxf>
    </rfmt>
    <rfmt sheetId="7"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758" sId="7" ref="A1:XFD1" action="deleteRow">
    <rfmt sheetId="7" xfDxf="1" sqref="A1:XFD1" start="0" length="0"/>
    <rfmt sheetId="7" sqref="A1" start="0" length="0">
      <dxf>
        <font>
          <sz val="10"/>
          <color auto="1"/>
          <name val="Arial"/>
          <scheme val="none"/>
        </font>
      </dxf>
    </rfmt>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qref="F1" start="0" length="0">
      <dxf>
        <font>
          <sz val="10"/>
          <color auto="1"/>
          <name val="Arial"/>
          <scheme val="none"/>
        </font>
        <numFmt numFmtId="10" formatCode="&quot;$&quot;#,##0_);[Red]\(&quot;$&quot;#,##0\)"/>
      </dxf>
    </rfmt>
    <rfmt sheetId="7"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759" sId="7" ref="A1:XFD1" action="deleteRow">
    <rfmt sheetId="7" xfDxf="1" sqref="A1:XFD1" start="0" length="0"/>
    <rfmt sheetId="7" sqref="A1" start="0" length="0">
      <dxf>
        <font>
          <sz val="10"/>
          <color auto="1"/>
          <name val="Arial"/>
          <scheme val="none"/>
        </font>
      </dxf>
    </rfmt>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qref="F1" start="0" length="0">
      <dxf>
        <font>
          <sz val="10"/>
          <color auto="1"/>
          <name val="Arial"/>
          <scheme val="none"/>
        </font>
        <numFmt numFmtId="10" formatCode="&quot;$&quot;#,##0_);[Red]\(&quot;$&quot;#,##0\)"/>
      </dxf>
    </rfmt>
    <rfmt sheetId="7"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760" sId="7" ref="A1:XFD1" action="deleteRow">
    <rfmt sheetId="7" xfDxf="1" sqref="A1:XFD1" start="0" length="0"/>
    <rfmt sheetId="7" sqref="A1" start="0" length="0">
      <dxf>
        <font>
          <sz val="10"/>
          <color auto="1"/>
          <name val="Arial"/>
          <scheme val="none"/>
        </font>
      </dxf>
    </rfmt>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qref="F1" start="0" length="0">
      <dxf>
        <font>
          <sz val="10"/>
          <color auto="1"/>
          <name val="Arial"/>
          <scheme val="none"/>
        </font>
        <numFmt numFmtId="10" formatCode="&quot;$&quot;#,##0_);[Red]\(&quot;$&quot;#,##0\)"/>
      </dxf>
    </rfmt>
    <rfmt sheetId="7"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761" sId="7" ref="A1:XFD1" action="deleteRow">
    <rfmt sheetId="7" xfDxf="1" sqref="A1:XFD1" start="0" length="0"/>
    <rfmt sheetId="7" sqref="A1" start="0" length="0">
      <dxf>
        <font>
          <sz val="10"/>
          <color auto="1"/>
          <name val="Arial"/>
          <scheme val="none"/>
        </font>
      </dxf>
    </rfmt>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qref="F1" start="0" length="0">
      <dxf>
        <font>
          <sz val="10"/>
          <color auto="1"/>
          <name val="Arial"/>
          <scheme val="none"/>
        </font>
        <numFmt numFmtId="10" formatCode="&quot;$&quot;#,##0_);[Red]\(&quot;$&quot;#,##0\)"/>
      </dxf>
    </rfmt>
    <rfmt sheetId="7"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762" sId="7" ref="A1:XFD1" action="deleteRow">
    <rfmt sheetId="7" xfDxf="1" sqref="A1:XFD1" start="0" length="0"/>
    <rfmt sheetId="7" sqref="A1" start="0" length="0">
      <dxf>
        <font>
          <sz val="10"/>
          <color auto="1"/>
          <name val="Arial"/>
          <scheme val="none"/>
        </font>
      </dxf>
    </rfmt>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qref="F1" start="0" length="0">
      <dxf>
        <font>
          <sz val="10"/>
          <color auto="1"/>
          <name val="Arial"/>
          <scheme val="none"/>
        </font>
        <numFmt numFmtId="10" formatCode="&quot;$&quot;#,##0_);[Red]\(&quot;$&quot;#,##0\)"/>
      </dxf>
    </rfmt>
    <rfmt sheetId="7"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763" sId="7" ref="A1:XFD1" action="deleteRow">
    <rfmt sheetId="7" xfDxf="1" sqref="A1:XFD1" start="0" length="0"/>
    <rfmt sheetId="7" sqref="A1" start="0" length="0">
      <dxf>
        <font>
          <sz val="10"/>
          <color auto="1"/>
          <name val="Arial"/>
          <scheme val="none"/>
        </font>
      </dxf>
    </rfmt>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qref="F1" start="0" length="0">
      <dxf>
        <font>
          <sz val="10"/>
          <color auto="1"/>
          <name val="Arial"/>
          <scheme val="none"/>
        </font>
        <numFmt numFmtId="10" formatCode="&quot;$&quot;#,##0_);[Red]\(&quot;$&quot;#,##0\)"/>
      </dxf>
    </rfmt>
    <rfmt sheetId="7"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764" sId="7" ref="A1:XFD1" action="deleteRow">
    <rfmt sheetId="7" xfDxf="1" sqref="A1:XFD1" start="0" length="0"/>
    <rfmt sheetId="7" sqref="A1" start="0" length="0">
      <dxf>
        <font>
          <sz val="10"/>
          <color auto="1"/>
          <name val="Arial"/>
          <scheme val="none"/>
        </font>
      </dxf>
    </rfmt>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qref="F1" start="0" length="0">
      <dxf>
        <font>
          <sz val="10"/>
          <color auto="1"/>
          <name val="Arial"/>
          <scheme val="none"/>
        </font>
        <numFmt numFmtId="10" formatCode="&quot;$&quot;#,##0_);[Red]\(&quot;$&quot;#,##0\)"/>
      </dxf>
    </rfmt>
    <rfmt sheetId="7"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765" sId="7" ref="A1:XFD1" action="deleteRow">
    <rfmt sheetId="7" xfDxf="1" sqref="A1:XFD1" start="0" length="0"/>
    <rfmt sheetId="7" sqref="A1" start="0" length="0">
      <dxf>
        <font>
          <sz val="10"/>
          <color auto="1"/>
          <name val="Arial"/>
          <scheme val="none"/>
        </font>
      </dxf>
    </rfmt>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qref="F1" start="0" length="0">
      <dxf>
        <font>
          <sz val="10"/>
          <color auto="1"/>
          <name val="Arial"/>
          <scheme val="none"/>
        </font>
        <numFmt numFmtId="10" formatCode="&quot;$&quot;#,##0_);[Red]\(&quot;$&quot;#,##0\)"/>
      </dxf>
    </rfmt>
    <rfmt sheetId="7"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766" sId="7" ref="A1:XFD1" action="deleteRow">
    <rfmt sheetId="7" xfDxf="1" sqref="A1:XFD1" start="0" length="0"/>
    <rfmt sheetId="7" sqref="A1" start="0" length="0">
      <dxf>
        <font>
          <sz val="10"/>
          <color auto="1"/>
          <name val="Arial"/>
          <scheme val="none"/>
        </font>
      </dxf>
    </rfmt>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qref="F1" start="0" length="0">
      <dxf>
        <font>
          <sz val="10"/>
          <color auto="1"/>
          <name val="Arial"/>
          <scheme val="none"/>
        </font>
        <numFmt numFmtId="10" formatCode="&quot;$&quot;#,##0_);[Red]\(&quot;$&quot;#,##0\)"/>
      </dxf>
    </rfmt>
    <rfmt sheetId="7"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767" sId="7" ref="A1:XFD1" action="deleteRow">
    <rfmt sheetId="7" xfDxf="1" sqref="A1:XFD1" start="0" length="0"/>
    <rfmt sheetId="7" sqref="A1" start="0" length="0">
      <dxf>
        <font>
          <sz val="10"/>
          <color auto="1"/>
          <name val="Arial"/>
          <scheme val="none"/>
        </font>
      </dxf>
    </rfmt>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qref="F1" start="0" length="0">
      <dxf>
        <font>
          <sz val="10"/>
          <color auto="1"/>
          <name val="Arial"/>
          <scheme val="none"/>
        </font>
        <numFmt numFmtId="10" formatCode="&quot;$&quot;#,##0_);[Red]\(&quot;$&quot;#,##0\)"/>
      </dxf>
    </rfmt>
    <rfmt sheetId="7"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768" sId="7" ref="A1:XFD1" action="deleteRow">
    <rfmt sheetId="7" xfDxf="1" sqref="A1:XFD1" start="0" length="0"/>
    <rfmt sheetId="7" sqref="A1" start="0" length="0">
      <dxf>
        <font>
          <sz val="10"/>
          <color auto="1"/>
          <name val="Arial"/>
          <scheme val="none"/>
        </font>
      </dxf>
    </rfmt>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qref="F1" start="0" length="0">
      <dxf>
        <font>
          <sz val="10"/>
          <color auto="1"/>
          <name val="Arial"/>
          <scheme val="none"/>
        </font>
        <numFmt numFmtId="10" formatCode="&quot;$&quot;#,##0_);[Red]\(&quot;$&quot;#,##0\)"/>
      </dxf>
    </rfmt>
    <rfmt sheetId="7"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769" sId="7" ref="A1:XFD1" action="deleteRow">
    <rfmt sheetId="7" xfDxf="1" sqref="A1:XFD1" start="0" length="0"/>
    <rfmt sheetId="7" sqref="A1" start="0" length="0">
      <dxf>
        <font>
          <sz val="10"/>
          <color auto="1"/>
          <name val="Arial"/>
          <scheme val="none"/>
        </font>
      </dxf>
    </rfmt>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qref="F1" start="0" length="0">
      <dxf>
        <font>
          <sz val="10"/>
          <color auto="1"/>
          <name val="Arial"/>
          <scheme val="none"/>
        </font>
        <numFmt numFmtId="10" formatCode="&quot;$&quot;#,##0_);[Red]\(&quot;$&quot;#,##0\)"/>
      </dxf>
    </rfmt>
    <rfmt sheetId="7"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770" sId="7" ref="A1:XFD1" action="deleteRow">
    <rfmt sheetId="7" xfDxf="1" sqref="A1:XFD1" start="0" length="0"/>
    <rfmt sheetId="7" sqref="A1" start="0" length="0">
      <dxf>
        <font>
          <sz val="10"/>
          <color auto="1"/>
          <name val="Arial"/>
          <scheme val="none"/>
        </font>
      </dxf>
    </rfmt>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qref="F1" start="0" length="0">
      <dxf>
        <font>
          <sz val="10"/>
          <color auto="1"/>
          <name val="Arial"/>
          <scheme val="none"/>
        </font>
        <numFmt numFmtId="10" formatCode="&quot;$&quot;#,##0_);[Red]\(&quot;$&quot;#,##0\)"/>
      </dxf>
    </rfmt>
    <rfmt sheetId="7"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771" sId="7" ref="A1:XFD1" action="deleteRow">
    <rfmt sheetId="7" xfDxf="1" sqref="A1:XFD1" start="0" length="0"/>
    <rfmt sheetId="7" sqref="A1" start="0" length="0">
      <dxf>
        <font>
          <sz val="10"/>
          <color auto="1"/>
          <name val="Arial"/>
          <scheme val="none"/>
        </font>
      </dxf>
    </rfmt>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qref="F1" start="0" length="0">
      <dxf>
        <font>
          <sz val="10"/>
          <color auto="1"/>
          <name val="Arial"/>
          <scheme val="none"/>
        </font>
        <numFmt numFmtId="10" formatCode="&quot;$&quot;#,##0_);[Red]\(&quot;$&quot;#,##0\)"/>
      </dxf>
    </rfmt>
    <rfmt sheetId="7"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772" sId="7" ref="A1:XFD1" action="deleteRow">
    <rfmt sheetId="7" xfDxf="1" sqref="A1:XFD1" start="0" length="0"/>
    <rfmt sheetId="7" sqref="A1" start="0" length="0">
      <dxf>
        <font>
          <sz val="10"/>
          <color auto="1"/>
          <name val="Arial"/>
          <scheme val="none"/>
        </font>
      </dxf>
    </rfmt>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qref="F1" start="0" length="0">
      <dxf>
        <font>
          <sz val="10"/>
          <color auto="1"/>
          <name val="Arial"/>
          <scheme val="none"/>
        </font>
        <numFmt numFmtId="10" formatCode="&quot;$&quot;#,##0_);[Red]\(&quot;$&quot;#,##0\)"/>
      </dxf>
    </rfmt>
    <rfmt sheetId="7"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773" sId="7" ref="A1:XFD1" action="deleteRow">
    <rfmt sheetId="7" xfDxf="1" sqref="A1:XFD1" start="0" length="0"/>
    <rfmt sheetId="7" sqref="A1" start="0" length="0">
      <dxf>
        <font>
          <sz val="10"/>
          <color auto="1"/>
          <name val="Arial"/>
          <scheme val="none"/>
        </font>
      </dxf>
    </rfmt>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qref="F1" start="0" length="0">
      <dxf>
        <font>
          <sz val="10"/>
          <color auto="1"/>
          <name val="Arial"/>
          <scheme val="none"/>
        </font>
        <numFmt numFmtId="10" formatCode="&quot;$&quot;#,##0_);[Red]\(&quot;$&quot;#,##0\)"/>
      </dxf>
    </rfmt>
    <rfmt sheetId="7"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774" sId="7" ref="A1:XFD1" action="deleteRow">
    <rfmt sheetId="7" xfDxf="1" sqref="A1:XFD1" start="0" length="0"/>
    <rfmt sheetId="7" sqref="A1" start="0" length="0">
      <dxf>
        <font>
          <sz val="10"/>
          <color auto="1"/>
          <name val="Arial"/>
          <scheme val="none"/>
        </font>
      </dxf>
    </rfmt>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qref="F1" start="0" length="0">
      <dxf>
        <font>
          <sz val="10"/>
          <color auto="1"/>
          <name val="Arial"/>
          <scheme val="none"/>
        </font>
        <numFmt numFmtId="10" formatCode="&quot;$&quot;#,##0_);[Red]\(&quot;$&quot;#,##0\)"/>
      </dxf>
    </rfmt>
    <rfmt sheetId="7"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775" sId="7" ref="A1:XFD1" action="deleteRow">
    <rfmt sheetId="7" xfDxf="1" sqref="A1:XFD1" start="0" length="0"/>
    <rfmt sheetId="7" sqref="A1" start="0" length="0">
      <dxf>
        <font>
          <sz val="10"/>
          <color auto="1"/>
          <name val="Arial"/>
          <scheme val="none"/>
        </font>
      </dxf>
    </rfmt>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qref="F1" start="0" length="0">
      <dxf>
        <font>
          <sz val="10"/>
          <color auto="1"/>
          <name val="Arial"/>
          <scheme val="none"/>
        </font>
        <numFmt numFmtId="10" formatCode="&quot;$&quot;#,##0_);[Red]\(&quot;$&quot;#,##0\)"/>
      </dxf>
    </rfmt>
    <rfmt sheetId="7"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776" sId="7" ref="A1:XFD1" action="deleteRow">
    <rfmt sheetId="7" xfDxf="1" sqref="A1:XFD1" start="0" length="0"/>
    <rfmt sheetId="7" sqref="A1" start="0" length="0">
      <dxf>
        <font>
          <sz val="10"/>
          <color auto="1"/>
          <name val="Arial"/>
          <scheme val="none"/>
        </font>
      </dxf>
    </rfmt>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qref="F1" start="0" length="0">
      <dxf>
        <font>
          <sz val="10"/>
          <color auto="1"/>
          <name val="Arial"/>
          <scheme val="none"/>
        </font>
        <numFmt numFmtId="10" formatCode="&quot;$&quot;#,##0_);[Red]\(&quot;$&quot;#,##0\)"/>
      </dxf>
    </rfmt>
    <rfmt sheetId="7"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777" sId="7" ref="A1:XFD1" action="deleteRow">
    <rfmt sheetId="7" xfDxf="1" sqref="A1:XFD1" start="0" length="0"/>
    <rfmt sheetId="7" sqref="A1" start="0" length="0">
      <dxf>
        <font>
          <sz val="10"/>
          <color auto="1"/>
          <name val="Arial"/>
          <scheme val="none"/>
        </font>
      </dxf>
    </rfmt>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qref="F1" start="0" length="0">
      <dxf>
        <font>
          <sz val="10"/>
          <color auto="1"/>
          <name val="Arial"/>
          <scheme val="none"/>
        </font>
        <numFmt numFmtId="10" formatCode="&quot;$&quot;#,##0_);[Red]\(&quot;$&quot;#,##0\)"/>
      </dxf>
    </rfmt>
    <rfmt sheetId="7"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778" sId="7" ref="A1:XFD1" action="deleteRow">
    <rfmt sheetId="7" xfDxf="1" sqref="A1:XFD1" start="0" length="0"/>
    <rfmt sheetId="7" sqref="A1" start="0" length="0">
      <dxf>
        <font>
          <sz val="10"/>
          <color auto="1"/>
          <name val="Arial"/>
          <scheme val="none"/>
        </font>
      </dxf>
    </rfmt>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qref="F1" start="0" length="0">
      <dxf>
        <font>
          <sz val="10"/>
          <color auto="1"/>
          <name val="Arial"/>
          <scheme val="none"/>
        </font>
        <numFmt numFmtId="10" formatCode="&quot;$&quot;#,##0_);[Red]\(&quot;$&quot;#,##0\)"/>
      </dxf>
    </rfmt>
    <rfmt sheetId="7"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779" sId="7" ref="A1:XFD1" action="deleteRow">
    <rfmt sheetId="7" xfDxf="1" sqref="A1:XFD1" start="0" length="0"/>
    <rfmt sheetId="7" sqref="A1" start="0" length="0">
      <dxf>
        <font>
          <sz val="10"/>
          <color auto="1"/>
          <name val="Arial"/>
          <scheme val="none"/>
        </font>
      </dxf>
    </rfmt>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qref="F1" start="0" length="0">
      <dxf>
        <font>
          <sz val="10"/>
          <color auto="1"/>
          <name val="Arial"/>
          <scheme val="none"/>
        </font>
        <numFmt numFmtId="10" formatCode="&quot;$&quot;#,##0_);[Red]\(&quot;$&quot;#,##0\)"/>
      </dxf>
    </rfmt>
    <rfmt sheetId="7"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780" sId="7" ref="A1:XFD1" action="deleteRow">
    <rfmt sheetId="7" xfDxf="1" sqref="A1:XFD1" start="0" length="0"/>
    <rfmt sheetId="7" sqref="A1" start="0" length="0">
      <dxf>
        <font>
          <sz val="10"/>
          <color auto="1"/>
          <name val="Arial"/>
          <scheme val="none"/>
        </font>
      </dxf>
    </rfmt>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qref="F1" start="0" length="0">
      <dxf>
        <font>
          <sz val="10"/>
          <color auto="1"/>
          <name val="Arial"/>
          <scheme val="none"/>
        </font>
        <numFmt numFmtId="10" formatCode="&quot;$&quot;#,##0_);[Red]\(&quot;$&quot;#,##0\)"/>
      </dxf>
    </rfmt>
    <rfmt sheetId="7"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781" sId="7" ref="A1:XFD1" action="deleteRow">
    <rfmt sheetId="7" xfDxf="1" sqref="A1:XFD1" start="0" length="0"/>
    <rfmt sheetId="7" sqref="A1" start="0" length="0">
      <dxf>
        <font>
          <sz val="10"/>
          <color auto="1"/>
          <name val="Arial"/>
          <scheme val="none"/>
        </font>
      </dxf>
    </rfmt>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qref="F1" start="0" length="0">
      <dxf>
        <font>
          <sz val="10"/>
          <color auto="1"/>
          <name val="Arial"/>
          <scheme val="none"/>
        </font>
        <numFmt numFmtId="10" formatCode="&quot;$&quot;#,##0_);[Red]\(&quot;$&quot;#,##0\)"/>
      </dxf>
    </rfmt>
    <rfmt sheetId="7"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782" sId="7" ref="A1:XFD1" action="deleteRow">
    <rfmt sheetId="7" xfDxf="1" sqref="A1:XFD1" start="0" length="0"/>
    <rfmt sheetId="7" sqref="A1" start="0" length="0">
      <dxf>
        <font>
          <sz val="10"/>
          <color auto="1"/>
          <name val="Arial"/>
          <scheme val="none"/>
        </font>
      </dxf>
    </rfmt>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qref="F1" start="0" length="0">
      <dxf>
        <font>
          <sz val="10"/>
          <color auto="1"/>
          <name val="Arial"/>
          <scheme val="none"/>
        </font>
        <numFmt numFmtId="10" formatCode="&quot;$&quot;#,##0_);[Red]\(&quot;$&quot;#,##0\)"/>
      </dxf>
    </rfmt>
    <rfmt sheetId="7"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783" sId="7" ref="A1:XFD1" action="deleteRow">
    <rfmt sheetId="7" xfDxf="1" sqref="A1:XFD1" start="0" length="0"/>
    <rfmt sheetId="7" sqref="A1" start="0" length="0">
      <dxf>
        <font>
          <sz val="10"/>
          <color auto="1"/>
          <name val="Arial"/>
          <scheme val="none"/>
        </font>
      </dxf>
    </rfmt>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qref="F1" start="0" length="0">
      <dxf>
        <font>
          <sz val="10"/>
          <color auto="1"/>
          <name val="Arial"/>
          <scheme val="none"/>
        </font>
        <numFmt numFmtId="10" formatCode="&quot;$&quot;#,##0_);[Red]\(&quot;$&quot;#,##0\)"/>
      </dxf>
    </rfmt>
    <rfmt sheetId="7"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784" sId="7" ref="A1:XFD1" action="deleteRow">
    <rfmt sheetId="7" xfDxf="1" sqref="A1:XFD1" start="0" length="0"/>
    <rfmt sheetId="7" sqref="A1" start="0" length="0">
      <dxf>
        <font>
          <sz val="10"/>
          <color auto="1"/>
          <name val="Arial"/>
          <scheme val="none"/>
        </font>
      </dxf>
    </rfmt>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qref="F1" start="0" length="0">
      <dxf>
        <font>
          <sz val="10"/>
          <color auto="1"/>
          <name val="Arial"/>
          <scheme val="none"/>
        </font>
        <numFmt numFmtId="10" formatCode="&quot;$&quot;#,##0_);[Red]\(&quot;$&quot;#,##0\)"/>
      </dxf>
    </rfmt>
    <rfmt sheetId="7"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785" sId="7" ref="A1:XFD1" action="deleteRow">
    <rfmt sheetId="7" xfDxf="1" sqref="A1:XFD1" start="0" length="0"/>
    <rfmt sheetId="7" sqref="A1" start="0" length="0">
      <dxf>
        <font>
          <sz val="10"/>
          <color auto="1"/>
          <name val="Arial"/>
          <scheme val="none"/>
        </font>
      </dxf>
    </rfmt>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qref="F1" start="0" length="0">
      <dxf>
        <font>
          <sz val="10"/>
          <color auto="1"/>
          <name val="Arial"/>
          <scheme val="none"/>
        </font>
        <numFmt numFmtId="10" formatCode="&quot;$&quot;#,##0_);[Red]\(&quot;$&quot;#,##0\)"/>
      </dxf>
    </rfmt>
    <rfmt sheetId="7"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786" sId="7" ref="A1:XFD1" action="deleteRow">
    <rfmt sheetId="7" xfDxf="1" sqref="A1:XFD1" start="0" length="0"/>
    <rfmt sheetId="7" sqref="A1" start="0" length="0">
      <dxf>
        <font>
          <sz val="10"/>
          <color auto="1"/>
          <name val="Arial"/>
          <scheme val="none"/>
        </font>
      </dxf>
    </rfmt>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qref="F1" start="0" length="0">
      <dxf>
        <font>
          <sz val="10"/>
          <color auto="1"/>
          <name val="Arial"/>
          <scheme val="none"/>
        </font>
        <numFmt numFmtId="10" formatCode="&quot;$&quot;#,##0_);[Red]\(&quot;$&quot;#,##0\)"/>
      </dxf>
    </rfmt>
    <rfmt sheetId="7"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787" sId="7" ref="A1:XFD1" action="deleteRow">
    <rfmt sheetId="7" xfDxf="1" sqref="A1:XFD1" start="0" length="0"/>
    <rfmt sheetId="7" sqref="A1" start="0" length="0">
      <dxf>
        <font>
          <sz val="10"/>
          <color auto="1"/>
          <name val="Arial"/>
          <scheme val="none"/>
        </font>
      </dxf>
    </rfmt>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qref="F1" start="0" length="0">
      <dxf>
        <font>
          <sz val="10"/>
          <color auto="1"/>
          <name val="Arial"/>
          <scheme val="none"/>
        </font>
        <numFmt numFmtId="10" formatCode="&quot;$&quot;#,##0_);[Red]\(&quot;$&quot;#,##0\)"/>
      </dxf>
    </rfmt>
    <rfmt sheetId="7"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788" sId="7" ref="A1:XFD1" action="deleteRow">
    <rfmt sheetId="7" xfDxf="1" sqref="A1:XFD1" start="0" length="0"/>
    <rfmt sheetId="7" sqref="A1" start="0" length="0">
      <dxf>
        <font>
          <sz val="10"/>
          <color auto="1"/>
          <name val="Arial"/>
          <scheme val="none"/>
        </font>
      </dxf>
    </rfmt>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qref="F1" start="0" length="0">
      <dxf>
        <font>
          <sz val="10"/>
          <color auto="1"/>
          <name val="Arial"/>
          <scheme val="none"/>
        </font>
        <numFmt numFmtId="10" formatCode="&quot;$&quot;#,##0_);[Red]\(&quot;$&quot;#,##0\)"/>
      </dxf>
    </rfmt>
    <rfmt sheetId="7"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789" sId="7" ref="A1:XFD1" action="deleteRow">
    <rfmt sheetId="7" xfDxf="1" sqref="A1:XFD1" start="0" length="0"/>
    <rfmt sheetId="7" sqref="A1" start="0" length="0">
      <dxf>
        <font>
          <sz val="10"/>
          <color auto="1"/>
          <name val="Arial"/>
          <scheme val="none"/>
        </font>
      </dxf>
    </rfmt>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qref="F1" start="0" length="0">
      <dxf>
        <font>
          <sz val="10"/>
          <color auto="1"/>
          <name val="Arial"/>
          <scheme val="none"/>
        </font>
        <numFmt numFmtId="10" formatCode="&quot;$&quot;#,##0_);[Red]\(&quot;$&quot;#,##0\)"/>
      </dxf>
    </rfmt>
    <rfmt sheetId="7"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790" sId="7" ref="A1:XFD1" action="deleteRow">
    <rfmt sheetId="7" xfDxf="1" sqref="A1:XFD1" start="0" length="0"/>
    <rfmt sheetId="7" sqref="A1" start="0" length="0">
      <dxf>
        <font>
          <sz val="10"/>
          <color auto="1"/>
          <name val="Arial"/>
          <scheme val="none"/>
        </font>
      </dxf>
    </rfmt>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qref="F1" start="0" length="0">
      <dxf>
        <font>
          <sz val="10"/>
          <color auto="1"/>
          <name val="Arial"/>
          <scheme val="none"/>
        </font>
        <numFmt numFmtId="10" formatCode="&quot;$&quot;#,##0_);[Red]\(&quot;$&quot;#,##0\)"/>
      </dxf>
    </rfmt>
    <rfmt sheetId="7"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791" sId="7" ref="A1:XFD1" action="deleteRow">
    <rfmt sheetId="7" xfDxf="1" sqref="A1:XFD1" start="0" length="0"/>
    <rfmt sheetId="7" sqref="A1" start="0" length="0">
      <dxf>
        <font>
          <sz val="10"/>
          <color auto="1"/>
          <name val="Arial"/>
          <scheme val="none"/>
        </font>
      </dxf>
    </rfmt>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qref="F1" start="0" length="0">
      <dxf>
        <font>
          <sz val="10"/>
          <color auto="1"/>
          <name val="Arial"/>
          <scheme val="none"/>
        </font>
        <numFmt numFmtId="10" formatCode="&quot;$&quot;#,##0_);[Red]\(&quot;$&quot;#,##0\)"/>
      </dxf>
    </rfmt>
    <rfmt sheetId="7"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792" sId="7" ref="A1:XFD1" action="deleteRow">
    <rfmt sheetId="7" xfDxf="1" sqref="A1:XFD1" start="0" length="0"/>
    <rfmt sheetId="7" sqref="A1" start="0" length="0">
      <dxf>
        <font>
          <sz val="10"/>
          <color auto="1"/>
          <name val="Arial"/>
          <scheme val="none"/>
        </font>
      </dxf>
    </rfmt>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qref="F1" start="0" length="0">
      <dxf>
        <font>
          <sz val="10"/>
          <color auto="1"/>
          <name val="Arial"/>
          <scheme val="none"/>
        </font>
        <numFmt numFmtId="10" formatCode="&quot;$&quot;#,##0_);[Red]\(&quot;$&quot;#,##0\)"/>
      </dxf>
    </rfmt>
    <rfmt sheetId="7"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793" sId="7" ref="A1:XFD1" action="deleteRow">
    <rfmt sheetId="7" xfDxf="1" sqref="A1:XFD1" start="0" length="0"/>
    <rfmt sheetId="7" sqref="A1" start="0" length="0">
      <dxf>
        <font>
          <sz val="10"/>
          <color auto="1"/>
          <name val="Arial"/>
          <scheme val="none"/>
        </font>
      </dxf>
    </rfmt>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qref="F1" start="0" length="0">
      <dxf>
        <font>
          <sz val="10"/>
          <color auto="1"/>
          <name val="Arial"/>
          <scheme val="none"/>
        </font>
        <numFmt numFmtId="10" formatCode="&quot;$&quot;#,##0_);[Red]\(&quot;$&quot;#,##0\)"/>
      </dxf>
    </rfmt>
    <rfmt sheetId="7"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794" sId="7" ref="A1:XFD1" action="deleteRow">
    <rfmt sheetId="7" xfDxf="1" sqref="A1:XFD1" start="0" length="0"/>
    <rfmt sheetId="7" sqref="A1" start="0" length="0">
      <dxf>
        <font>
          <sz val="10"/>
          <color auto="1"/>
          <name val="Arial"/>
          <scheme val="none"/>
        </font>
      </dxf>
    </rfmt>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qref="F1" start="0" length="0">
      <dxf>
        <font>
          <sz val="10"/>
          <color auto="1"/>
          <name val="Arial"/>
          <scheme val="none"/>
        </font>
        <numFmt numFmtId="10" formatCode="&quot;$&quot;#,##0_);[Red]\(&quot;$&quot;#,##0\)"/>
      </dxf>
    </rfmt>
    <rfmt sheetId="7"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795" sId="7" ref="A1:XFD1" action="deleteRow">
    <rfmt sheetId="7" xfDxf="1" sqref="A1:XFD1" start="0" length="0"/>
    <rfmt sheetId="7" sqref="A1" start="0" length="0">
      <dxf>
        <font>
          <sz val="10"/>
          <color auto="1"/>
          <name val="Arial"/>
          <scheme val="none"/>
        </font>
      </dxf>
    </rfmt>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qref="F1" start="0" length="0">
      <dxf>
        <font>
          <sz val="10"/>
          <color auto="1"/>
          <name val="Arial"/>
          <scheme val="none"/>
        </font>
        <numFmt numFmtId="10" formatCode="&quot;$&quot;#,##0_);[Red]\(&quot;$&quot;#,##0\)"/>
      </dxf>
    </rfmt>
    <rfmt sheetId="7"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796" sId="7" ref="A1:XFD1" action="deleteRow">
    <rfmt sheetId="7" xfDxf="1" sqref="A1:XFD1" start="0" length="0"/>
    <rfmt sheetId="7" sqref="A1" start="0" length="0">
      <dxf>
        <font>
          <sz val="10"/>
          <color auto="1"/>
          <name val="Arial"/>
          <scheme val="none"/>
        </font>
      </dxf>
    </rfmt>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qref="F1" start="0" length="0">
      <dxf>
        <font>
          <sz val="10"/>
          <color auto="1"/>
          <name val="Arial"/>
          <scheme val="none"/>
        </font>
        <numFmt numFmtId="10" formatCode="&quot;$&quot;#,##0_);[Red]\(&quot;$&quot;#,##0\)"/>
      </dxf>
    </rfmt>
    <rfmt sheetId="7"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797" sId="7" ref="A1:XFD1" action="deleteRow">
    <rfmt sheetId="7" xfDxf="1" sqref="A1:XFD1" start="0" length="0"/>
    <rfmt sheetId="7" sqref="A1" start="0" length="0">
      <dxf>
        <font>
          <sz val="10"/>
          <color auto="1"/>
          <name val="Arial"/>
          <scheme val="none"/>
        </font>
      </dxf>
    </rfmt>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qref="F1" start="0" length="0">
      <dxf>
        <font>
          <sz val="10"/>
          <color auto="1"/>
          <name val="Arial"/>
          <scheme val="none"/>
        </font>
        <numFmt numFmtId="10" formatCode="&quot;$&quot;#,##0_);[Red]\(&quot;$&quot;#,##0\)"/>
      </dxf>
    </rfmt>
    <rfmt sheetId="7"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798" sId="7" ref="A1:XFD1" action="deleteRow">
    <rfmt sheetId="7" xfDxf="1" sqref="A1:XFD1" start="0" length="0"/>
    <rfmt sheetId="7" sqref="A1" start="0" length="0">
      <dxf>
        <font>
          <sz val="10"/>
          <color auto="1"/>
          <name val="Arial"/>
          <scheme val="none"/>
        </font>
      </dxf>
    </rfmt>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qref="F1" start="0" length="0">
      <dxf>
        <font>
          <sz val="10"/>
          <color auto="1"/>
          <name val="Arial"/>
          <scheme val="none"/>
        </font>
        <numFmt numFmtId="10" formatCode="&quot;$&quot;#,##0_);[Red]\(&quot;$&quot;#,##0\)"/>
      </dxf>
    </rfmt>
    <rfmt sheetId="7"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799" sId="7" ref="A1:XFD1" action="deleteRow">
    <rfmt sheetId="7" xfDxf="1" sqref="A1:XFD1" start="0" length="0"/>
    <rfmt sheetId="7" sqref="A1" start="0" length="0">
      <dxf>
        <font>
          <sz val="10"/>
          <color auto="1"/>
          <name val="Arial"/>
          <scheme val="none"/>
        </font>
      </dxf>
    </rfmt>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qref="F1" start="0" length="0">
      <dxf>
        <font>
          <sz val="10"/>
          <color auto="1"/>
          <name val="Arial"/>
          <scheme val="none"/>
        </font>
        <numFmt numFmtId="10" formatCode="&quot;$&quot;#,##0_);[Red]\(&quot;$&quot;#,##0\)"/>
      </dxf>
    </rfmt>
    <rfmt sheetId="7"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800" sId="7" ref="A1:XFD1" action="deleteRow">
    <rfmt sheetId="7" xfDxf="1" sqref="A1:XFD1" start="0" length="0"/>
    <rfmt sheetId="7" sqref="A1" start="0" length="0">
      <dxf>
        <font>
          <sz val="10"/>
          <color auto="1"/>
          <name val="Arial"/>
          <scheme val="none"/>
        </font>
      </dxf>
    </rfmt>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qref="F1" start="0" length="0">
      <dxf>
        <font>
          <sz val="10"/>
          <color auto="1"/>
          <name val="Arial"/>
          <scheme val="none"/>
        </font>
        <numFmt numFmtId="10" formatCode="&quot;$&quot;#,##0_);[Red]\(&quot;$&quot;#,##0\)"/>
      </dxf>
    </rfmt>
    <rfmt sheetId="7"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801" sId="7" ref="A1:XFD1" action="deleteRow">
    <rfmt sheetId="7" xfDxf="1" sqref="A1:XFD1" start="0" length="0"/>
    <rfmt sheetId="7" sqref="A1" start="0" length="0">
      <dxf>
        <font>
          <sz val="10"/>
          <color auto="1"/>
          <name val="Arial"/>
          <scheme val="none"/>
        </font>
      </dxf>
    </rfmt>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qref="F1" start="0" length="0">
      <dxf>
        <font>
          <sz val="10"/>
          <color auto="1"/>
          <name val="Arial"/>
          <scheme val="none"/>
        </font>
        <numFmt numFmtId="10" formatCode="&quot;$&quot;#,##0_);[Red]\(&quot;$&quot;#,##0\)"/>
      </dxf>
    </rfmt>
    <rfmt sheetId="7"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802" sId="7" ref="A1:XFD1" action="deleteRow">
    <rfmt sheetId="7" xfDxf="1" sqref="A1:XFD1" start="0" length="0"/>
    <rfmt sheetId="7" sqref="A1" start="0" length="0">
      <dxf>
        <font>
          <sz val="10"/>
          <color auto="1"/>
          <name val="Arial"/>
          <scheme val="none"/>
        </font>
      </dxf>
    </rfmt>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qref="F1" start="0" length="0">
      <dxf>
        <font>
          <sz val="10"/>
          <color auto="1"/>
          <name val="Arial"/>
          <scheme val="none"/>
        </font>
        <numFmt numFmtId="10" formatCode="&quot;$&quot;#,##0_);[Red]\(&quot;$&quot;#,##0\)"/>
      </dxf>
    </rfmt>
    <rfmt sheetId="7"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803" sId="7" ref="A1:XFD1" action="deleteRow">
    <rfmt sheetId="7" xfDxf="1" sqref="A1:XFD1" start="0" length="0"/>
    <rfmt sheetId="7" sqref="A1" start="0" length="0">
      <dxf>
        <font>
          <sz val="10"/>
          <color auto="1"/>
          <name val="Arial"/>
          <scheme val="none"/>
        </font>
      </dxf>
    </rfmt>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qref="F1" start="0" length="0">
      <dxf>
        <font>
          <sz val="10"/>
          <color auto="1"/>
          <name val="Arial"/>
          <scheme val="none"/>
        </font>
        <numFmt numFmtId="10" formatCode="&quot;$&quot;#,##0_);[Red]\(&quot;$&quot;#,##0\)"/>
      </dxf>
    </rfmt>
    <rfmt sheetId="7"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804" sId="7" ref="A1:XFD1" action="deleteRow">
    <rfmt sheetId="7" xfDxf="1" sqref="A1:XFD1" start="0" length="0"/>
    <rfmt sheetId="7" sqref="A1" start="0" length="0">
      <dxf>
        <font>
          <sz val="10"/>
          <color auto="1"/>
          <name val="Arial"/>
          <scheme val="none"/>
        </font>
      </dxf>
    </rfmt>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qref="F1" start="0" length="0">
      <dxf>
        <font>
          <sz val="10"/>
          <color auto="1"/>
          <name val="Arial"/>
          <scheme val="none"/>
        </font>
        <numFmt numFmtId="10" formatCode="&quot;$&quot;#,##0_);[Red]\(&quot;$&quot;#,##0\)"/>
      </dxf>
    </rfmt>
    <rfmt sheetId="7"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805" sId="7" ref="A1:XFD1" action="deleteRow">
    <rfmt sheetId="7" xfDxf="1" sqref="A1:XFD1" start="0" length="0"/>
    <rfmt sheetId="7" sqref="A1" start="0" length="0">
      <dxf>
        <font>
          <sz val="10"/>
          <color auto="1"/>
          <name val="Arial"/>
          <scheme val="none"/>
        </font>
      </dxf>
    </rfmt>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qref="F1" start="0" length="0">
      <dxf>
        <font>
          <sz val="10"/>
          <color auto="1"/>
          <name val="Arial"/>
          <scheme val="none"/>
        </font>
        <numFmt numFmtId="10" formatCode="&quot;$&quot;#,##0_);[Red]\(&quot;$&quot;#,##0\)"/>
      </dxf>
    </rfmt>
    <rfmt sheetId="7"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806" sId="7" ref="A1:XFD1" action="deleteRow">
    <rfmt sheetId="7" xfDxf="1" sqref="A1:XFD1" start="0" length="0"/>
    <rfmt sheetId="7" sqref="A1" start="0" length="0">
      <dxf>
        <font>
          <sz val="10"/>
          <color auto="1"/>
          <name val="Arial"/>
          <scheme val="none"/>
        </font>
      </dxf>
    </rfmt>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qref="F1" start="0" length="0">
      <dxf>
        <font>
          <sz val="10"/>
          <color auto="1"/>
          <name val="Arial"/>
          <scheme val="none"/>
        </font>
        <numFmt numFmtId="10" formatCode="&quot;$&quot;#,##0_);[Red]\(&quot;$&quot;#,##0\)"/>
      </dxf>
    </rfmt>
    <rfmt sheetId="7"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807" sId="7" ref="A1:XFD1" action="deleteRow">
    <rfmt sheetId="7" xfDxf="1" sqref="A1:XFD1" start="0" length="0"/>
    <rfmt sheetId="7" sqref="A1" start="0" length="0">
      <dxf>
        <font>
          <sz val="10"/>
          <color auto="1"/>
          <name val="Arial"/>
          <scheme val="none"/>
        </font>
      </dxf>
    </rfmt>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qref="F1" start="0" length="0">
      <dxf>
        <font>
          <sz val="10"/>
          <color auto="1"/>
          <name val="Arial"/>
          <scheme val="none"/>
        </font>
        <numFmt numFmtId="10" formatCode="&quot;$&quot;#,##0_);[Red]\(&quot;$&quot;#,##0\)"/>
      </dxf>
    </rfmt>
    <rfmt sheetId="7"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808" sId="7" ref="A1:XFD1" action="deleteRow">
    <rfmt sheetId="7" xfDxf="1" sqref="A1:XFD1" start="0" length="0"/>
    <rfmt sheetId="7" sqref="A1" start="0" length="0">
      <dxf>
        <font>
          <sz val="10"/>
          <color auto="1"/>
          <name val="Arial"/>
          <scheme val="none"/>
        </font>
      </dxf>
    </rfmt>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qref="F1" start="0" length="0">
      <dxf>
        <font>
          <sz val="10"/>
          <color auto="1"/>
          <name val="Arial"/>
          <scheme val="none"/>
        </font>
        <numFmt numFmtId="10" formatCode="&quot;$&quot;#,##0_);[Red]\(&quot;$&quot;#,##0\)"/>
      </dxf>
    </rfmt>
    <rfmt sheetId="7"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809" sId="7" ref="A1:XFD1" action="deleteRow">
    <rfmt sheetId="7" xfDxf="1" sqref="A1:XFD1" start="0" length="0"/>
    <rfmt sheetId="7" sqref="A1" start="0" length="0">
      <dxf>
        <font>
          <sz val="10"/>
          <color auto="1"/>
          <name val="Arial"/>
          <scheme val="none"/>
        </font>
      </dxf>
    </rfmt>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qref="F1" start="0" length="0">
      <dxf>
        <font>
          <sz val="10"/>
          <color auto="1"/>
          <name val="Arial"/>
          <scheme val="none"/>
        </font>
        <numFmt numFmtId="10" formatCode="&quot;$&quot;#,##0_);[Red]\(&quot;$&quot;#,##0\)"/>
      </dxf>
    </rfmt>
    <rfmt sheetId="7"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810" sId="7" ref="A1:XFD1" action="deleteRow">
    <rfmt sheetId="7" xfDxf="1" sqref="A1:XFD1" start="0" length="0"/>
    <rfmt sheetId="7" sqref="A1" start="0" length="0">
      <dxf>
        <font>
          <sz val="10"/>
          <color auto="1"/>
          <name val="Arial"/>
          <scheme val="none"/>
        </font>
      </dxf>
    </rfmt>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qref="F1" start="0" length="0">
      <dxf>
        <font>
          <sz val="10"/>
          <color auto="1"/>
          <name val="Arial"/>
          <scheme val="none"/>
        </font>
        <numFmt numFmtId="10" formatCode="&quot;$&quot;#,##0_);[Red]\(&quot;$&quot;#,##0\)"/>
      </dxf>
    </rfmt>
    <rfmt sheetId="7"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811" sId="7" ref="A1:XFD1" action="deleteRow">
    <rfmt sheetId="7" xfDxf="1" sqref="A1:XFD1" start="0" length="0"/>
    <rfmt sheetId="7" sqref="A1" start="0" length="0">
      <dxf>
        <font>
          <sz val="10"/>
          <color auto="1"/>
          <name val="Arial"/>
          <scheme val="none"/>
        </font>
      </dxf>
    </rfmt>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qref="F1" start="0" length="0">
      <dxf>
        <font>
          <sz val="10"/>
          <color auto="1"/>
          <name val="Arial"/>
          <scheme val="none"/>
        </font>
        <numFmt numFmtId="10" formatCode="&quot;$&quot;#,##0_);[Red]\(&quot;$&quot;#,##0\)"/>
      </dxf>
    </rfmt>
    <rfmt sheetId="7"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812" sId="7" ref="A1:XFD1" action="deleteRow">
    <rfmt sheetId="7" xfDxf="1" sqref="A1:XFD1" start="0" length="0"/>
    <rfmt sheetId="7" sqref="A1" start="0" length="0">
      <dxf>
        <font>
          <sz val="10"/>
          <color auto="1"/>
          <name val="Arial"/>
          <scheme val="none"/>
        </font>
      </dxf>
    </rfmt>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qref="F1" start="0" length="0">
      <dxf>
        <font>
          <sz val="10"/>
          <color auto="1"/>
          <name val="Arial"/>
          <scheme val="none"/>
        </font>
        <numFmt numFmtId="10" formatCode="&quot;$&quot;#,##0_);[Red]\(&quot;$&quot;#,##0\)"/>
      </dxf>
    </rfmt>
    <rfmt sheetId="7"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813" sId="7" ref="A1:XFD1" action="deleteRow">
    <rfmt sheetId="7" xfDxf="1" sqref="A1:XFD1" start="0" length="0"/>
    <rfmt sheetId="7" sqref="A1" start="0" length="0">
      <dxf>
        <font>
          <sz val="10"/>
          <color auto="1"/>
          <name val="Arial"/>
          <scheme val="none"/>
        </font>
      </dxf>
    </rfmt>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qref="F1" start="0" length="0">
      <dxf>
        <font>
          <sz val="10"/>
          <color auto="1"/>
          <name val="Arial"/>
          <scheme val="none"/>
        </font>
        <numFmt numFmtId="10" formatCode="&quot;$&quot;#,##0_);[Red]\(&quot;$&quot;#,##0\)"/>
      </dxf>
    </rfmt>
    <rfmt sheetId="7"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814" sId="7" ref="A1:XFD1" action="deleteRow">
    <rfmt sheetId="7" xfDxf="1" sqref="A1:XFD1" start="0" length="0"/>
    <rfmt sheetId="7" sqref="A1" start="0" length="0">
      <dxf>
        <font>
          <sz val="10"/>
          <color auto="1"/>
          <name val="Arial"/>
          <scheme val="none"/>
        </font>
      </dxf>
    </rfmt>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qref="F1" start="0" length="0">
      <dxf>
        <font>
          <sz val="10"/>
          <color auto="1"/>
          <name val="Arial"/>
          <scheme val="none"/>
        </font>
        <numFmt numFmtId="10" formatCode="&quot;$&quot;#,##0_);[Red]\(&quot;$&quot;#,##0\)"/>
      </dxf>
    </rfmt>
    <rfmt sheetId="7"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815" sId="7" ref="A1:XFD1" action="deleteRow">
    <rfmt sheetId="7" xfDxf="1" sqref="A1:XFD1" start="0" length="0"/>
    <rfmt sheetId="7" sqref="A1" start="0" length="0">
      <dxf>
        <font>
          <sz val="10"/>
          <color auto="1"/>
          <name val="Arial"/>
          <scheme val="none"/>
        </font>
      </dxf>
    </rfmt>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qref="F1" start="0" length="0">
      <dxf>
        <font>
          <sz val="10"/>
          <color auto="1"/>
          <name val="Arial"/>
          <scheme val="none"/>
        </font>
        <numFmt numFmtId="10" formatCode="&quot;$&quot;#,##0_);[Red]\(&quot;$&quot;#,##0\)"/>
      </dxf>
    </rfmt>
    <rfmt sheetId="7"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816" sId="7" ref="A1:XFD1" action="deleteRow">
    <rfmt sheetId="7" xfDxf="1" sqref="A1:XFD1" start="0" length="0"/>
    <rfmt sheetId="7" sqref="A1" start="0" length="0">
      <dxf>
        <font>
          <sz val="10"/>
          <color auto="1"/>
          <name val="Arial"/>
          <scheme val="none"/>
        </font>
      </dxf>
    </rfmt>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qref="F1" start="0" length="0">
      <dxf>
        <font>
          <sz val="10"/>
          <color auto="1"/>
          <name val="Arial"/>
          <scheme val="none"/>
        </font>
        <numFmt numFmtId="10" formatCode="&quot;$&quot;#,##0_);[Red]\(&quot;$&quot;#,##0\)"/>
      </dxf>
    </rfmt>
    <rfmt sheetId="7"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817" sId="7" ref="A1:XFD1" action="deleteRow">
    <rfmt sheetId="7" xfDxf="1" sqref="A1:XFD1" start="0" length="0"/>
    <rfmt sheetId="7" sqref="A1" start="0" length="0">
      <dxf>
        <font>
          <sz val="10"/>
          <color auto="1"/>
          <name val="Arial"/>
          <scheme val="none"/>
        </font>
      </dxf>
    </rfmt>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qref="F1" start="0" length="0">
      <dxf>
        <font>
          <sz val="10"/>
          <color auto="1"/>
          <name val="Arial"/>
          <scheme val="none"/>
        </font>
        <numFmt numFmtId="10" formatCode="&quot;$&quot;#,##0_);[Red]\(&quot;$&quot;#,##0\)"/>
      </dxf>
    </rfmt>
    <rfmt sheetId="7"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818" sId="7" ref="A1:XFD1" action="deleteRow">
    <rfmt sheetId="7" xfDxf="1" sqref="A1:XFD1" start="0" length="0"/>
    <rfmt sheetId="7" sqref="A1" start="0" length="0">
      <dxf>
        <font>
          <sz val="10"/>
          <color auto="1"/>
          <name val="Arial"/>
          <scheme val="none"/>
        </font>
      </dxf>
    </rfmt>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qref="F1" start="0" length="0">
      <dxf>
        <font>
          <sz val="10"/>
          <color auto="1"/>
          <name val="Arial"/>
          <scheme val="none"/>
        </font>
        <numFmt numFmtId="10" formatCode="&quot;$&quot;#,##0_);[Red]\(&quot;$&quot;#,##0\)"/>
      </dxf>
    </rfmt>
    <rfmt sheetId="7"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819" sId="7" ref="A1:XFD1" action="deleteRow">
    <rfmt sheetId="7" xfDxf="1" sqref="A1:XFD1" start="0" length="0"/>
    <rfmt sheetId="7" sqref="A1" start="0" length="0">
      <dxf>
        <font>
          <sz val="10"/>
          <color auto="1"/>
          <name val="Arial"/>
          <scheme val="none"/>
        </font>
      </dxf>
    </rfmt>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qref="F1" start="0" length="0">
      <dxf>
        <font>
          <sz val="10"/>
          <color auto="1"/>
          <name val="Arial"/>
          <scheme val="none"/>
        </font>
        <numFmt numFmtId="10" formatCode="&quot;$&quot;#,##0_);[Red]\(&quot;$&quot;#,##0\)"/>
      </dxf>
    </rfmt>
    <rfmt sheetId="7"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820" sId="7" ref="A1:XFD1" action="deleteRow">
    <rfmt sheetId="7" xfDxf="1" sqref="A1:XFD1" start="0" length="0"/>
    <rfmt sheetId="7" sqref="A1" start="0" length="0">
      <dxf>
        <font>
          <sz val="10"/>
          <color auto="1"/>
          <name val="Arial"/>
          <scheme val="none"/>
        </font>
      </dxf>
    </rfmt>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qref="F1" start="0" length="0">
      <dxf>
        <font>
          <sz val="10"/>
          <color auto="1"/>
          <name val="Arial"/>
          <scheme val="none"/>
        </font>
        <numFmt numFmtId="10" formatCode="&quot;$&quot;#,##0_);[Red]\(&quot;$&quot;#,##0\)"/>
      </dxf>
    </rfmt>
    <rfmt sheetId="7"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821" sId="7" ref="A1:XFD1" action="deleteRow">
    <rfmt sheetId="7" xfDxf="1" sqref="A1:XFD1" start="0" length="0"/>
    <rfmt sheetId="7" sqref="A1" start="0" length="0">
      <dxf>
        <font>
          <sz val="10"/>
          <color auto="1"/>
          <name val="Arial"/>
          <scheme val="none"/>
        </font>
      </dxf>
    </rfmt>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qref="F1" start="0" length="0">
      <dxf>
        <font>
          <sz val="10"/>
          <color auto="1"/>
          <name val="Arial"/>
          <scheme val="none"/>
        </font>
        <numFmt numFmtId="10" formatCode="&quot;$&quot;#,##0_);[Red]\(&quot;$&quot;#,##0\)"/>
      </dxf>
    </rfmt>
    <rfmt sheetId="7"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822" sId="7" ref="A1:XFD1" action="deleteRow">
    <rfmt sheetId="7" xfDxf="1" sqref="A1:XFD1" start="0" length="0"/>
    <rfmt sheetId="7" sqref="A1" start="0" length="0">
      <dxf>
        <font>
          <sz val="10"/>
          <color auto="1"/>
          <name val="Arial"/>
          <scheme val="none"/>
        </font>
      </dxf>
    </rfmt>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qref="F1" start="0" length="0">
      <dxf>
        <font>
          <sz val="10"/>
          <color auto="1"/>
          <name val="Arial"/>
          <scheme val="none"/>
        </font>
        <numFmt numFmtId="10" formatCode="&quot;$&quot;#,##0_);[Red]\(&quot;$&quot;#,##0\)"/>
      </dxf>
    </rfmt>
    <rfmt sheetId="7"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823" sId="7" ref="A1:XFD1" action="deleteRow">
    <rfmt sheetId="7" xfDxf="1" sqref="A1:XFD1" start="0" length="0"/>
    <rfmt sheetId="7" sqref="A1" start="0" length="0">
      <dxf>
        <font>
          <sz val="10"/>
          <color auto="1"/>
          <name val="Arial"/>
          <scheme val="none"/>
        </font>
      </dxf>
    </rfmt>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qref="F1" start="0" length="0">
      <dxf>
        <font>
          <sz val="10"/>
          <color auto="1"/>
          <name val="Arial"/>
          <scheme val="none"/>
        </font>
        <numFmt numFmtId="10" formatCode="&quot;$&quot;#,##0_);[Red]\(&quot;$&quot;#,##0\)"/>
      </dxf>
    </rfmt>
    <rfmt sheetId="7"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824" sId="7" ref="A1:XFD1" action="deleteRow">
    <rfmt sheetId="7" xfDxf="1" sqref="A1:XFD1" start="0" length="0"/>
    <rfmt sheetId="7" sqref="A1" start="0" length="0">
      <dxf>
        <font>
          <sz val="10"/>
          <color auto="1"/>
          <name val="Arial"/>
          <scheme val="none"/>
        </font>
      </dxf>
    </rfmt>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qref="F1" start="0" length="0">
      <dxf>
        <font>
          <sz val="10"/>
          <color auto="1"/>
          <name val="Arial"/>
          <scheme val="none"/>
        </font>
        <numFmt numFmtId="10" formatCode="&quot;$&quot;#,##0_);[Red]\(&quot;$&quot;#,##0\)"/>
      </dxf>
    </rfmt>
    <rfmt sheetId="7"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825" sId="7" ref="A1:XFD1" action="deleteRow">
    <rfmt sheetId="7" xfDxf="1" sqref="A1:XFD1" start="0" length="0"/>
    <rfmt sheetId="7" sqref="A1" start="0" length="0">
      <dxf>
        <font>
          <sz val="10"/>
          <color auto="1"/>
          <name val="Arial"/>
          <scheme val="none"/>
        </font>
      </dxf>
    </rfmt>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qref="F1" start="0" length="0">
      <dxf>
        <font>
          <sz val="10"/>
          <color auto="1"/>
          <name val="Arial"/>
          <scheme val="none"/>
        </font>
        <numFmt numFmtId="10" formatCode="&quot;$&quot;#,##0_);[Red]\(&quot;$&quot;#,##0\)"/>
      </dxf>
    </rfmt>
    <rfmt sheetId="7"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826" sId="7" ref="A1:XFD1" action="deleteRow">
    <rfmt sheetId="7" xfDxf="1" sqref="A1:XFD1" start="0" length="0"/>
    <rfmt sheetId="7" sqref="A1" start="0" length="0">
      <dxf>
        <font>
          <sz val="10"/>
          <color auto="1"/>
          <name val="Arial"/>
          <scheme val="none"/>
        </font>
      </dxf>
    </rfmt>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qref="F1" start="0" length="0">
      <dxf>
        <font>
          <sz val="10"/>
          <color auto="1"/>
          <name val="Arial"/>
          <scheme val="none"/>
        </font>
        <numFmt numFmtId="10" formatCode="&quot;$&quot;#,##0_);[Red]\(&quot;$&quot;#,##0\)"/>
      </dxf>
    </rfmt>
    <rfmt sheetId="7"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827" sId="7" ref="A1:XFD1" action="deleteRow">
    <rfmt sheetId="7" xfDxf="1" sqref="A1:XFD1" start="0" length="0"/>
    <rfmt sheetId="7" sqref="A1" start="0" length="0">
      <dxf>
        <font>
          <sz val="10"/>
          <color auto="1"/>
          <name val="Arial"/>
          <scheme val="none"/>
        </font>
      </dxf>
    </rfmt>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qref="F1" start="0" length="0">
      <dxf>
        <font>
          <sz val="10"/>
          <color auto="1"/>
          <name val="Arial"/>
          <scheme val="none"/>
        </font>
        <numFmt numFmtId="10" formatCode="&quot;$&quot;#,##0_);[Red]\(&quot;$&quot;#,##0\)"/>
      </dxf>
    </rfmt>
    <rfmt sheetId="7"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828" sId="7" ref="A1:XFD1" action="deleteRow">
    <rfmt sheetId="7" xfDxf="1" sqref="A1:XFD1" start="0" length="0"/>
    <rfmt sheetId="7" sqref="A1" start="0" length="0">
      <dxf>
        <font>
          <sz val="10"/>
          <color auto="1"/>
          <name val="Arial"/>
          <scheme val="none"/>
        </font>
      </dxf>
    </rfmt>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qref="F1" start="0" length="0">
      <dxf>
        <font>
          <sz val="10"/>
          <color auto="1"/>
          <name val="Arial"/>
          <scheme val="none"/>
        </font>
        <numFmt numFmtId="10" formatCode="&quot;$&quot;#,##0_);[Red]\(&quot;$&quot;#,##0\)"/>
      </dxf>
    </rfmt>
    <rfmt sheetId="7"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829" sId="7" ref="A1:XFD1" action="deleteRow">
    <rfmt sheetId="7" xfDxf="1" sqref="A1:XFD1" start="0" length="0"/>
    <rfmt sheetId="7" sqref="A1" start="0" length="0">
      <dxf>
        <font>
          <sz val="10"/>
          <color auto="1"/>
          <name val="Arial"/>
          <scheme val="none"/>
        </font>
      </dxf>
    </rfmt>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qref="F1" start="0" length="0">
      <dxf>
        <font>
          <sz val="10"/>
          <color auto="1"/>
          <name val="Arial"/>
          <scheme val="none"/>
        </font>
        <numFmt numFmtId="10" formatCode="&quot;$&quot;#,##0_);[Red]\(&quot;$&quot;#,##0\)"/>
      </dxf>
    </rfmt>
    <rfmt sheetId="7"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830" sId="7" ref="A1:XFD1" action="deleteRow">
    <rfmt sheetId="7" xfDxf="1" sqref="A1:XFD1" start="0" length="0"/>
    <rfmt sheetId="7" sqref="A1" start="0" length="0">
      <dxf>
        <font>
          <sz val="10"/>
          <color auto="1"/>
          <name val="Arial"/>
          <scheme val="none"/>
        </font>
      </dxf>
    </rfmt>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qref="F1" start="0" length="0">
      <dxf>
        <font>
          <sz val="10"/>
          <color auto="1"/>
          <name val="Arial"/>
          <scheme val="none"/>
        </font>
        <numFmt numFmtId="10" formatCode="&quot;$&quot;#,##0_);[Red]\(&quot;$&quot;#,##0\)"/>
      </dxf>
    </rfmt>
    <rfmt sheetId="7"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831" sId="7" ref="A1:XFD1" action="deleteRow">
    <rfmt sheetId="7" xfDxf="1" sqref="A1:XFD1" start="0" length="0"/>
    <rfmt sheetId="7" sqref="A1" start="0" length="0">
      <dxf>
        <font>
          <sz val="10"/>
          <color auto="1"/>
          <name val="Arial"/>
          <scheme val="none"/>
        </font>
      </dxf>
    </rfmt>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qref="F1" start="0" length="0">
      <dxf>
        <font>
          <sz val="10"/>
          <color auto="1"/>
          <name val="Arial"/>
          <scheme val="none"/>
        </font>
        <numFmt numFmtId="10" formatCode="&quot;$&quot;#,##0_);[Red]\(&quot;$&quot;#,##0\)"/>
      </dxf>
    </rfmt>
    <rfmt sheetId="7"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832" sId="7" ref="A1:XFD1" action="deleteRow">
    <rfmt sheetId="7" xfDxf="1" sqref="A1:XFD1" start="0" length="0"/>
    <rfmt sheetId="7" sqref="A1" start="0" length="0">
      <dxf>
        <font>
          <sz val="10"/>
          <color auto="1"/>
          <name val="Arial"/>
          <scheme val="none"/>
        </font>
      </dxf>
    </rfmt>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qref="F1" start="0" length="0">
      <dxf>
        <font>
          <sz val="10"/>
          <color auto="1"/>
          <name val="Arial"/>
          <scheme val="none"/>
        </font>
        <numFmt numFmtId="10" formatCode="&quot;$&quot;#,##0_);[Red]\(&quot;$&quot;#,##0\)"/>
      </dxf>
    </rfmt>
    <rfmt sheetId="7"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833" sId="7" ref="A1:XFD1" action="deleteRow">
    <rfmt sheetId="7" xfDxf="1" sqref="A1:XFD1" start="0" length="0"/>
    <rfmt sheetId="7" sqref="A1" start="0" length="0">
      <dxf>
        <font>
          <sz val="10"/>
          <color auto="1"/>
          <name val="Arial"/>
          <scheme val="none"/>
        </font>
      </dxf>
    </rfmt>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qref="F1" start="0" length="0">
      <dxf>
        <font>
          <sz val="10"/>
          <color auto="1"/>
          <name val="Arial"/>
          <scheme val="none"/>
        </font>
        <numFmt numFmtId="10" formatCode="&quot;$&quot;#,##0_);[Red]\(&quot;$&quot;#,##0\)"/>
      </dxf>
    </rfmt>
    <rfmt sheetId="7"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834" sId="7" ref="A1:XFD1" action="deleteRow">
    <rfmt sheetId="7" xfDxf="1" sqref="A1:XFD1" start="0" length="0"/>
    <rfmt sheetId="7" sqref="A1" start="0" length="0">
      <dxf>
        <font>
          <sz val="10"/>
          <color auto="1"/>
          <name val="Arial"/>
          <scheme val="none"/>
        </font>
      </dxf>
    </rfmt>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qref="F1" start="0" length="0">
      <dxf>
        <font>
          <sz val="10"/>
          <color auto="1"/>
          <name val="Arial"/>
          <scheme val="none"/>
        </font>
        <numFmt numFmtId="10" formatCode="&quot;$&quot;#,##0_);[Red]\(&quot;$&quot;#,##0\)"/>
      </dxf>
    </rfmt>
    <rfmt sheetId="7"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835" sId="7" ref="A1:XFD1" action="deleteRow">
    <rfmt sheetId="7" xfDxf="1" sqref="A1:XFD1" start="0" length="0"/>
    <rfmt sheetId="7" sqref="A1" start="0" length="0">
      <dxf>
        <font>
          <sz val="10"/>
          <color auto="1"/>
          <name val="Arial"/>
          <scheme val="none"/>
        </font>
      </dxf>
    </rfmt>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qref="F1" start="0" length="0">
      <dxf>
        <font>
          <sz val="10"/>
          <color auto="1"/>
          <name val="Arial"/>
          <scheme val="none"/>
        </font>
        <numFmt numFmtId="10" formatCode="&quot;$&quot;#,##0_);[Red]\(&quot;$&quot;#,##0\)"/>
      </dxf>
    </rfmt>
    <rfmt sheetId="7"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836" sId="7" ref="A1:XFD1" action="deleteRow">
    <rfmt sheetId="7" xfDxf="1" sqref="A1:XFD1" start="0" length="0"/>
    <rfmt sheetId="7" sqref="A1" start="0" length="0">
      <dxf>
        <font>
          <sz val="10"/>
          <color auto="1"/>
          <name val="Arial"/>
          <scheme val="none"/>
        </font>
      </dxf>
    </rfmt>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qref="F1" start="0" length="0">
      <dxf>
        <font>
          <sz val="10"/>
          <color auto="1"/>
          <name val="Arial"/>
          <scheme val="none"/>
        </font>
        <numFmt numFmtId="10" formatCode="&quot;$&quot;#,##0_);[Red]\(&quot;$&quot;#,##0\)"/>
      </dxf>
    </rfmt>
    <rfmt sheetId="7"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837" sId="7" ref="A1:XFD1" action="deleteRow">
    <rfmt sheetId="7" xfDxf="1" sqref="A1:XFD1" start="0" length="0"/>
    <rfmt sheetId="7" sqref="A1" start="0" length="0">
      <dxf>
        <font>
          <sz val="10"/>
          <color auto="1"/>
          <name val="Arial"/>
          <scheme val="none"/>
        </font>
      </dxf>
    </rfmt>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qref="F1" start="0" length="0">
      <dxf>
        <font>
          <sz val="10"/>
          <color auto="1"/>
          <name val="Arial"/>
          <scheme val="none"/>
        </font>
        <numFmt numFmtId="10" formatCode="&quot;$&quot;#,##0_);[Red]\(&quot;$&quot;#,##0\)"/>
      </dxf>
    </rfmt>
    <rfmt sheetId="7"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838" sId="7" ref="A1:XFD1" action="deleteRow">
    <rfmt sheetId="7" xfDxf="1" sqref="A1:XFD1" start="0" length="0"/>
    <rfmt sheetId="7" sqref="A1" start="0" length="0">
      <dxf>
        <font>
          <sz val="10"/>
          <color auto="1"/>
          <name val="Arial"/>
          <scheme val="none"/>
        </font>
      </dxf>
    </rfmt>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qref="F1" start="0" length="0">
      <dxf>
        <font>
          <sz val="10"/>
          <color auto="1"/>
          <name val="Arial"/>
          <scheme val="none"/>
        </font>
        <numFmt numFmtId="10" formatCode="&quot;$&quot;#,##0_);[Red]\(&quot;$&quot;#,##0\)"/>
      </dxf>
    </rfmt>
    <rfmt sheetId="7"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839" sId="7" ref="A1:XFD1" action="deleteRow">
    <rfmt sheetId="7" xfDxf="1" sqref="A1:XFD1" start="0" length="0"/>
    <rfmt sheetId="7" sqref="A1" start="0" length="0">
      <dxf>
        <font>
          <sz val="10"/>
          <color auto="1"/>
          <name val="Arial"/>
          <scheme val="none"/>
        </font>
      </dxf>
    </rfmt>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qref="F1" start="0" length="0">
      <dxf>
        <font>
          <sz val="10"/>
          <color auto="1"/>
          <name val="Arial"/>
          <scheme val="none"/>
        </font>
        <numFmt numFmtId="10" formatCode="&quot;$&quot;#,##0_);[Red]\(&quot;$&quot;#,##0\)"/>
      </dxf>
    </rfmt>
    <rfmt sheetId="7"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840" sId="7" ref="A1:XFD1" action="deleteRow">
    <rfmt sheetId="7" xfDxf="1" sqref="A1:XFD1" start="0" length="0"/>
    <rfmt sheetId="7" sqref="A1" start="0" length="0">
      <dxf>
        <font>
          <sz val="10"/>
          <color auto="1"/>
          <name val="Arial"/>
          <scheme val="none"/>
        </font>
      </dxf>
    </rfmt>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qref="F1" start="0" length="0">
      <dxf>
        <font>
          <sz val="10"/>
          <color auto="1"/>
          <name val="Arial"/>
          <scheme val="none"/>
        </font>
        <numFmt numFmtId="10" formatCode="&quot;$&quot;#,##0_);[Red]\(&quot;$&quot;#,##0\)"/>
      </dxf>
    </rfmt>
    <rfmt sheetId="7"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841" sId="7" ref="A1:XFD1" action="deleteRow">
    <rfmt sheetId="7" xfDxf="1" sqref="A1:XFD1" start="0" length="0"/>
    <rfmt sheetId="7" sqref="A1" start="0" length="0">
      <dxf>
        <font>
          <sz val="10"/>
          <color auto="1"/>
          <name val="Arial"/>
          <scheme val="none"/>
        </font>
      </dxf>
    </rfmt>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qref="F1" start="0" length="0">
      <dxf>
        <font>
          <sz val="10"/>
          <color auto="1"/>
          <name val="Arial"/>
          <scheme val="none"/>
        </font>
        <numFmt numFmtId="10" formatCode="&quot;$&quot;#,##0_);[Red]\(&quot;$&quot;#,##0\)"/>
      </dxf>
    </rfmt>
    <rfmt sheetId="7"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842" sId="7" ref="A1:XFD1" action="deleteRow">
    <rfmt sheetId="7" xfDxf="1" sqref="A1:XFD1" start="0" length="0"/>
    <rfmt sheetId="7" sqref="A1" start="0" length="0">
      <dxf>
        <font>
          <sz val="10"/>
          <color auto="1"/>
          <name val="Arial"/>
          <scheme val="none"/>
        </font>
      </dxf>
    </rfmt>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qref="F1" start="0" length="0">
      <dxf>
        <font>
          <sz val="10"/>
          <color auto="1"/>
          <name val="Arial"/>
          <scheme val="none"/>
        </font>
        <numFmt numFmtId="10" formatCode="&quot;$&quot;#,##0_);[Red]\(&quot;$&quot;#,##0\)"/>
      </dxf>
    </rfmt>
    <rfmt sheetId="7"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843" sId="7" ref="A1:XFD1" action="deleteRow">
    <rfmt sheetId="7" xfDxf="1" sqref="A1:XFD1" start="0" length="0"/>
    <rfmt sheetId="7" sqref="A1" start="0" length="0">
      <dxf>
        <font>
          <sz val="10"/>
          <color auto="1"/>
          <name val="Arial"/>
          <scheme val="none"/>
        </font>
      </dxf>
    </rfmt>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qref="F1" start="0" length="0">
      <dxf>
        <font>
          <sz val="10"/>
          <color auto="1"/>
          <name val="Arial"/>
          <scheme val="none"/>
        </font>
        <numFmt numFmtId="10" formatCode="&quot;$&quot;#,##0_);[Red]\(&quot;$&quot;#,##0\)"/>
      </dxf>
    </rfmt>
    <rfmt sheetId="7"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844" sId="7" ref="A1:XFD1" action="deleteRow">
    <rfmt sheetId="7" xfDxf="1" sqref="A1:XFD1" start="0" length="0"/>
    <rfmt sheetId="7" sqref="A1" start="0" length="0">
      <dxf>
        <font>
          <sz val="10"/>
          <color auto="1"/>
          <name val="Arial"/>
          <scheme val="none"/>
        </font>
      </dxf>
    </rfmt>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qref="F1" start="0" length="0">
      <dxf>
        <font>
          <sz val="10"/>
          <color auto="1"/>
          <name val="Arial"/>
          <scheme val="none"/>
        </font>
        <numFmt numFmtId="10" formatCode="&quot;$&quot;#,##0_);[Red]\(&quot;$&quot;#,##0\)"/>
      </dxf>
    </rfmt>
    <rfmt sheetId="7"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845" sId="7" ref="A1:XFD1" action="deleteRow">
    <rfmt sheetId="7" xfDxf="1" sqref="A1:XFD1" start="0" length="0"/>
    <rfmt sheetId="7" sqref="A1" start="0" length="0">
      <dxf>
        <font>
          <sz val="10"/>
          <color auto="1"/>
          <name val="Arial"/>
          <scheme val="none"/>
        </font>
      </dxf>
    </rfmt>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qref="F1" start="0" length="0">
      <dxf>
        <font>
          <sz val="10"/>
          <color auto="1"/>
          <name val="Arial"/>
          <scheme val="none"/>
        </font>
        <numFmt numFmtId="10" formatCode="&quot;$&quot;#,##0_);[Red]\(&quot;$&quot;#,##0\)"/>
      </dxf>
    </rfmt>
    <rfmt sheetId="7"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846" sId="7" ref="A1:XFD1" action="deleteRow">
    <rfmt sheetId="7" xfDxf="1" sqref="A1:XFD1" start="0" length="0"/>
    <rfmt sheetId="7" sqref="A1" start="0" length="0">
      <dxf>
        <font>
          <sz val="10"/>
          <color auto="1"/>
          <name val="Arial"/>
          <scheme val="none"/>
        </font>
      </dxf>
    </rfmt>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qref="F1" start="0" length="0">
      <dxf>
        <font>
          <sz val="10"/>
          <color auto="1"/>
          <name val="Arial"/>
          <scheme val="none"/>
        </font>
        <numFmt numFmtId="10" formatCode="&quot;$&quot;#,##0_);[Red]\(&quot;$&quot;#,##0\)"/>
      </dxf>
    </rfmt>
    <rfmt sheetId="7"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847" sId="7" ref="A1:XFD1" action="deleteRow">
    <rfmt sheetId="7" xfDxf="1" sqref="A1:XFD1" start="0" length="0"/>
    <rfmt sheetId="7" sqref="A1" start="0" length="0">
      <dxf>
        <font>
          <sz val="10"/>
          <color auto="1"/>
          <name val="Arial"/>
          <scheme val="none"/>
        </font>
      </dxf>
    </rfmt>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qref="F1" start="0" length="0">
      <dxf>
        <font>
          <sz val="10"/>
          <color auto="1"/>
          <name val="Arial"/>
          <scheme val="none"/>
        </font>
        <numFmt numFmtId="10" formatCode="&quot;$&quot;#,##0_);[Red]\(&quot;$&quot;#,##0\)"/>
      </dxf>
    </rfmt>
    <rfmt sheetId="7"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848" sId="7" ref="A1:XFD1" action="deleteRow">
    <rfmt sheetId="7" xfDxf="1" sqref="A1:XFD1" start="0" length="0"/>
    <rfmt sheetId="7" sqref="A1" start="0" length="0">
      <dxf>
        <font>
          <sz val="10"/>
          <color auto="1"/>
          <name val="Arial"/>
          <scheme val="none"/>
        </font>
      </dxf>
    </rfmt>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qref="F1" start="0" length="0">
      <dxf>
        <font>
          <sz val="10"/>
          <color auto="1"/>
          <name val="Arial"/>
          <scheme val="none"/>
        </font>
        <numFmt numFmtId="10" formatCode="&quot;$&quot;#,##0_);[Red]\(&quot;$&quot;#,##0\)"/>
      </dxf>
    </rfmt>
    <rfmt sheetId="7"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849" sId="7" ref="A1:XFD1" action="deleteRow">
    <rfmt sheetId="7" xfDxf="1" sqref="A1:XFD1" start="0" length="0"/>
    <rfmt sheetId="7" sqref="A1" start="0" length="0">
      <dxf>
        <font>
          <sz val="10"/>
          <color auto="1"/>
          <name val="Arial"/>
          <scheme val="none"/>
        </font>
      </dxf>
    </rfmt>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qref="F1" start="0" length="0">
      <dxf>
        <font>
          <sz val="10"/>
          <color auto="1"/>
          <name val="Arial"/>
          <scheme val="none"/>
        </font>
        <numFmt numFmtId="10" formatCode="&quot;$&quot;#,##0_);[Red]\(&quot;$&quot;#,##0\)"/>
      </dxf>
    </rfmt>
    <rfmt sheetId="7"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850" sId="7" ref="A1:XFD1" action="deleteRow">
    <rfmt sheetId="7" xfDxf="1" sqref="A1:XFD1" start="0" length="0"/>
    <rfmt sheetId="7" sqref="A1" start="0" length="0">
      <dxf>
        <font>
          <sz val="10"/>
          <color auto="1"/>
          <name val="Arial"/>
          <scheme val="none"/>
        </font>
      </dxf>
    </rfmt>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qref="F1" start="0" length="0">
      <dxf>
        <font>
          <sz val="10"/>
          <color auto="1"/>
          <name val="Arial"/>
          <scheme val="none"/>
        </font>
        <numFmt numFmtId="10" formatCode="&quot;$&quot;#,##0_);[Red]\(&quot;$&quot;#,##0\)"/>
      </dxf>
    </rfmt>
    <rfmt sheetId="7"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851" sId="7" ref="A1:XFD1" action="deleteRow">
    <rfmt sheetId="7" xfDxf="1" sqref="A1:XFD1" start="0" length="0"/>
    <rfmt sheetId="7" sqref="A1" start="0" length="0">
      <dxf>
        <font>
          <sz val="10"/>
          <color auto="1"/>
          <name val="Arial"/>
          <scheme val="none"/>
        </font>
      </dxf>
    </rfmt>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qref="F1" start="0" length="0">
      <dxf>
        <font>
          <sz val="10"/>
          <color auto="1"/>
          <name val="Arial"/>
          <scheme val="none"/>
        </font>
        <numFmt numFmtId="10" formatCode="&quot;$&quot;#,##0_);[Red]\(&quot;$&quot;#,##0\)"/>
      </dxf>
    </rfmt>
    <rfmt sheetId="7"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852" sId="7" ref="A1:XFD1" action="deleteRow">
    <rfmt sheetId="7" xfDxf="1" sqref="A1:XFD1" start="0" length="0"/>
    <rfmt sheetId="7" sqref="A1" start="0" length="0">
      <dxf>
        <font>
          <sz val="10"/>
          <color auto="1"/>
          <name val="Arial"/>
          <scheme val="none"/>
        </font>
      </dxf>
    </rfmt>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qref="F1" start="0" length="0">
      <dxf>
        <font>
          <sz val="10"/>
          <color auto="1"/>
          <name val="Arial"/>
          <scheme val="none"/>
        </font>
        <numFmt numFmtId="10" formatCode="&quot;$&quot;#,##0_);[Red]\(&quot;$&quot;#,##0\)"/>
      </dxf>
    </rfmt>
    <rfmt sheetId="7"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853" sId="7" ref="A1:XFD1" action="deleteRow">
    <rfmt sheetId="7" xfDxf="1" sqref="A1:XFD1" start="0" length="0"/>
    <rfmt sheetId="7" sqref="A1" start="0" length="0">
      <dxf>
        <font>
          <sz val="10"/>
          <color auto="1"/>
          <name val="Arial"/>
          <scheme val="none"/>
        </font>
      </dxf>
    </rfmt>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qref="F1" start="0" length="0">
      <dxf>
        <font>
          <sz val="10"/>
          <color auto="1"/>
          <name val="Arial"/>
          <scheme val="none"/>
        </font>
        <numFmt numFmtId="10" formatCode="&quot;$&quot;#,##0_);[Red]\(&quot;$&quot;#,##0\)"/>
      </dxf>
    </rfmt>
    <rfmt sheetId="7"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854" sId="7" ref="A1:XFD1" action="deleteRow">
    <rfmt sheetId="7" xfDxf="1" sqref="A1:XFD1" start="0" length="0"/>
    <rfmt sheetId="7" sqref="A1" start="0" length="0">
      <dxf>
        <font>
          <sz val="10"/>
          <color auto="1"/>
          <name val="Arial"/>
          <scheme val="none"/>
        </font>
      </dxf>
    </rfmt>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qref="F1" start="0" length="0">
      <dxf>
        <font>
          <sz val="10"/>
          <color auto="1"/>
          <name val="Arial"/>
          <scheme val="none"/>
        </font>
        <numFmt numFmtId="10" formatCode="&quot;$&quot;#,##0_);[Red]\(&quot;$&quot;#,##0\)"/>
      </dxf>
    </rfmt>
    <rfmt sheetId="7"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855" sId="7" ref="A1:XFD1" action="deleteRow">
    <rfmt sheetId="7" xfDxf="1" sqref="A1:XFD1" start="0" length="0"/>
    <rfmt sheetId="7" sqref="A1" start="0" length="0">
      <dxf>
        <font>
          <sz val="10"/>
          <color auto="1"/>
          <name val="Arial"/>
          <scheme val="none"/>
        </font>
      </dxf>
    </rfmt>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qref="F1" start="0" length="0">
      <dxf>
        <font>
          <sz val="10"/>
          <color auto="1"/>
          <name val="Arial"/>
          <scheme val="none"/>
        </font>
        <numFmt numFmtId="10" formatCode="&quot;$&quot;#,##0_);[Red]\(&quot;$&quot;#,##0\)"/>
      </dxf>
    </rfmt>
    <rfmt sheetId="7"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856" sId="7" ref="A1:XFD1" action="deleteRow">
    <rfmt sheetId="7" xfDxf="1" sqref="A1:XFD1" start="0" length="0"/>
    <rfmt sheetId="7" sqref="A1" start="0" length="0">
      <dxf>
        <font>
          <sz val="10"/>
          <color auto="1"/>
          <name val="Arial"/>
          <scheme val="none"/>
        </font>
      </dxf>
    </rfmt>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qref="F1" start="0" length="0">
      <dxf>
        <font>
          <sz val="10"/>
          <color auto="1"/>
          <name val="Arial"/>
          <scheme val="none"/>
        </font>
        <numFmt numFmtId="10" formatCode="&quot;$&quot;#,##0_);[Red]\(&quot;$&quot;#,##0\)"/>
      </dxf>
    </rfmt>
    <rfmt sheetId="7"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857" sId="7" ref="A1:XFD1" action="deleteRow">
    <rfmt sheetId="7" xfDxf="1" sqref="A1:XFD1" start="0" length="0"/>
    <rfmt sheetId="7" sqref="A1" start="0" length="0">
      <dxf>
        <font>
          <sz val="10"/>
          <color auto="1"/>
          <name val="Arial"/>
          <scheme val="none"/>
        </font>
      </dxf>
    </rfmt>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qref="F1" start="0" length="0">
      <dxf>
        <font>
          <sz val="10"/>
          <color auto="1"/>
          <name val="Arial"/>
          <scheme val="none"/>
        </font>
        <numFmt numFmtId="10" formatCode="&quot;$&quot;#,##0_);[Red]\(&quot;$&quot;#,##0\)"/>
      </dxf>
    </rfmt>
    <rfmt sheetId="7"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858" sId="7" ref="A1:XFD1" action="deleteRow">
    <rfmt sheetId="7" xfDxf="1" sqref="A1:XFD1" start="0" length="0"/>
    <rfmt sheetId="7" sqref="A1" start="0" length="0">
      <dxf>
        <font>
          <sz val="10"/>
          <color auto="1"/>
          <name val="Arial"/>
          <scheme val="none"/>
        </font>
      </dxf>
    </rfmt>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qref="F1" start="0" length="0">
      <dxf>
        <font>
          <sz val="10"/>
          <color auto="1"/>
          <name val="Arial"/>
          <scheme val="none"/>
        </font>
        <numFmt numFmtId="10" formatCode="&quot;$&quot;#,##0_);[Red]\(&quot;$&quot;#,##0\)"/>
      </dxf>
    </rfmt>
    <rfmt sheetId="7"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859" sId="7" ref="A1:XFD1" action="deleteRow">
    <rfmt sheetId="7" xfDxf="1" sqref="A1:XFD1" start="0" length="0"/>
    <rfmt sheetId="7" sqref="A1" start="0" length="0">
      <dxf>
        <font>
          <sz val="10"/>
          <color auto="1"/>
          <name val="Arial"/>
          <scheme val="none"/>
        </font>
      </dxf>
    </rfmt>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qref="F1" start="0" length="0">
      <dxf>
        <font>
          <sz val="10"/>
          <color auto="1"/>
          <name val="Arial"/>
          <scheme val="none"/>
        </font>
        <numFmt numFmtId="10" formatCode="&quot;$&quot;#,##0_);[Red]\(&quot;$&quot;#,##0\)"/>
      </dxf>
    </rfmt>
    <rfmt sheetId="7"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860" sId="7" ref="A1:XFD1" action="deleteRow">
    <rfmt sheetId="7" xfDxf="1" sqref="A1:XFD1" start="0" length="0"/>
    <rfmt sheetId="7" sqref="A1" start="0" length="0">
      <dxf>
        <font>
          <sz val="10"/>
          <color auto="1"/>
          <name val="Arial"/>
          <scheme val="none"/>
        </font>
      </dxf>
    </rfmt>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qref="F1" start="0" length="0">
      <dxf>
        <font>
          <sz val="10"/>
          <color auto="1"/>
          <name val="Arial"/>
          <scheme val="none"/>
        </font>
        <numFmt numFmtId="10" formatCode="&quot;$&quot;#,##0_);[Red]\(&quot;$&quot;#,##0\)"/>
      </dxf>
    </rfmt>
    <rfmt sheetId="7"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861" sId="7" ref="A1:XFD1" action="deleteRow">
    <rfmt sheetId="7" xfDxf="1" sqref="A1:XFD1" start="0" length="0"/>
    <rfmt sheetId="7" sqref="A1" start="0" length="0">
      <dxf>
        <font>
          <sz val="10"/>
          <color auto="1"/>
          <name val="Arial"/>
          <scheme val="none"/>
        </font>
      </dxf>
    </rfmt>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qref="F1" start="0" length="0">
      <dxf>
        <font>
          <sz val="10"/>
          <color auto="1"/>
          <name val="Arial"/>
          <scheme val="none"/>
        </font>
        <numFmt numFmtId="10" formatCode="&quot;$&quot;#,##0_);[Red]\(&quot;$&quot;#,##0\)"/>
      </dxf>
    </rfmt>
    <rfmt sheetId="7"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862" sId="7" ref="A1:XFD1" action="deleteRow">
    <rfmt sheetId="7" xfDxf="1" sqref="A1:XFD1" start="0" length="0"/>
    <rfmt sheetId="7" sqref="A1" start="0" length="0">
      <dxf>
        <font>
          <sz val="10"/>
          <color auto="1"/>
          <name val="Arial"/>
          <scheme val="none"/>
        </font>
      </dxf>
    </rfmt>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qref="F1" start="0" length="0">
      <dxf>
        <font>
          <sz val="10"/>
          <color auto="1"/>
          <name val="Arial"/>
          <scheme val="none"/>
        </font>
        <numFmt numFmtId="10" formatCode="&quot;$&quot;#,##0_);[Red]\(&quot;$&quot;#,##0\)"/>
      </dxf>
    </rfmt>
    <rfmt sheetId="7"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863" sId="7" ref="A1:XFD1" action="deleteRow">
    <rfmt sheetId="7" xfDxf="1" sqref="A1:XFD1" start="0" length="0"/>
    <rfmt sheetId="7" sqref="A1" start="0" length="0">
      <dxf>
        <font>
          <sz val="10"/>
          <color auto="1"/>
          <name val="Arial"/>
          <scheme val="none"/>
        </font>
      </dxf>
    </rfmt>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qref="F1" start="0" length="0">
      <dxf>
        <font>
          <sz val="10"/>
          <color auto="1"/>
          <name val="Arial"/>
          <scheme val="none"/>
        </font>
        <numFmt numFmtId="10" formatCode="&quot;$&quot;#,##0_);[Red]\(&quot;$&quot;#,##0\)"/>
      </dxf>
    </rfmt>
    <rfmt sheetId="7"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864" sId="7" ref="A1:XFD1" action="deleteRow">
    <rfmt sheetId="7" xfDxf="1" sqref="A1:XFD1" start="0" length="0"/>
    <rfmt sheetId="7" sqref="A1" start="0" length="0">
      <dxf>
        <font>
          <sz val="10"/>
          <color auto="1"/>
          <name val="Arial"/>
          <scheme val="none"/>
        </font>
      </dxf>
    </rfmt>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qref="F1" start="0" length="0">
      <dxf>
        <font>
          <sz val="10"/>
          <color auto="1"/>
          <name val="Arial"/>
          <scheme val="none"/>
        </font>
        <numFmt numFmtId="10" formatCode="&quot;$&quot;#,##0_);[Red]\(&quot;$&quot;#,##0\)"/>
      </dxf>
    </rfmt>
    <rfmt sheetId="7"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865" sId="7" ref="A1:XFD1" action="deleteRow">
    <rfmt sheetId="7" xfDxf="1" sqref="A1:XFD1" start="0" length="0"/>
    <rfmt sheetId="7" sqref="A1" start="0" length="0">
      <dxf>
        <font>
          <sz val="10"/>
          <color auto="1"/>
          <name val="Arial"/>
          <scheme val="none"/>
        </font>
      </dxf>
    </rfmt>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qref="F1" start="0" length="0">
      <dxf>
        <font>
          <sz val="10"/>
          <color auto="1"/>
          <name val="Arial"/>
          <scheme val="none"/>
        </font>
        <numFmt numFmtId="10" formatCode="&quot;$&quot;#,##0_);[Red]\(&quot;$&quot;#,##0\)"/>
      </dxf>
    </rfmt>
    <rfmt sheetId="7"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866" sId="7" ref="A1:XFD1" action="deleteRow">
    <rfmt sheetId="7" xfDxf="1" sqref="A1:XFD1" start="0" length="0"/>
    <rfmt sheetId="7" sqref="A1" start="0" length="0">
      <dxf>
        <font>
          <sz val="10"/>
          <color auto="1"/>
          <name val="Arial"/>
          <scheme val="none"/>
        </font>
      </dxf>
    </rfmt>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qref="F1" start="0" length="0">
      <dxf>
        <font>
          <sz val="10"/>
          <color auto="1"/>
          <name val="Arial"/>
          <scheme val="none"/>
        </font>
        <numFmt numFmtId="10" formatCode="&quot;$&quot;#,##0_);[Red]\(&quot;$&quot;#,##0\)"/>
      </dxf>
    </rfmt>
    <rfmt sheetId="7"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867" sId="7" ref="A1:XFD1" action="deleteRow">
    <rfmt sheetId="7" xfDxf="1" sqref="A1:XFD1" start="0" length="0"/>
    <rfmt sheetId="7" sqref="A1" start="0" length="0">
      <dxf>
        <font>
          <sz val="10"/>
          <color auto="1"/>
          <name val="Arial"/>
          <scheme val="none"/>
        </font>
      </dxf>
    </rfmt>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qref="F1" start="0" length="0">
      <dxf>
        <font>
          <sz val="10"/>
          <color auto="1"/>
          <name val="Arial"/>
          <scheme val="none"/>
        </font>
        <numFmt numFmtId="10" formatCode="&quot;$&quot;#,##0_);[Red]\(&quot;$&quot;#,##0\)"/>
      </dxf>
    </rfmt>
    <rfmt sheetId="7"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868" sId="7" ref="A1:XFD1" action="deleteRow">
    <rfmt sheetId="7" xfDxf="1" sqref="A1:XFD1" start="0" length="0"/>
    <rfmt sheetId="7" sqref="A1" start="0" length="0">
      <dxf>
        <font>
          <sz val="10"/>
          <color auto="1"/>
          <name val="Arial"/>
          <scheme val="none"/>
        </font>
      </dxf>
    </rfmt>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qref="F1" start="0" length="0">
      <dxf>
        <font>
          <sz val="10"/>
          <color auto="1"/>
          <name val="Arial"/>
          <scheme val="none"/>
        </font>
        <numFmt numFmtId="10" formatCode="&quot;$&quot;#,##0_);[Red]\(&quot;$&quot;#,##0\)"/>
      </dxf>
    </rfmt>
    <rfmt sheetId="7"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869" sId="7" ref="A1:XFD1" action="deleteRow">
    <rfmt sheetId="7" xfDxf="1" sqref="A1:XFD1" start="0" length="0"/>
    <rfmt sheetId="7" sqref="A1" start="0" length="0">
      <dxf>
        <font>
          <sz val="10"/>
          <color auto="1"/>
          <name val="Arial"/>
          <scheme val="none"/>
        </font>
      </dxf>
    </rfmt>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qref="F1" start="0" length="0">
      <dxf>
        <font>
          <sz val="10"/>
          <color auto="1"/>
          <name val="Arial"/>
          <scheme val="none"/>
        </font>
        <numFmt numFmtId="10" formatCode="&quot;$&quot;#,##0_);[Red]\(&quot;$&quot;#,##0\)"/>
      </dxf>
    </rfmt>
    <rfmt sheetId="7"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870" sId="7" ref="A1:XFD1" action="deleteRow">
    <rfmt sheetId="7" xfDxf="1" sqref="A1:XFD1" start="0" length="0"/>
    <rfmt sheetId="7" sqref="A1" start="0" length="0">
      <dxf>
        <font>
          <sz val="10"/>
          <color auto="1"/>
          <name val="Arial"/>
          <scheme val="none"/>
        </font>
      </dxf>
    </rfmt>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qref="F1" start="0" length="0">
      <dxf>
        <font>
          <sz val="10"/>
          <color auto="1"/>
          <name val="Arial"/>
          <scheme val="none"/>
        </font>
        <numFmt numFmtId="10" formatCode="&quot;$&quot;#,##0_);[Red]\(&quot;$&quot;#,##0\)"/>
      </dxf>
    </rfmt>
    <rfmt sheetId="7"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871" sId="7" ref="A1:XFD1" action="deleteRow">
    <rfmt sheetId="7" xfDxf="1" sqref="A1:XFD1" start="0" length="0"/>
    <rfmt sheetId="7" sqref="A1" start="0" length="0">
      <dxf>
        <font>
          <sz val="10"/>
          <color auto="1"/>
          <name val="Arial"/>
          <scheme val="none"/>
        </font>
      </dxf>
    </rfmt>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qref="F1" start="0" length="0">
      <dxf>
        <font>
          <sz val="10"/>
          <color auto="1"/>
          <name val="Arial"/>
          <scheme val="none"/>
        </font>
        <numFmt numFmtId="10" formatCode="&quot;$&quot;#,##0_);[Red]\(&quot;$&quot;#,##0\)"/>
      </dxf>
    </rfmt>
    <rfmt sheetId="7"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872" sId="7" ref="A1:XFD1" action="deleteRow">
    <rfmt sheetId="7" xfDxf="1" sqref="A1:XFD1" start="0" length="0"/>
    <rfmt sheetId="7" sqref="A1" start="0" length="0">
      <dxf>
        <font>
          <sz val="10"/>
          <color auto="1"/>
          <name val="Arial"/>
          <scheme val="none"/>
        </font>
      </dxf>
    </rfmt>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qref="F1" start="0" length="0">
      <dxf>
        <font>
          <sz val="10"/>
          <color auto="1"/>
          <name val="Arial"/>
          <scheme val="none"/>
        </font>
        <numFmt numFmtId="10" formatCode="&quot;$&quot;#,##0_);[Red]\(&quot;$&quot;#,##0\)"/>
      </dxf>
    </rfmt>
    <rfmt sheetId="7"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873" sId="7" ref="A1:XFD1" action="deleteRow">
    <rfmt sheetId="7" xfDxf="1" sqref="A1:XFD1" start="0" length="0"/>
    <rfmt sheetId="7" sqref="A1" start="0" length="0">
      <dxf>
        <font>
          <sz val="10"/>
          <color auto="1"/>
          <name val="Arial"/>
          <scheme val="none"/>
        </font>
      </dxf>
    </rfmt>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qref="F1" start="0" length="0">
      <dxf>
        <font>
          <sz val="10"/>
          <color auto="1"/>
          <name val="Arial"/>
          <scheme val="none"/>
        </font>
        <numFmt numFmtId="10" formatCode="&quot;$&quot;#,##0_);[Red]\(&quot;$&quot;#,##0\)"/>
      </dxf>
    </rfmt>
    <rfmt sheetId="7"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874" sId="7" ref="A1:XFD1" action="deleteRow">
    <rfmt sheetId="7" xfDxf="1" sqref="A1:XFD1" start="0" length="0"/>
    <rfmt sheetId="7" sqref="A1" start="0" length="0">
      <dxf>
        <font>
          <sz val="10"/>
          <color auto="1"/>
          <name val="Arial"/>
          <scheme val="none"/>
        </font>
      </dxf>
    </rfmt>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qref="F1" start="0" length="0">
      <dxf>
        <font>
          <sz val="10"/>
          <color auto="1"/>
          <name val="Arial"/>
          <scheme val="none"/>
        </font>
        <numFmt numFmtId="10" formatCode="&quot;$&quot;#,##0_);[Red]\(&quot;$&quot;#,##0\)"/>
      </dxf>
    </rfmt>
    <rfmt sheetId="7"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875" sId="7" ref="A1:XFD1" action="deleteRow">
    <rfmt sheetId="7" xfDxf="1" sqref="A1:XFD1" start="0" length="0"/>
    <rfmt sheetId="7" sqref="A1" start="0" length="0">
      <dxf>
        <font>
          <sz val="10"/>
          <color auto="1"/>
          <name val="Arial"/>
          <scheme val="none"/>
        </font>
      </dxf>
    </rfmt>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qref="F1" start="0" length="0">
      <dxf>
        <font>
          <sz val="10"/>
          <color auto="1"/>
          <name val="Arial"/>
          <scheme val="none"/>
        </font>
        <numFmt numFmtId="10" formatCode="&quot;$&quot;#,##0_);[Red]\(&quot;$&quot;#,##0\)"/>
      </dxf>
    </rfmt>
    <rfmt sheetId="7"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876" sId="7" ref="A1:XFD1" action="deleteRow">
    <rfmt sheetId="7" xfDxf="1" sqref="A1:XFD1" start="0" length="0"/>
    <rfmt sheetId="7" sqref="A1" start="0" length="0">
      <dxf>
        <font>
          <sz val="10"/>
          <color auto="1"/>
          <name val="Arial"/>
          <scheme val="none"/>
        </font>
      </dxf>
    </rfmt>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qref="F1" start="0" length="0">
      <dxf>
        <font>
          <sz val="10"/>
          <color auto="1"/>
          <name val="Arial"/>
          <scheme val="none"/>
        </font>
        <numFmt numFmtId="10" formatCode="&quot;$&quot;#,##0_);[Red]\(&quot;$&quot;#,##0\)"/>
      </dxf>
    </rfmt>
    <rfmt sheetId="7"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877" sId="7" ref="A1:XFD1" action="deleteRow">
    <rfmt sheetId="7" xfDxf="1" sqref="A1:XFD1" start="0" length="0"/>
    <rfmt sheetId="7" sqref="A1" start="0" length="0">
      <dxf>
        <font>
          <sz val="10"/>
          <color auto="1"/>
          <name val="Arial"/>
          <scheme val="none"/>
        </font>
      </dxf>
    </rfmt>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qref="F1" start="0" length="0">
      <dxf>
        <font>
          <sz val="10"/>
          <color auto="1"/>
          <name val="Arial"/>
          <scheme val="none"/>
        </font>
        <numFmt numFmtId="10" formatCode="&quot;$&quot;#,##0_);[Red]\(&quot;$&quot;#,##0\)"/>
      </dxf>
    </rfmt>
    <rfmt sheetId="7"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878" sId="7" ref="A1:XFD1" action="deleteRow">
    <rfmt sheetId="7" xfDxf="1" sqref="A1:XFD1" start="0" length="0"/>
    <rfmt sheetId="7" sqref="A1" start="0" length="0">
      <dxf>
        <font>
          <sz val="10"/>
          <color auto="1"/>
          <name val="Arial"/>
          <scheme val="none"/>
        </font>
      </dxf>
    </rfmt>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qref="F1" start="0" length="0">
      <dxf>
        <font>
          <sz val="10"/>
          <color auto="1"/>
          <name val="Arial"/>
          <scheme val="none"/>
        </font>
        <numFmt numFmtId="10" formatCode="&quot;$&quot;#,##0_);[Red]\(&quot;$&quot;#,##0\)"/>
      </dxf>
    </rfmt>
    <rfmt sheetId="7"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879" sId="7" ref="A1:XFD1" action="deleteRow">
    <rfmt sheetId="7" xfDxf="1" sqref="A1:XFD1" start="0" length="0"/>
    <rfmt sheetId="7" sqref="A1" start="0" length="0">
      <dxf>
        <font>
          <sz val="10"/>
          <color auto="1"/>
          <name val="Arial"/>
          <scheme val="none"/>
        </font>
      </dxf>
    </rfmt>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qref="F1" start="0" length="0">
      <dxf>
        <font>
          <sz val="10"/>
          <color auto="1"/>
          <name val="Arial"/>
          <scheme val="none"/>
        </font>
        <numFmt numFmtId="10" formatCode="&quot;$&quot;#,##0_);[Red]\(&quot;$&quot;#,##0\)"/>
      </dxf>
    </rfmt>
    <rfmt sheetId="7"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880" sId="7" ref="A1:XFD1" action="deleteRow">
    <rfmt sheetId="7" xfDxf="1" sqref="A1:XFD1" start="0" length="0"/>
    <rfmt sheetId="7" sqref="A1" start="0" length="0">
      <dxf>
        <font>
          <sz val="10"/>
          <color auto="1"/>
          <name val="Arial"/>
          <scheme val="none"/>
        </font>
      </dxf>
    </rfmt>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qref="F1" start="0" length="0">
      <dxf>
        <font>
          <sz val="10"/>
          <color auto="1"/>
          <name val="Arial"/>
          <scheme val="none"/>
        </font>
        <numFmt numFmtId="10" formatCode="&quot;$&quot;#,##0_);[Red]\(&quot;$&quot;#,##0\)"/>
      </dxf>
    </rfmt>
    <rfmt sheetId="7"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881" sId="7" ref="A1:XFD1" action="deleteRow">
    <rfmt sheetId="7" xfDxf="1" sqref="A1:XFD1" start="0" length="0"/>
    <rfmt sheetId="7" sqref="A1" start="0" length="0">
      <dxf>
        <font>
          <sz val="10"/>
          <color auto="1"/>
          <name val="Arial"/>
          <scheme val="none"/>
        </font>
      </dxf>
    </rfmt>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qref="F1" start="0" length="0">
      <dxf>
        <font>
          <sz val="10"/>
          <color auto="1"/>
          <name val="Arial"/>
          <scheme val="none"/>
        </font>
        <numFmt numFmtId="10" formatCode="&quot;$&quot;#,##0_);[Red]\(&quot;$&quot;#,##0\)"/>
      </dxf>
    </rfmt>
    <rfmt sheetId="7"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882" sId="7" ref="A1:XFD1" action="deleteRow">
    <rfmt sheetId="7" xfDxf="1" sqref="A1:XFD1" start="0" length="0"/>
    <rfmt sheetId="7" sqref="A1" start="0" length="0">
      <dxf>
        <font>
          <sz val="10"/>
          <color auto="1"/>
          <name val="Arial"/>
          <scheme val="none"/>
        </font>
      </dxf>
    </rfmt>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qref="F1" start="0" length="0">
      <dxf>
        <font>
          <sz val="10"/>
          <color auto="1"/>
          <name val="Arial"/>
          <scheme val="none"/>
        </font>
        <numFmt numFmtId="10" formatCode="&quot;$&quot;#,##0_);[Red]\(&quot;$&quot;#,##0\)"/>
      </dxf>
    </rfmt>
    <rfmt sheetId="7"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883" sId="7" ref="A1:XFD1" action="deleteRow">
    <rfmt sheetId="7" xfDxf="1" sqref="A1:XFD1" start="0" length="0"/>
    <rfmt sheetId="7" sqref="A1" start="0" length="0">
      <dxf>
        <font>
          <sz val="10"/>
          <color auto="1"/>
          <name val="Arial"/>
          <scheme val="none"/>
        </font>
      </dxf>
    </rfmt>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qref="F1" start="0" length="0">
      <dxf>
        <font>
          <sz val="10"/>
          <color auto="1"/>
          <name val="Arial"/>
          <scheme val="none"/>
        </font>
        <numFmt numFmtId="10" formatCode="&quot;$&quot;#,##0_);[Red]\(&quot;$&quot;#,##0\)"/>
      </dxf>
    </rfmt>
    <rfmt sheetId="7"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884" sId="7" ref="A1:XFD1" action="deleteRow">
    <rfmt sheetId="7" xfDxf="1" sqref="A1:XFD1" start="0" length="0"/>
    <rfmt sheetId="7" sqref="A1" start="0" length="0">
      <dxf>
        <font>
          <sz val="10"/>
          <color auto="1"/>
          <name val="Arial"/>
          <scheme val="none"/>
        </font>
      </dxf>
    </rfmt>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qref="F1" start="0" length="0">
      <dxf>
        <font>
          <sz val="10"/>
          <color auto="1"/>
          <name val="Arial"/>
          <scheme val="none"/>
        </font>
        <numFmt numFmtId="10" formatCode="&quot;$&quot;#,##0_);[Red]\(&quot;$&quot;#,##0\)"/>
      </dxf>
    </rfmt>
    <rfmt sheetId="7"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885" sId="7" ref="A1:XFD1" action="deleteRow">
    <rfmt sheetId="7" xfDxf="1" sqref="A1:XFD1" start="0" length="0"/>
    <rfmt sheetId="7" sqref="A1" start="0" length="0">
      <dxf>
        <font>
          <sz val="10"/>
          <color auto="1"/>
          <name val="Arial"/>
          <scheme val="none"/>
        </font>
      </dxf>
    </rfmt>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qref="F1" start="0" length="0">
      <dxf>
        <font>
          <sz val="10"/>
          <color auto="1"/>
          <name val="Arial"/>
          <scheme val="none"/>
        </font>
        <numFmt numFmtId="10" formatCode="&quot;$&quot;#,##0_);[Red]\(&quot;$&quot;#,##0\)"/>
      </dxf>
    </rfmt>
    <rfmt sheetId="7"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886" sId="7" ref="A1:XFD1" action="deleteRow">
    <rfmt sheetId="7" xfDxf="1" sqref="A1:XFD1" start="0" length="0"/>
    <rfmt sheetId="7" sqref="A1" start="0" length="0">
      <dxf>
        <font>
          <sz val="10"/>
          <color auto="1"/>
          <name val="Arial"/>
          <scheme val="none"/>
        </font>
      </dxf>
    </rfmt>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qref="F1" start="0" length="0">
      <dxf>
        <font>
          <sz val="10"/>
          <color auto="1"/>
          <name val="Arial"/>
          <scheme val="none"/>
        </font>
        <numFmt numFmtId="10" formatCode="&quot;$&quot;#,##0_);[Red]\(&quot;$&quot;#,##0\)"/>
      </dxf>
    </rfmt>
    <rfmt sheetId="7"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887" sId="7" ref="A1:XFD1" action="deleteRow">
    <rfmt sheetId="7" xfDxf="1" sqref="A1:XFD1" start="0" length="0"/>
    <rfmt sheetId="7" sqref="A1" start="0" length="0">
      <dxf>
        <font>
          <sz val="10"/>
          <color auto="1"/>
          <name val="Arial"/>
          <scheme val="none"/>
        </font>
      </dxf>
    </rfmt>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qref="F1" start="0" length="0">
      <dxf>
        <font>
          <sz val="10"/>
          <color auto="1"/>
          <name val="Arial"/>
          <scheme val="none"/>
        </font>
        <numFmt numFmtId="10" formatCode="&quot;$&quot;#,##0_);[Red]\(&quot;$&quot;#,##0\)"/>
      </dxf>
    </rfmt>
    <rfmt sheetId="7"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888" sId="7" ref="A1:XFD1" action="deleteRow">
    <rfmt sheetId="7" xfDxf="1" sqref="A1:XFD1" start="0" length="0"/>
    <rfmt sheetId="7" sqref="A1" start="0" length="0">
      <dxf>
        <font>
          <sz val="10"/>
          <color auto="1"/>
          <name val="Arial"/>
          <scheme val="none"/>
        </font>
      </dxf>
    </rfmt>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qref="F1" start="0" length="0">
      <dxf>
        <font>
          <sz val="10"/>
          <color auto="1"/>
          <name val="Arial"/>
          <scheme val="none"/>
        </font>
        <numFmt numFmtId="10" formatCode="&quot;$&quot;#,##0_);[Red]\(&quot;$&quot;#,##0\)"/>
      </dxf>
    </rfmt>
    <rfmt sheetId="7"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889" sId="7" ref="A1:XFD1" action="deleteRow">
    <rfmt sheetId="7" xfDxf="1" sqref="A1:XFD1" start="0" length="0"/>
    <rfmt sheetId="7" sqref="A1" start="0" length="0">
      <dxf>
        <font>
          <sz val="10"/>
          <color auto="1"/>
          <name val="Arial"/>
          <scheme val="none"/>
        </font>
      </dxf>
    </rfmt>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qref="F1" start="0" length="0">
      <dxf>
        <font>
          <sz val="10"/>
          <color auto="1"/>
          <name val="Arial"/>
          <scheme val="none"/>
        </font>
        <numFmt numFmtId="10" formatCode="&quot;$&quot;#,##0_);[Red]\(&quot;$&quot;#,##0\)"/>
      </dxf>
    </rfmt>
    <rfmt sheetId="7"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890" sId="7" ref="A1:XFD1" action="deleteRow">
    <rfmt sheetId="7" xfDxf="1" sqref="A1:XFD1" start="0" length="0"/>
    <rfmt sheetId="7" sqref="A1" start="0" length="0">
      <dxf>
        <font>
          <sz val="10"/>
          <color auto="1"/>
          <name val="Arial"/>
          <scheme val="none"/>
        </font>
      </dxf>
    </rfmt>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qref="F1" start="0" length="0">
      <dxf>
        <font>
          <sz val="10"/>
          <color auto="1"/>
          <name val="Arial"/>
          <scheme val="none"/>
        </font>
        <numFmt numFmtId="10" formatCode="&quot;$&quot;#,##0_);[Red]\(&quot;$&quot;#,##0\)"/>
      </dxf>
    </rfmt>
    <rfmt sheetId="7"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891" sId="7" ref="A1:XFD1" action="deleteRow">
    <rfmt sheetId="7" xfDxf="1" sqref="A1:XFD1" start="0" length="0"/>
    <rfmt sheetId="7" sqref="A1" start="0" length="0">
      <dxf>
        <font>
          <sz val="10"/>
          <color auto="1"/>
          <name val="Arial"/>
          <scheme val="none"/>
        </font>
      </dxf>
    </rfmt>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qref="F1" start="0" length="0">
      <dxf>
        <font>
          <sz val="10"/>
          <color auto="1"/>
          <name val="Arial"/>
          <scheme val="none"/>
        </font>
        <numFmt numFmtId="10" formatCode="&quot;$&quot;#,##0_);[Red]\(&quot;$&quot;#,##0\)"/>
      </dxf>
    </rfmt>
    <rfmt sheetId="7"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892" sId="7" ref="A1:XFD1" action="deleteRow">
    <rfmt sheetId="7" xfDxf="1" sqref="A1:XFD1" start="0" length="0"/>
    <rfmt sheetId="7" sqref="A1" start="0" length="0">
      <dxf>
        <font>
          <sz val="10"/>
          <color auto="1"/>
          <name val="Arial"/>
          <scheme val="none"/>
        </font>
      </dxf>
    </rfmt>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qref="F1" start="0" length="0">
      <dxf>
        <font>
          <sz val="10"/>
          <color auto="1"/>
          <name val="Arial"/>
          <scheme val="none"/>
        </font>
        <numFmt numFmtId="10" formatCode="&quot;$&quot;#,##0_);[Red]\(&quot;$&quot;#,##0\)"/>
      </dxf>
    </rfmt>
    <rfmt sheetId="7"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893" sId="7" ref="A1:XFD1" action="deleteRow">
    <rfmt sheetId="7" xfDxf="1" sqref="A1:XFD1" start="0" length="0"/>
    <rfmt sheetId="7" sqref="A1" start="0" length="0">
      <dxf>
        <font>
          <sz val="10"/>
          <color auto="1"/>
          <name val="Arial"/>
          <scheme val="none"/>
        </font>
      </dxf>
    </rfmt>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qref="F1" start="0" length="0">
      <dxf>
        <font>
          <sz val="10"/>
          <color auto="1"/>
          <name val="Arial"/>
          <scheme val="none"/>
        </font>
        <numFmt numFmtId="10" formatCode="&quot;$&quot;#,##0_);[Red]\(&quot;$&quot;#,##0\)"/>
      </dxf>
    </rfmt>
    <rfmt sheetId="7"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894" sId="7" ref="A1:XFD1" action="deleteRow">
    <rfmt sheetId="7" xfDxf="1" sqref="A1:XFD1" start="0" length="0"/>
    <rfmt sheetId="7" sqref="A1" start="0" length="0">
      <dxf>
        <font>
          <sz val="10"/>
          <color auto="1"/>
          <name val="Arial"/>
          <scheme val="none"/>
        </font>
      </dxf>
    </rfmt>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qref="F1" start="0" length="0">
      <dxf>
        <font>
          <sz val="10"/>
          <color auto="1"/>
          <name val="Arial"/>
          <scheme val="none"/>
        </font>
        <numFmt numFmtId="10" formatCode="&quot;$&quot;#,##0_);[Red]\(&quot;$&quot;#,##0\)"/>
      </dxf>
    </rfmt>
    <rfmt sheetId="7"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895" sId="7" ref="A1:XFD1" action="deleteRow">
    <rfmt sheetId="7" xfDxf="1" sqref="A1:XFD1" start="0" length="0"/>
    <rfmt sheetId="7" sqref="A1" start="0" length="0">
      <dxf>
        <font>
          <sz val="10"/>
          <color auto="1"/>
          <name val="Arial"/>
          <scheme val="none"/>
        </font>
      </dxf>
    </rfmt>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qref="F1" start="0" length="0">
      <dxf>
        <font>
          <sz val="10"/>
          <color auto="1"/>
          <name val="Arial"/>
          <scheme val="none"/>
        </font>
        <numFmt numFmtId="10" formatCode="&quot;$&quot;#,##0_);[Red]\(&quot;$&quot;#,##0\)"/>
      </dxf>
    </rfmt>
    <rfmt sheetId="7"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896" sId="7" ref="A1:XFD1" action="deleteRow">
    <rfmt sheetId="7" xfDxf="1" sqref="A1:XFD1" start="0" length="0"/>
    <rfmt sheetId="7" sqref="A1" start="0" length="0">
      <dxf>
        <font>
          <sz val="10"/>
          <color auto="1"/>
          <name val="Arial"/>
          <scheme val="none"/>
        </font>
      </dxf>
    </rfmt>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qref="F1" start="0" length="0">
      <dxf>
        <font>
          <sz val="10"/>
          <color auto="1"/>
          <name val="Arial"/>
          <scheme val="none"/>
        </font>
        <numFmt numFmtId="10" formatCode="&quot;$&quot;#,##0_);[Red]\(&quot;$&quot;#,##0\)"/>
      </dxf>
    </rfmt>
    <rfmt sheetId="7"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897" sId="7" ref="A1:XFD1" action="deleteRow">
    <rfmt sheetId="7" xfDxf="1" sqref="A1:XFD1" start="0" length="0"/>
    <rfmt sheetId="7" sqref="A1" start="0" length="0">
      <dxf>
        <font>
          <sz val="10"/>
          <color auto="1"/>
          <name val="Arial"/>
          <scheme val="none"/>
        </font>
      </dxf>
    </rfmt>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qref="F1" start="0" length="0">
      <dxf>
        <font>
          <sz val="10"/>
          <color auto="1"/>
          <name val="Arial"/>
          <scheme val="none"/>
        </font>
        <numFmt numFmtId="10" formatCode="&quot;$&quot;#,##0_);[Red]\(&quot;$&quot;#,##0\)"/>
      </dxf>
    </rfmt>
    <rfmt sheetId="7"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898" sId="7" ref="A1:XFD1" action="deleteRow">
    <rfmt sheetId="7" xfDxf="1" sqref="A1:XFD1" start="0" length="0"/>
    <rfmt sheetId="7" sqref="A1" start="0" length="0">
      <dxf>
        <font>
          <sz val="10"/>
          <color auto="1"/>
          <name val="Arial"/>
          <scheme val="none"/>
        </font>
      </dxf>
    </rfmt>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qref="F1" start="0" length="0">
      <dxf>
        <font>
          <sz val="10"/>
          <color auto="1"/>
          <name val="Arial"/>
          <scheme val="none"/>
        </font>
        <numFmt numFmtId="10" formatCode="&quot;$&quot;#,##0_);[Red]\(&quot;$&quot;#,##0\)"/>
      </dxf>
    </rfmt>
    <rfmt sheetId="7"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899" sId="7" ref="A1:XFD1" action="deleteRow">
    <rfmt sheetId="7" xfDxf="1" sqref="A1:XFD1" start="0" length="0"/>
    <rfmt sheetId="7" sqref="A1" start="0" length="0">
      <dxf>
        <font>
          <sz val="10"/>
          <color auto="1"/>
          <name val="Arial"/>
          <scheme val="none"/>
        </font>
      </dxf>
    </rfmt>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qref="F1" start="0" length="0">
      <dxf>
        <font>
          <sz val="10"/>
          <color auto="1"/>
          <name val="Arial"/>
          <scheme val="none"/>
        </font>
        <numFmt numFmtId="10" formatCode="&quot;$&quot;#,##0_);[Red]\(&quot;$&quot;#,##0\)"/>
      </dxf>
    </rfmt>
    <rfmt sheetId="7"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900" sId="7" ref="A1:XFD1" action="deleteRow">
    <rfmt sheetId="7" xfDxf="1" sqref="A1:XFD1" start="0" length="0"/>
    <rfmt sheetId="7" sqref="A1" start="0" length="0">
      <dxf>
        <font>
          <sz val="10"/>
          <color auto="1"/>
          <name val="Arial"/>
          <scheme val="none"/>
        </font>
      </dxf>
    </rfmt>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qref="F1" start="0" length="0">
      <dxf>
        <font>
          <sz val="10"/>
          <color auto="1"/>
          <name val="Arial"/>
          <scheme val="none"/>
        </font>
        <numFmt numFmtId="10" formatCode="&quot;$&quot;#,##0_);[Red]\(&quot;$&quot;#,##0\)"/>
      </dxf>
    </rfmt>
    <rfmt sheetId="7"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901" sId="7" ref="A1:XFD1" action="deleteRow">
    <rfmt sheetId="7" xfDxf="1" sqref="A1:XFD1" start="0" length="0"/>
    <rfmt sheetId="7" sqref="A1" start="0" length="0">
      <dxf>
        <font>
          <sz val="10"/>
          <color auto="1"/>
          <name val="Arial"/>
          <scheme val="none"/>
        </font>
      </dxf>
    </rfmt>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qref="F1" start="0" length="0">
      <dxf>
        <font>
          <sz val="10"/>
          <color auto="1"/>
          <name val="Arial"/>
          <scheme val="none"/>
        </font>
        <numFmt numFmtId="10" formatCode="&quot;$&quot;#,##0_);[Red]\(&quot;$&quot;#,##0\)"/>
      </dxf>
    </rfmt>
    <rfmt sheetId="7"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902" sId="7" ref="A1:XFD1" action="deleteRow">
    <rfmt sheetId="7" xfDxf="1" sqref="A1:XFD1" start="0" length="0"/>
    <rfmt sheetId="7" sqref="A1" start="0" length="0">
      <dxf>
        <font>
          <sz val="10"/>
          <color auto="1"/>
          <name val="Arial"/>
          <scheme val="none"/>
        </font>
      </dxf>
    </rfmt>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qref="F1" start="0" length="0">
      <dxf>
        <font>
          <sz val="10"/>
          <color auto="1"/>
          <name val="Arial"/>
          <scheme val="none"/>
        </font>
        <numFmt numFmtId="10" formatCode="&quot;$&quot;#,##0_);[Red]\(&quot;$&quot;#,##0\)"/>
      </dxf>
    </rfmt>
    <rfmt sheetId="7"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903" sId="7" ref="A1:XFD1" action="deleteRow">
    <rfmt sheetId="7" xfDxf="1" sqref="A1:XFD1" start="0" length="0"/>
    <rfmt sheetId="7" sqref="A1" start="0" length="0">
      <dxf>
        <font>
          <sz val="10"/>
          <color auto="1"/>
          <name val="Arial"/>
          <scheme val="none"/>
        </font>
      </dxf>
    </rfmt>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qref="F1" start="0" length="0">
      <dxf>
        <font>
          <sz val="10"/>
          <color auto="1"/>
          <name val="Arial"/>
          <scheme val="none"/>
        </font>
        <numFmt numFmtId="10" formatCode="&quot;$&quot;#,##0_);[Red]\(&quot;$&quot;#,##0\)"/>
      </dxf>
    </rfmt>
    <rfmt sheetId="7"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904" sId="7" ref="A1:XFD1" action="deleteRow">
    <rfmt sheetId="7" xfDxf="1" sqref="A1:XFD1" start="0" length="0"/>
    <rfmt sheetId="7" sqref="A1" start="0" length="0">
      <dxf>
        <font>
          <sz val="10"/>
          <color auto="1"/>
          <name val="Arial"/>
          <scheme val="none"/>
        </font>
      </dxf>
    </rfmt>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qref="F1" start="0" length="0">
      <dxf>
        <font>
          <sz val="10"/>
          <color auto="1"/>
          <name val="Arial"/>
          <scheme val="none"/>
        </font>
        <numFmt numFmtId="10" formatCode="&quot;$&quot;#,##0_);[Red]\(&quot;$&quot;#,##0\)"/>
      </dxf>
    </rfmt>
    <rfmt sheetId="7"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905" sId="7" ref="A1:XFD1" action="deleteRow">
    <rfmt sheetId="7" xfDxf="1" sqref="A1:XFD1" start="0" length="0"/>
    <rfmt sheetId="7" sqref="A1" start="0" length="0">
      <dxf>
        <font>
          <sz val="10"/>
          <color auto="1"/>
          <name val="Arial"/>
          <scheme val="none"/>
        </font>
      </dxf>
    </rfmt>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qref="F1" start="0" length="0">
      <dxf>
        <font>
          <sz val="10"/>
          <color auto="1"/>
          <name val="Arial"/>
          <scheme val="none"/>
        </font>
        <numFmt numFmtId="10" formatCode="&quot;$&quot;#,##0_);[Red]\(&quot;$&quot;#,##0\)"/>
      </dxf>
    </rfmt>
    <rfmt sheetId="7"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906" sId="7" ref="A1:XFD1" action="deleteRow">
    <rfmt sheetId="7" xfDxf="1" sqref="A1:XFD1" start="0" length="0"/>
    <rfmt sheetId="7" sqref="A1" start="0" length="0">
      <dxf>
        <font>
          <sz val="10"/>
          <color auto="1"/>
          <name val="Arial"/>
          <scheme val="none"/>
        </font>
      </dxf>
    </rfmt>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qref="F1" start="0" length="0">
      <dxf>
        <font>
          <sz val="10"/>
          <color auto="1"/>
          <name val="Arial"/>
          <scheme val="none"/>
        </font>
        <numFmt numFmtId="10" formatCode="&quot;$&quot;#,##0_);[Red]\(&quot;$&quot;#,##0\)"/>
      </dxf>
    </rfmt>
    <rfmt sheetId="7"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907" sId="7" ref="A1:XFD1" action="deleteRow">
    <rfmt sheetId="7" xfDxf="1" sqref="A1:XFD1" start="0" length="0"/>
    <rfmt sheetId="7" sqref="A1" start="0" length="0">
      <dxf>
        <font>
          <sz val="10"/>
          <color auto="1"/>
          <name val="Arial"/>
          <scheme val="none"/>
        </font>
      </dxf>
    </rfmt>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qref="F1" start="0" length="0">
      <dxf>
        <font>
          <sz val="10"/>
          <color auto="1"/>
          <name val="Arial"/>
          <scheme val="none"/>
        </font>
        <numFmt numFmtId="10" formatCode="&quot;$&quot;#,##0_);[Red]\(&quot;$&quot;#,##0\)"/>
      </dxf>
    </rfmt>
    <rfmt sheetId="7"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908" sId="7" ref="A1:XFD1" action="deleteRow">
    <rfmt sheetId="7" xfDxf="1" sqref="A1:XFD1" start="0" length="0"/>
    <rfmt sheetId="7" sqref="A1" start="0" length="0">
      <dxf>
        <font>
          <sz val="10"/>
          <color auto="1"/>
          <name val="Arial"/>
          <scheme val="none"/>
        </font>
      </dxf>
    </rfmt>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qref="F1" start="0" length="0">
      <dxf>
        <font>
          <sz val="10"/>
          <color auto="1"/>
          <name val="Arial"/>
          <scheme val="none"/>
        </font>
        <numFmt numFmtId="10" formatCode="&quot;$&quot;#,##0_);[Red]\(&quot;$&quot;#,##0\)"/>
      </dxf>
    </rfmt>
    <rfmt sheetId="7"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909" sId="7" ref="A1:XFD1" action="deleteRow">
    <rfmt sheetId="7" xfDxf="1" sqref="A1:XFD1" start="0" length="0"/>
    <rfmt sheetId="7" sqref="A1" start="0" length="0">
      <dxf>
        <font>
          <sz val="10"/>
          <color auto="1"/>
          <name val="Arial"/>
          <scheme val="none"/>
        </font>
      </dxf>
    </rfmt>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qref="F1" start="0" length="0">
      <dxf>
        <font>
          <sz val="10"/>
          <color auto="1"/>
          <name val="Arial"/>
          <scheme val="none"/>
        </font>
        <numFmt numFmtId="10" formatCode="&quot;$&quot;#,##0_);[Red]\(&quot;$&quot;#,##0\)"/>
      </dxf>
    </rfmt>
    <rfmt sheetId="7"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910" sId="7" ref="A1:XFD1" action="deleteRow">
    <rfmt sheetId="7" xfDxf="1" sqref="A1:XFD1" start="0" length="0"/>
    <rfmt sheetId="7" sqref="A1" start="0" length="0">
      <dxf>
        <font>
          <sz val="10"/>
          <color auto="1"/>
          <name val="Arial"/>
          <scheme val="none"/>
        </font>
      </dxf>
    </rfmt>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qref="F1" start="0" length="0">
      <dxf>
        <font>
          <sz val="10"/>
          <color auto="1"/>
          <name val="Arial"/>
          <scheme val="none"/>
        </font>
        <numFmt numFmtId="10" formatCode="&quot;$&quot;#,##0_);[Red]\(&quot;$&quot;#,##0\)"/>
      </dxf>
    </rfmt>
    <rfmt sheetId="7"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911" sId="7" ref="A1:XFD1" action="deleteRow">
    <rfmt sheetId="7" xfDxf="1" sqref="A1:XFD1" start="0" length="0"/>
    <rfmt sheetId="7" sqref="A1" start="0" length="0">
      <dxf>
        <font>
          <sz val="10"/>
          <color auto="1"/>
          <name val="Arial"/>
          <scheme val="none"/>
        </font>
      </dxf>
    </rfmt>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qref="F1" start="0" length="0">
      <dxf>
        <font>
          <sz val="10"/>
          <color auto="1"/>
          <name val="Arial"/>
          <scheme val="none"/>
        </font>
        <numFmt numFmtId="10" formatCode="&quot;$&quot;#,##0_);[Red]\(&quot;$&quot;#,##0\)"/>
      </dxf>
    </rfmt>
    <rfmt sheetId="7"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rc rId="37912" sId="7" ref="A1:XFD1" action="deleteRow">
    <rfmt sheetId="7" xfDxf="1" sqref="A1:XFD1" start="0" length="0"/>
    <rfmt sheetId="7" sqref="A1" start="0" length="0">
      <dxf>
        <font>
          <sz val="10"/>
          <color auto="1"/>
          <name val="Arial"/>
          <scheme val="none"/>
        </font>
      </dxf>
    </rfmt>
    <rfmt sheetId="7" sqref="B1" start="0" length="0">
      <dxf>
        <font>
          <sz val="10"/>
          <color auto="1"/>
          <name val="Arial"/>
          <scheme val="none"/>
        </font>
        <numFmt numFmtId="10" formatCode="&quot;$&quot;#,##0_);[Red]\(&quot;$&quot;#,##0\)"/>
      </dxf>
    </rfmt>
    <rfmt sheetId="7" sqref="C1" start="0" length="0">
      <dxf>
        <font>
          <sz val="10"/>
          <color auto="1"/>
          <name val="Arial"/>
          <scheme val="none"/>
        </font>
        <numFmt numFmtId="10" formatCode="&quot;$&quot;#,##0_);[Red]\(&quot;$&quot;#,##0\)"/>
      </dxf>
    </rfmt>
    <rfmt sheetId="7" sqref="D1" start="0" length="0">
      <dxf>
        <font>
          <sz val="10"/>
          <color auto="1"/>
          <name val="Arial"/>
          <scheme val="none"/>
        </font>
        <numFmt numFmtId="10" formatCode="&quot;$&quot;#,##0_);[Red]\(&quot;$&quot;#,##0\)"/>
      </dxf>
    </rfmt>
    <rfmt sheetId="7" sqref="F1" start="0" length="0">
      <dxf>
        <font>
          <sz val="10"/>
          <color auto="1"/>
          <name val="Arial"/>
          <scheme val="none"/>
        </font>
        <numFmt numFmtId="10" formatCode="&quot;$&quot;#,##0_);[Red]\(&quot;$&quot;#,##0\)"/>
      </dxf>
    </rfmt>
    <rfmt sheetId="7" sqref="G1" start="0" length="0">
      <dxf>
        <font>
          <sz val="10"/>
          <color auto="1"/>
          <name val="Arial"/>
          <scheme val="none"/>
        </font>
        <numFmt numFmtId="10" formatCode="&quot;$&quot;#,##0_);[Red]\(&quot;$&quot;#,##0\)"/>
      </dxf>
    </rfmt>
    <rfmt sheetId="7" sqref="H1" start="0" length="0">
      <dxf>
        <font>
          <sz val="10"/>
          <color auto="1"/>
          <name val="Arial"/>
          <scheme val="none"/>
        </font>
        <numFmt numFmtId="13" formatCode="0%"/>
      </dxf>
    </rfmt>
  </rrc>
  <rdn rId="0" localSheetId="6" customView="1" name="Z_78CA186D_B240_44D5_8A24_D241DE0B0FD9_.wvu.Rows" hidden="1" oldHidden="1">
    <oldFormula>'Sheet 5'!#REF!,'Sheet 5'!#REF!</oldFormula>
  </rdn>
  <rdn rId="0" localSheetId="7" customView="1" name="Z_78CA186D_B240_44D5_8A24_D241DE0B0FD9_.wvu.Rows" hidden="1" oldHidden="1">
    <oldFormula>'FY2010 Gross'!#REF!</oldFormula>
  </rdn>
  <rcv guid="{78CA186D-B240-44D5-8A24-D241DE0B0FD9}" action="delete"/>
  <rdn rId="0" localSheetId="2" customView="1" name="Z_78CA186D_B240_44D5_8A24_D241DE0B0FD9_.wvu.Cols" hidden="1" oldHidden="1">
    <formula>'FY2013 by Approp Title'!$AA:$AA</formula>
    <oldFormula>'FY2013 by Approp Title'!$AA:$AA</oldFormula>
  </rdn>
  <rdn rId="0" localSheetId="3" customView="1" name="Z_78CA186D_B240_44D5_8A24_D241DE0B0FD9_.wvu.Cols" hidden="1" oldHidden="1">
    <formula>'FY2013 By Approp Title-Adj'!$AA:$AA</formula>
    <oldFormula>'FY2013 By Approp Title-Adj'!$AA:$AA</oldFormula>
  </rdn>
  <rdn rId="0" localSheetId="4" customView="1" name="Z_78CA186D_B240_44D5_8A24_D241DE0B0FD9_.wvu.Rows" hidden="1" oldHidden="1">
    <formula>'FY 2013 by Agency'!$1:$3,'FY 2013 by Agency'!$226:$240</formula>
    <oldFormula>'FY 2013 by Agency'!$1:$3,'FY 2013 by Agency'!$226:$240</oldFormula>
  </rdn>
  <rdn rId="0" localSheetId="4" customView="1" name="Z_78CA186D_B240_44D5_8A24_D241DE0B0FD9_.wvu.Cols" hidden="1" oldHidden="1">
    <formula>'FY 2013 by Agency'!$D:$E,'FY 2013 by Agency'!$G:$H,'FY 2013 by Agency'!$J:$K,'FY 2013 by Agency'!$M:$N,'FY 2013 by Agency'!$P:$Q,'FY 2013 by Agency'!$S:$T,'FY 2013 by Agency'!$V:$W,'FY 2013 by Agency'!$Y:$Z,'FY 2013 by Agency'!$AB:$AE,'FY 2013 by Agency'!$AG:$AO,'FY 2013 by Agency'!$AV:$AW,'FY 2013 by Agency'!$AY:$AZ,'FY 2013 by Agency'!$BF:$BG</formula>
    <oldFormula>'FY 2013 by Agency'!$D:$E,'FY 2013 by Agency'!$G:$H,'FY 2013 by Agency'!$J:$K,'FY 2013 by Agency'!$M:$N,'FY 2013 by Agency'!$P:$Q,'FY 2013 by Agency'!$S:$T,'FY 2013 by Agency'!$V:$W,'FY 2013 by Agency'!$Y:$Z,'FY 2013 by Agency'!$AB:$AE,'FY 2013 by Agency'!$AG:$AO,'FY 2013 by Agency'!$AV:$AW,'FY 2013 by Agency'!$AY:$AZ,'FY 2013 by Agency'!$BF:$BG</oldFormula>
  </rdn>
  <rdn rId="0" localSheetId="5" customView="1" name="Z_78CA186D_B240_44D5_8A24_D241DE0B0FD9_.wvu.Rows" hidden="1" oldHidden="1">
    <formula>'FY 2013 by Agency-Adj'!$1:$3,'FY 2013 by Agency-Adj'!$14:$14,'FY 2013 by Agency-Adj'!$19:$19,'FY 2013 by Agency-Adj'!$155:$155,'FY 2013 by Agency-Adj'!$162:$162,'FY 2013 by Agency-Adj'!$224:$238</formula>
    <oldFormula>'FY 2013 by Agency-Adj'!$1:$3,'FY 2013 by Agency-Adj'!$14:$14,'FY 2013 by Agency-Adj'!$19:$19,'FY 2013 by Agency-Adj'!$155:$155,'FY 2013 by Agency-Adj'!$162:$162,'FY 2013 by Agency-Adj'!$224:$238</oldFormula>
  </rdn>
  <rdn rId="0" localSheetId="5" customView="1" name="Z_78CA186D_B240_44D5_8A24_D241DE0B0FD9_.wvu.Cols" hidden="1" oldHidden="1">
    <formula>'FY 2013 by Agency-Adj'!$AD:$AE,'FY 2013 by Agency-Adj'!$AI:$BK,'FY 2013 by Agency-Adj'!$BO:$BT</formula>
    <oldFormula>'FY 2013 by Agency-Adj'!$AD:$AE,'FY 2013 by Agency-Adj'!$AI:$BK,'FY 2013 by Agency-Adj'!$BO:$BT</oldFormula>
  </rdn>
  <rdn rId="0" localSheetId="8" customView="1" name="Z_78CA186D_B240_44D5_8A24_D241DE0B0FD9_.wvu.Rows" hidden="1" oldHidden="1">
    <formula>'FY2010 Gross-Adj'!$1:$6</formula>
    <oldFormula>'FY2010 Gross-Adj'!$1:$6</oldFormula>
  </rdn>
  <rcv guid="{78CA186D-B240-44D5-8A24-D241DE0B0FD9}" action="add"/>
  <rsnm rId="37922" sheetId="2" oldName="[FY2013 General Fund Budget.xlsx]FY2012 by Approp Title" newName="[FY2013 General Fund Budget.xlsx]FY2013 by Approp Title"/>
  <rsnm rId="37923" sheetId="4" oldName="[FY2013 General Fund Budget.xlsx]FY 2012 by Agency" newName="[FY2013 General Fund Budget.xlsx]FY 2013 by Agency"/>
  <rsnm rId="37924" sheetId="5" oldName="[FY2013 General Fund Budget.xlsx]FY 2012 by Agency-Adj" newName="[FY2013 General Fund Budget.xlsx]FY 2013 by Agency-Adj"/>
  <rsnm rId="37925" sheetId="6" oldName="[FY2013 General Fund Budget.xlsx]FY2010 FTEs" newName="[FY2013 General Fund Budget.xlsx]Sheet 5"/>
</revisions>
</file>

<file path=xl/revisions/revisionLog112.xml><?xml version="1.0" encoding="utf-8"?>
<revisions xmlns="http://schemas.openxmlformats.org/spreadsheetml/2006/main" xmlns:r="http://schemas.openxmlformats.org/officeDocument/2006/relationships">
  <rcc rId="43720" sId="4" numFmtId="11">
    <oc r="BN215">
      <v>61141</v>
    </oc>
    <nc r="BN215">
      <v>47020</v>
    </nc>
  </rcc>
  <rcc rId="43721" sId="5" numFmtId="11">
    <oc r="BW215">
      <v>61141</v>
    </oc>
    <nc r="BW215">
      <v>47020</v>
    </nc>
  </rcc>
  <rcv guid="{567C3053-2D8E-4705-8DC7-18896C5303CA}" action="delete"/>
  <rdn rId="0" localSheetId="2" customView="1" name="Z_567C3053_2D8E_4705_8DC7_18896C5303CA_.wvu.Cols" hidden="1" oldHidden="1">
    <formula>'FY2013 by Approp Title'!$AA:$AA</formula>
    <oldFormula>'FY2013 by Approp Title'!$AA:$AA</oldFormula>
  </rdn>
  <rdn rId="0" localSheetId="3" customView="1" name="Z_567C3053_2D8E_4705_8DC7_18896C5303CA_.wvu.Cols" hidden="1" oldHidden="1">
    <formula>'FY2013 By Approp Title-Adj'!$AA:$AA</formula>
    <oldFormula>'FY2013 By Approp Title-Adj'!$AA:$AA</oldFormula>
  </rdn>
  <rdn rId="0" localSheetId="4" customView="1" name="Z_567C3053_2D8E_4705_8DC7_18896C5303CA_.wvu.Rows" hidden="1" oldHidden="1">
    <formula>'FY 2013 by Agency'!$1:$3,'FY 2013 by Agency'!$227:$241</formula>
    <oldFormula>'FY 2013 by Agency'!$1:$3,'FY 2013 by Agency'!$227:$241</oldFormula>
  </rdn>
  <rdn rId="0" localSheetId="4" customView="1" name="Z_567C3053_2D8E_4705_8DC7_18896C5303CA_.wvu.Cols" hidden="1" oldHidden="1">
    <formula>'FY 2013 by Agency'!$BC:$BD,'FY 2013 by Agency'!$BF:$BM,'FY 2013 by Agency'!$BP:$BP</formula>
    <oldFormula>'FY 2013 by Agency'!$BC:$BD,'FY 2013 by Agency'!$BF:$BM,'FY 2013 by Agency'!$BP:$BP</oldFormula>
  </rdn>
  <rdn rId="0" localSheetId="5" customView="1" name="Z_567C3053_2D8E_4705_8DC7_18896C5303CA_.wvu.Rows" hidden="1" oldHidden="1">
    <formula>'FY 2013 by Agency-Adj'!$1:$3,'FY 2013 by Agency-Adj'!$228:$242</formula>
    <oldFormula>'FY 2013 by Agency-Adj'!$1:$3,'FY 2013 by Agency-Adj'!$228:$242</oldFormula>
  </rdn>
  <rdn rId="0" localSheetId="5" customView="1" name="Z_567C3053_2D8E_4705_8DC7_18896C5303CA_.wvu.Cols" hidden="1" oldHidden="1">
    <formula>'FY 2013 by Agency-Adj'!$AJ:$AM,'FY 2013 by Agency-Adj'!$AP:$AS,'FY 2013 by Agency-Adj'!$BX:$BX</formula>
    <oldFormula>'FY 2013 by Agency-Adj'!$AJ:$AM,'FY 2013 by Agency-Adj'!$AP:$AS,'FY 2013 by Agency-Adj'!$BX:$BX</oldFormula>
  </rdn>
  <rdn rId="0" localSheetId="8" customView="1" name="Z_567C3053_2D8E_4705_8DC7_18896C5303CA_.wvu.Rows" hidden="1" oldHidden="1">
    <formula>'Sheet 4'!$1:$6</formula>
    <oldFormula>'Sheet 4'!$1:$6</oldFormula>
  </rdn>
  <rcv guid="{567C3053-2D8E-4705-8DC7-18896C5303CA}" action="add"/>
</revisions>
</file>

<file path=xl/revisions/revisionLog1121.xml><?xml version="1.0" encoding="utf-8"?>
<revisions xmlns="http://schemas.openxmlformats.org/spreadsheetml/2006/main" xmlns:r="http://schemas.openxmlformats.org/officeDocument/2006/relationships">
  <rcv guid="{567C3053-2D8E-4705-8DC7-18896C5303CA}" action="delete"/>
  <rdn rId="0" localSheetId="2" customView="1" name="Z_567C3053_2D8E_4705_8DC7_18896C5303CA_.wvu.Cols" hidden="1" oldHidden="1">
    <formula>'FY2013 by Approp Title'!$AA:$AA</formula>
    <oldFormula>'FY2013 by Approp Title'!$AA:$AA</oldFormula>
  </rdn>
  <rdn rId="0" localSheetId="3" customView="1" name="Z_567C3053_2D8E_4705_8DC7_18896C5303CA_.wvu.Cols" hidden="1" oldHidden="1">
    <formula>'FY2013 By Approp Title-Adj'!$AA:$AA</formula>
    <oldFormula>'FY2013 By Approp Title-Adj'!$AA:$AA</oldFormula>
  </rdn>
  <rdn rId="0" localSheetId="4" customView="1" name="Z_567C3053_2D8E_4705_8DC7_18896C5303CA_.wvu.Rows" hidden="1" oldHidden="1">
    <formula>'FY 2013 by Agency'!$1:$3,'FY 2013 by Agency'!$226:$240</formula>
    <oldFormula>'FY 2013 by Agency'!$1:$3,'FY 2013 by Agency'!$226:$240</oldFormula>
  </rdn>
  <rdn rId="0" localSheetId="5" customView="1" name="Z_567C3053_2D8E_4705_8DC7_18896C5303CA_.wvu.Rows" hidden="1" oldHidden="1">
    <formula>'FY 2013 by Agency-Adj'!$1:$3,'FY 2013 by Agency-Adj'!$227:$241</formula>
    <oldFormula>'FY 2013 by Agency-Adj'!$1:$3,'FY 2013 by Agency-Adj'!$227:$241</oldFormula>
  </rdn>
  <rdn rId="0" localSheetId="5" customView="1" name="Z_567C3053_2D8E_4705_8DC7_18896C5303CA_.wvu.Cols" hidden="1" oldHidden="1">
    <formula>'FY 2013 by Agency-Adj'!$V:$AB,'FY 2013 by Agency-Adj'!$AJ:$AM,'FY 2013 by Agency-Adj'!$AP:$AS</formula>
    <oldFormula>'FY 2013 by Agency-Adj'!$V:$AB,'FY 2013 by Agency-Adj'!$AJ:$AM,'FY 2013 by Agency-Adj'!$AP:$AS</oldFormula>
  </rdn>
  <rdn rId="0" localSheetId="8" customView="1" name="Z_567C3053_2D8E_4705_8DC7_18896C5303CA_.wvu.Rows" hidden="1" oldHidden="1">
    <formula>'Sheet 4'!$1:$6</formula>
    <oldFormula>'Sheet 4'!$1:$6</oldFormula>
  </rdn>
  <rcv guid="{567C3053-2D8E-4705-8DC7-18896C5303CA}" action="add"/>
</revisions>
</file>

<file path=xl/revisions/revisionLog11211.xml><?xml version="1.0" encoding="utf-8"?>
<revisions xmlns="http://schemas.openxmlformats.org/spreadsheetml/2006/main" xmlns:r="http://schemas.openxmlformats.org/officeDocument/2006/relationships">
  <rcc rId="41214" sId="4" numFmtId="11">
    <nc r="BO197">
      <v>469424</v>
    </nc>
  </rcc>
  <rcc rId="41215" sId="4" numFmtId="11">
    <nc r="BO198">
      <v>5000</v>
    </nc>
  </rcc>
  <rcc rId="41216" sId="4" numFmtId="11">
    <nc r="BO199">
      <v>32542</v>
    </nc>
  </rcc>
  <rcc rId="41217" sId="4" numFmtId="11">
    <nc r="BO201">
      <v>4193</v>
    </nc>
  </rcc>
  <rcc rId="41218" sId="4" numFmtId="11">
    <nc r="BO203">
      <v>27161</v>
    </nc>
  </rcc>
  <rcc rId="41219" sId="4" numFmtId="11">
    <nc r="BO215">
      <v>24700</v>
    </nc>
  </rcc>
  <rcc rId="41220" sId="4" numFmtId="11">
    <nc r="BO205">
      <v>50036</v>
    </nc>
  </rcc>
  <rcc rId="41221" sId="4" numFmtId="11">
    <nc r="BO220">
      <v>3000</v>
    </nc>
  </rcc>
  <rcc rId="41222" sId="4" numFmtId="11">
    <nc r="BO208">
      <v>31533</v>
    </nc>
  </rcc>
  <rcc rId="41223" sId="4" numFmtId="11">
    <nc r="BO212">
      <v>107800</v>
    </nc>
  </rcc>
  <rcc rId="41224" sId="4" numFmtId="11">
    <nc r="BO217">
      <v>36472</v>
    </nc>
  </rcc>
  <rcc rId="41225" sId="4" numFmtId="11">
    <nc r="BO218">
      <v>103729</v>
    </nc>
  </rcc>
  <rcc rId="41226" sId="4" numFmtId="11">
    <nc r="BO204">
      <v>0</v>
    </nc>
  </rcc>
  <rcc rId="41227" sId="4" numFmtId="11">
    <nc r="BO206">
      <v>8626</v>
    </nc>
  </rcc>
  <rcc rId="41228" sId="4" numFmtId="11">
    <nc r="BO213">
      <v>8222</v>
    </nc>
  </rcc>
  <rcc rId="41229" sId="4" numFmtId="11">
    <nc r="BO219">
      <v>21477</v>
    </nc>
  </rcc>
  <rm rId="41230" sheetId="4" source="BO219" destination="BO200" sourceSheetId="4">
    <undo index="0" exp="ref" v="1" dr="BO200" r="BT200" sId="4"/>
    <rfmt sheetId="4" sqref="BO200" start="0" length="0">
      <dxf>
        <font>
          <sz val="10"/>
          <color auto="1"/>
          <name val="Arial"/>
          <scheme val="none"/>
        </font>
        <numFmt numFmtId="165" formatCode="&quot;$&quot;#,##0"/>
      </dxf>
    </rfmt>
  </rm>
  <rcc rId="41231" sId="4" numFmtId="11">
    <nc r="BO207">
      <v>0</v>
    </nc>
  </rcc>
  <rcc rId="41232" sId="4" numFmtId="11">
    <nc r="BO202">
      <v>0</v>
    </nc>
  </rcc>
  <rcc rId="41233" sId="4" numFmtId="11">
    <nc r="BO209">
      <v>0</v>
    </nc>
  </rcc>
  <rcc rId="41234" sId="4" numFmtId="11">
    <nc r="BO211">
      <v>0</v>
    </nc>
  </rcc>
  <rcc rId="41235" sId="4">
    <nc r="BO219">
      <v>0</v>
    </nc>
  </rcc>
  <rfmt sheetId="4" sqref="BO219">
    <dxf>
      <font>
        <b val="0"/>
        <i val="0"/>
        <strike val="0"/>
        <condense val="0"/>
        <extend val="0"/>
        <outline val="0"/>
        <shadow val="0"/>
        <u val="none"/>
        <vertAlign val="baseline"/>
        <sz val="10"/>
        <color auto="1"/>
        <name val="Arial"/>
        <scheme val="none"/>
      </font>
      <numFmt numFmtId="165" formatCode="&quot;$&quot;#,##0"/>
    </dxf>
  </rfmt>
  <rcc rId="41236" sId="4" numFmtId="11">
    <nc r="BO216">
      <v>71461</v>
    </nc>
  </rcc>
  <rcc rId="41237" sId="4">
    <nc r="BO221">
      <f>SUM(BO197:BO220)</f>
    </nc>
  </rcc>
  <rcc rId="41238" sId="4" numFmtId="11">
    <nc r="BE209">
      <v>0</v>
    </nc>
  </rcc>
  <rcc rId="41239" sId="4" numFmtId="11">
    <nc r="BO210">
      <v>6000</v>
    </nc>
  </rcc>
  <rcc rId="41240" sId="4" numFmtId="11">
    <nc r="BE211">
      <v>0</v>
    </nc>
  </rcc>
  <rcc rId="41241" sId="4" numFmtId="11">
    <nc r="BO214">
      <v>61141</v>
    </nc>
  </rcc>
  <rcc rId="41242" sId="4" numFmtId="11">
    <oc r="BE215">
      <v>0</v>
    </oc>
    <nc r="BE215">
      <v>14900</v>
    </nc>
  </rcc>
  <rcc rId="41243" sId="4" numFmtId="11">
    <nc r="BE219">
      <v>0</v>
    </nc>
  </rcc>
  <rdn rId="0" localSheetId="6" customView="1" name="Z_567C3053_2D8E_4705_8DC7_18896C5303CA_.wvu.Rows" hidden="1" oldHidden="1">
    <oldFormula>'Sheet 5'!#REF!,'Sheet 5'!#REF!</oldFormula>
  </rdn>
  <rdn rId="0" localSheetId="7" customView="1" name="Z_567C3053_2D8E_4705_8DC7_18896C5303CA_.wvu.Rows" hidden="1" oldHidden="1">
    <oldFormula>'Sheet 6'!#REF!</oldFormula>
  </rdn>
  <rcv guid="{567C3053-2D8E-4705-8DC7-18896C5303CA}" action="delete"/>
  <rdn rId="0" localSheetId="2" customView="1" name="Z_567C3053_2D8E_4705_8DC7_18896C5303CA_.wvu.Cols" hidden="1" oldHidden="1">
    <formula>'FY2013 by Approp Title'!$AA:$AA</formula>
    <oldFormula>'FY2013 by Approp Title'!$AA:$AA</oldFormula>
  </rdn>
  <rdn rId="0" localSheetId="3" customView="1" name="Z_567C3053_2D8E_4705_8DC7_18896C5303CA_.wvu.Cols" hidden="1" oldHidden="1">
    <formula>'FY2013 By Approp Title-Adj'!$AA:$AA</formula>
    <oldFormula>'FY2013 By Approp Title-Adj'!$AA:$AA</oldFormula>
  </rdn>
  <rdn rId="0" localSheetId="4" customView="1" name="Z_567C3053_2D8E_4705_8DC7_18896C5303CA_.wvu.Rows" hidden="1" oldHidden="1">
    <formula>'FY 2013 by Agency'!$1:$3,'FY 2013 by Agency'!$226:$240</formula>
    <oldFormula>'FY 2013 by Agency'!$1:$3,'FY 2013 by Agency'!$226:$240</oldFormula>
  </rdn>
  <rdn rId="0" localSheetId="5" customView="1" name="Z_567C3053_2D8E_4705_8DC7_18896C5303CA_.wvu.Rows" hidden="1" oldHidden="1">
    <formula>'FY 2013 by Agency-Adj'!$1:$3,'FY 2013 by Agency-Adj'!$227:$241</formula>
    <oldFormula>'FY 2013 by Agency-Adj'!$1:$3,'FY 2013 by Agency-Adj'!$227:$241</oldFormula>
  </rdn>
  <rdn rId="0" localSheetId="5" customView="1" name="Z_567C3053_2D8E_4705_8DC7_18896C5303CA_.wvu.Cols" hidden="1" oldHidden="1">
    <formula>'FY 2013 by Agency-Adj'!$V:$AB,'FY 2013 by Agency-Adj'!$AJ:$AM,'FY 2013 by Agency-Adj'!$AP:$AS</formula>
    <oldFormula>'FY 2013 by Agency-Adj'!$V:$AB,'FY 2013 by Agency-Adj'!$AJ:$AM,'FY 2013 by Agency-Adj'!$AP:$AS</oldFormula>
  </rdn>
  <rdn rId="0" localSheetId="8" customView="1" name="Z_567C3053_2D8E_4705_8DC7_18896C5303CA_.wvu.Rows" hidden="1" oldHidden="1">
    <formula>'Sheet 4'!$1:$6</formula>
    <oldFormula>'Sheet 4'!$1:$6</oldFormula>
  </rdn>
  <rcv guid="{567C3053-2D8E-4705-8DC7-18896C5303CA}" action="add"/>
</revisions>
</file>

<file path=xl/revisions/revisionLog1122.xml><?xml version="1.0" encoding="utf-8"?>
<revisions xmlns="http://schemas.openxmlformats.org/spreadsheetml/2006/main" xmlns:r="http://schemas.openxmlformats.org/officeDocument/2006/relationships">
  <rcc rId="42474" sId="4" numFmtId="11">
    <oc r="BE57">
      <f>4000+18000</f>
    </oc>
    <nc r="BE57">
      <v>22000</v>
    </nc>
  </rcc>
  <rcv guid="{9D4F0482-B164-4671-805A-E0D2D4DD4720}" action="delete"/>
  <rdn rId="0" localSheetId="2" customView="1" name="Z_9D4F0482_B164_4671_805A_E0D2D4DD4720_.wvu.Cols" hidden="1" oldHidden="1">
    <formula>'FY2013 by Approp Title'!$AA:$AA</formula>
    <oldFormula>'FY2013 by Approp Title'!$AA:$AA</oldFormula>
  </rdn>
  <rdn rId="0" localSheetId="3" customView="1" name="Z_9D4F0482_B164_4671_805A_E0D2D4DD4720_.wvu.Cols" hidden="1" oldHidden="1">
    <formula>'FY2013 By Approp Title-Adj'!$AA:$AA</formula>
    <oldFormula>'FY2013 By Approp Title-Adj'!$AA:$AA</oldFormula>
  </rdn>
  <rdn rId="0" localSheetId="4" customView="1" name="Z_9D4F0482_B164_4671_805A_E0D2D4DD4720_.wvu.Rows" hidden="1" oldHidden="1">
    <formula>'FY 2013 by Agency'!$1:$3,'FY 2013 by Agency'!$227:$241</formula>
    <oldFormula>'FY 2013 by Agency'!$1:$3,'FY 2013 by Agency'!$227:$241</oldFormula>
  </rdn>
  <rdn rId="0" localSheetId="4" customView="1" name="Z_9D4F0482_B164_4671_805A_E0D2D4DD4720_.wvu.Cols" hidden="1" oldHidden="1">
    <formula>'FY 2013 by Agency'!$AI:$AW</formula>
    <oldFormula>'FY 2013 by Agency'!$AI:$AW</oldFormula>
  </rdn>
  <rdn rId="0" localSheetId="5" customView="1" name="Z_9D4F0482_B164_4671_805A_E0D2D4DD4720_.wvu.Rows" hidden="1" oldHidden="1">
    <formula>'FY 2013 by Agency-Adj'!$1:$3,'FY 2013 by Agency-Adj'!$14:$14,'FY 2013 by Agency-Adj'!$19:$19,'FY 2013 by Agency-Adj'!$149:$149,'FY 2013 by Agency-Adj'!$157:$157,'FY 2013 by Agency-Adj'!$164:$164,'FY 2013 by Agency-Adj'!$228:$242</formula>
    <oldFormula>'FY 2013 by Agency-Adj'!$1:$3,'FY 2013 by Agency-Adj'!$14:$14,'FY 2013 by Agency-Adj'!$19:$19,'FY 2013 by Agency-Adj'!$149:$149,'FY 2013 by Agency-Adj'!$157:$157,'FY 2013 by Agency-Adj'!$164:$164,'FY 2013 by Agency-Adj'!$228:$242</oldFormula>
  </rdn>
  <rdn rId="0" localSheetId="5" customView="1" name="Z_9D4F0482_B164_4671_805A_E0D2D4DD4720_.wvu.Cols" hidden="1" oldHidden="1">
    <formula>'FY 2013 by Agency-Adj'!$AD:$AE,'FY 2013 by Agency-Adj'!$AI:$BJ</formula>
    <oldFormula>'FY 2013 by Agency-Adj'!$AD:$AE,'FY 2013 by Agency-Adj'!$AI:$BJ</oldFormula>
  </rdn>
  <rdn rId="0" localSheetId="8" customView="1" name="Z_9D4F0482_B164_4671_805A_E0D2D4DD4720_.wvu.Rows" hidden="1" oldHidden="1">
    <formula>'Sheet 4'!$1:$6</formula>
    <oldFormula>'Sheet 4'!$1:$6</oldFormula>
  </rdn>
  <rcv guid="{9D4F0482-B164-4671-805A-E0D2D4DD4720}" action="add"/>
</revisions>
</file>

<file path=xl/revisions/revisionLog11221.xml><?xml version="1.0" encoding="utf-8"?>
<revisions xmlns="http://schemas.openxmlformats.org/spreadsheetml/2006/main" xmlns:r="http://schemas.openxmlformats.org/officeDocument/2006/relationships">
  <rcv guid="{78CA186D-B240-44D5-8A24-D241DE0B0FD9}" action="delete"/>
  <rdn rId="0" localSheetId="2" customView="1" name="Z_78CA186D_B240_44D5_8A24_D241DE0B0FD9_.wvu.Cols" hidden="1" oldHidden="1">
    <formula>'FY2013 by Approp Title'!$AA:$AA</formula>
    <oldFormula>'FY2013 by Approp Title'!$AA:$AA</oldFormula>
  </rdn>
  <rdn rId="0" localSheetId="3" customView="1" name="Z_78CA186D_B240_44D5_8A24_D241DE0B0FD9_.wvu.Cols" hidden="1" oldHidden="1">
    <formula>'FY2013 By Approp Title-Adj'!$AA:$AA</formula>
    <oldFormula>'FY2013 By Approp Title-Adj'!$AA:$AA</oldFormula>
  </rdn>
  <rdn rId="0" localSheetId="4" customView="1" name="Z_78CA186D_B240_44D5_8A24_D241DE0B0FD9_.wvu.Rows" hidden="1" oldHidden="1">
    <formula>'FY 2013 by Agency'!$1:$3,'FY 2013 by Agency'!$227:$241</formula>
    <oldFormula>'FY 2013 by Agency'!$1:$3,'FY 2013 by Agency'!$227:$241</oldFormula>
  </rdn>
  <rdn rId="0" localSheetId="4" customView="1" name="Z_78CA186D_B240_44D5_8A24_D241DE0B0FD9_.wvu.Cols" hidden="1" oldHidden="1">
    <formula>'FY 2013 by Agency'!$D:$E,'FY 2013 by Agency'!$G:$H,'FY 2013 by Agency'!$J:$K,'FY 2013 by Agency'!$M:$N,'FY 2013 by Agency'!$P:$Q,'FY 2013 by Agency'!$S:$T,'FY 2013 by Agency'!$V:$W,'FY 2013 by Agency'!$Y:$Z,'FY 2013 by Agency'!$AB:$AE,'FY 2013 by Agency'!$AV:$AW,'FY 2013 by Agency'!$AY:$AZ,'FY 2013 by Agency'!$BF:$BG,'FY 2013 by Agency'!$BM:$BN</formula>
    <oldFormula>'FY 2013 by Agency'!$D:$E,'FY 2013 by Agency'!$G:$H,'FY 2013 by Agency'!$J:$K,'FY 2013 by Agency'!$M:$N,'FY 2013 by Agency'!$P:$Q,'FY 2013 by Agency'!$S:$T,'FY 2013 by Agency'!$V:$W,'FY 2013 by Agency'!$Y:$Z,'FY 2013 by Agency'!$AB:$AE,'FY 2013 by Agency'!$AV:$AW,'FY 2013 by Agency'!$AY:$AZ,'FY 2013 by Agency'!$BF:$BG,'FY 2013 by Agency'!$BM:$BN</oldFormula>
  </rdn>
  <rdn rId="0" localSheetId="5" customView="1" name="Z_78CA186D_B240_44D5_8A24_D241DE0B0FD9_.wvu.Rows" hidden="1" oldHidden="1">
    <formula>'FY 2013 by Agency-Adj'!$1:$3,'FY 2013 by Agency-Adj'!$14:$14,'FY 2013 by Agency-Adj'!$19:$19,'FY 2013 by Agency-Adj'!$157:$157,'FY 2013 by Agency-Adj'!$164:$164,'FY 2013 by Agency-Adj'!$228:$242</formula>
    <oldFormula>'FY 2013 by Agency-Adj'!$1:$3,'FY 2013 by Agency-Adj'!$14:$14,'FY 2013 by Agency-Adj'!$19:$19,'FY 2013 by Agency-Adj'!$157:$157,'FY 2013 by Agency-Adj'!$164:$164,'FY 2013 by Agency-Adj'!$228:$242</oldFormula>
  </rdn>
  <rdn rId="0" localSheetId="5" customView="1" name="Z_78CA186D_B240_44D5_8A24_D241DE0B0FD9_.wvu.Cols" hidden="1" oldHidden="1">
    <formula>'FY 2013 by Agency-Adj'!$AD:$AE,'FY 2013 by Agency-Adj'!$AI:$BK,'FY 2013 by Agency-Adj'!$BS:$BZ</formula>
    <oldFormula>'FY 2013 by Agency-Adj'!$AD:$AE,'FY 2013 by Agency-Adj'!$AI:$BK,'FY 2013 by Agency-Adj'!$BS:$BZ</oldFormula>
  </rdn>
  <rdn rId="0" localSheetId="8" customView="1" name="Z_78CA186D_B240_44D5_8A24_D241DE0B0FD9_.wvu.Rows" hidden="1" oldHidden="1">
    <formula>'Sheet 4'!$1:$6</formula>
    <oldFormula>'Sheet 4'!$1:$6</oldFormula>
  </rdn>
  <rcv guid="{78CA186D-B240-44D5-8A24-D241DE0B0FD9}" action="add"/>
</revisions>
</file>

<file path=xl/revisions/revisionLog112211.xml><?xml version="1.0" encoding="utf-8"?>
<revisions xmlns="http://schemas.openxmlformats.org/spreadsheetml/2006/main" xmlns:r="http://schemas.openxmlformats.org/officeDocument/2006/relationships">
  <rcv guid="{455630F5-40FC-47DB-8AD4-712C20B8FB91}" action="delete"/>
  <rdn rId="0" localSheetId="2" customView="1" name="Z_455630F5_40FC_47DB_8AD4_712C20B8FB91_.wvu.Cols" hidden="1" oldHidden="1">
    <formula>'FY2013 by Approp Title'!$AA:$AA</formula>
    <oldFormula>'FY2013 by Approp Title'!$AA:$AA</oldFormula>
  </rdn>
  <rdn rId="0" localSheetId="3" customView="1" name="Z_455630F5_40FC_47DB_8AD4_712C20B8FB91_.wvu.Cols" hidden="1" oldHidden="1">
    <formula>'FY2013 By Approp Title-Adj'!$AA:$AA</formula>
    <oldFormula>'FY2013 By Approp Title-Adj'!$AA:$AA</oldFormula>
  </rdn>
  <rdn rId="0" localSheetId="4" customView="1" name="Z_455630F5_40FC_47DB_8AD4_712C20B8FB91_.wvu.Rows" hidden="1" oldHidden="1">
    <formula>'FY 2013 by Agency'!$1:$3,'FY 2013 by Agency'!$226:$240</formula>
    <oldFormula>'FY 2013 by Agency'!$1:$3,'FY 2013 by Agency'!$226:$240</oldFormula>
  </rdn>
  <rdn rId="0" localSheetId="4" customView="1" name="Z_455630F5_40FC_47DB_8AD4_712C20B8FB91_.wvu.Cols" hidden="1" oldHidden="1">
    <formula>'FY 2013 by Agency'!$D:$E,'FY 2013 by Agency'!$G:$H,'FY 2013 by Agency'!$J:$K,'FY 2013 by Agency'!$M:$N,'FY 2013 by Agency'!$P:$Q,'FY 2013 by Agency'!$S:$T,'FY 2013 by Agency'!$V:$W,'FY 2013 by Agency'!$Y:$Z,'FY 2013 by Agency'!$AB:$AE,'FY 2013 by Agency'!$AG:$AO,'FY 2013 by Agency'!$AV:$AW,'FY 2013 by Agency'!$AY:$AZ,'FY 2013 by Agency'!$BF:$BG</formula>
    <oldFormula>'FY 2013 by Agency'!$D:$E,'FY 2013 by Agency'!$G:$H,'FY 2013 by Agency'!$J:$K,'FY 2013 by Agency'!$M:$N,'FY 2013 by Agency'!$P:$Q,'FY 2013 by Agency'!$S:$T,'FY 2013 by Agency'!$V:$W,'FY 2013 by Agency'!$Y:$Z,'FY 2013 by Agency'!$AB:$AE,'FY 2013 by Agency'!$AG:$AO,'FY 2013 by Agency'!$AV:$AW,'FY 2013 by Agency'!$AY:$AZ,'FY 2013 by Agency'!$BF:$BG</oldFormula>
  </rdn>
  <rdn rId="0" localSheetId="5" customView="1" name="Z_455630F5_40FC_47DB_8AD4_712C20B8FB91_.wvu.Rows" hidden="1" oldHidden="1">
    <formula>'FY 2013 by Agency-Adj'!$1:$3,'FY 2013 by Agency-Adj'!$14:$14,'FY 2013 by Agency-Adj'!$19:$19,'FY 2013 by Agency-Adj'!$156:$156,'FY 2013 by Agency-Adj'!$163:$163,'FY 2013 by Agency-Adj'!$227:$241</formula>
    <oldFormula>'FY 2013 by Agency-Adj'!$1:$3,'FY 2013 by Agency-Adj'!$14:$14,'FY 2013 by Agency-Adj'!$19:$19,'FY 2013 by Agency-Adj'!$156:$156,'FY 2013 by Agency-Adj'!$163:$163,'FY 2013 by Agency-Adj'!$227:$241</oldFormula>
  </rdn>
  <rdn rId="0" localSheetId="5" customView="1" name="Z_455630F5_40FC_47DB_8AD4_712C20B8FB91_.wvu.Cols" hidden="1" oldHidden="1">
    <formula>'FY 2013 by Agency-Adj'!$AD:$AE,'FY 2013 by Agency-Adj'!$AI:$BK,'FY 2013 by Agency-Adj'!$BO:$BT</formula>
    <oldFormula>'FY 2013 by Agency-Adj'!$AD:$AE,'FY 2013 by Agency-Adj'!$AI:$BK,'FY 2013 by Agency-Adj'!$BO:$BT</oldFormula>
  </rdn>
  <rdn rId="0" localSheetId="8" customView="1" name="Z_455630F5_40FC_47DB_8AD4_712C20B8FB91_.wvu.Rows" hidden="1" oldHidden="1">
    <formula>'Sheet 4'!$1:$6</formula>
    <oldFormula>'Sheet 4'!$1:$6</oldFormula>
  </rdn>
  <rcv guid="{455630F5-40FC-47DB-8AD4-712C20B8FB91}" action="add"/>
</revisions>
</file>

<file path=xl/revisions/revisionLog113.xml><?xml version="1.0" encoding="utf-8"?>
<revisions xmlns="http://schemas.openxmlformats.org/spreadsheetml/2006/main" xmlns:r="http://schemas.openxmlformats.org/officeDocument/2006/relationships">
  <rcv guid="{567C3053-2D8E-4705-8DC7-18896C5303CA}" action="delete"/>
  <rdn rId="0" localSheetId="2" customView="1" name="Z_567C3053_2D8E_4705_8DC7_18896C5303CA_.wvu.Cols" hidden="1" oldHidden="1">
    <formula>'FY2013 by Approp Title'!$AA:$AA</formula>
    <oldFormula>'FY2013 by Approp Title'!$AA:$AA</oldFormula>
  </rdn>
  <rdn rId="0" localSheetId="3" customView="1" name="Z_567C3053_2D8E_4705_8DC7_18896C5303CA_.wvu.Cols" hidden="1" oldHidden="1">
    <formula>'FY2013 By Approp Title-Adj'!$AA:$AA</formula>
    <oldFormula>'FY2013 By Approp Title-Adj'!$AA:$AA</oldFormula>
  </rdn>
  <rdn rId="0" localSheetId="4" customView="1" name="Z_567C3053_2D8E_4705_8DC7_18896C5303CA_.wvu.Rows" hidden="1" oldHidden="1">
    <formula>'FY 2013 by Agency'!$1:$3,'FY 2013 by Agency'!$227:$241</formula>
    <oldFormula>'FY 2013 by Agency'!$1:$3,'FY 2013 by Agency'!$227:$241</oldFormula>
  </rdn>
  <rdn rId="0" localSheetId="5" customView="1" name="Z_567C3053_2D8E_4705_8DC7_18896C5303CA_.wvu.Rows" hidden="1" oldHidden="1">
    <formula>'FY 2013 by Agency-Adj'!$1:$3,'FY 2013 by Agency-Adj'!$228:$242</formula>
    <oldFormula>'FY 2013 by Agency-Adj'!$1:$3,'FY 2013 by Agency-Adj'!$228:$242</oldFormula>
  </rdn>
  <rdn rId="0" localSheetId="5" customView="1" name="Z_567C3053_2D8E_4705_8DC7_18896C5303CA_.wvu.Cols" hidden="1" oldHidden="1">
    <formula>'FY 2013 by Agency-Adj'!$V:$AB,'FY 2013 by Agency-Adj'!$AJ:$AM,'FY 2013 by Agency-Adj'!$AP:$AS,'FY 2013 by Agency-Adj'!$BS:$BZ</formula>
    <oldFormula>'FY 2013 by Agency-Adj'!$V:$AB,'FY 2013 by Agency-Adj'!$AJ:$AM,'FY 2013 by Agency-Adj'!$AP:$AS,'FY 2013 by Agency-Adj'!$BS:$BZ</oldFormula>
  </rdn>
  <rdn rId="0" localSheetId="8" customView="1" name="Z_567C3053_2D8E_4705_8DC7_18896C5303CA_.wvu.Rows" hidden="1" oldHidden="1">
    <formula>'Sheet 4'!$1:$6</formula>
    <oldFormula>'Sheet 4'!$1:$6</oldFormula>
  </rdn>
  <rcv guid="{567C3053-2D8E-4705-8DC7-18896C5303CA}" action="add"/>
</revisions>
</file>

<file path=xl/revisions/revisionLog1131.xml><?xml version="1.0" encoding="utf-8"?>
<revisions xmlns="http://schemas.openxmlformats.org/spreadsheetml/2006/main" xmlns:r="http://schemas.openxmlformats.org/officeDocument/2006/relationships">
  <rcc rId="37926" sId="8">
    <oc r="A1" t="inlineStr">
      <is>
        <t xml:space="preserve">Government of the District of Columbia </t>
      </is>
    </oc>
    <nc r="A1"/>
  </rcc>
  <rcc rId="37927" sId="8">
    <oc r="A2" t="inlineStr">
      <is>
        <t>Fiscal Year 2009 Budget</t>
      </is>
    </oc>
    <nc r="A2"/>
  </rcc>
  <rcc rId="37928" sId="8">
    <oc r="A4" t="inlineStr">
      <is>
        <t>* Includes Local and Special Purpose (General) Funds only</t>
      </is>
    </oc>
    <nc r="A4"/>
  </rcc>
  <rcc rId="37929" sId="8">
    <oc r="A5" t="inlineStr">
      <is>
        <t>* All dollar figures are in thousands ($000's)</t>
      </is>
    </oc>
    <nc r="A5"/>
  </rcc>
  <rcc rId="37930" sId="8">
    <oc r="B7" t="inlineStr">
      <is>
        <t>FY 2008</t>
      </is>
    </oc>
    <nc r="B7"/>
  </rcc>
  <rcc rId="37931" sId="8">
    <oc r="C7" t="inlineStr">
      <is>
        <t>FY2009</t>
      </is>
    </oc>
    <nc r="C7"/>
  </rcc>
  <rcc rId="37932" sId="8">
    <oc r="D7" t="inlineStr">
      <is>
        <t>Change FY '08-'09</t>
      </is>
    </oc>
    <nc r="D7"/>
  </rcc>
  <rcc rId="37933" sId="8">
    <oc r="F7" t="inlineStr">
      <is>
        <t>FY2010</t>
      </is>
    </oc>
    <nc r="F7"/>
  </rcc>
  <rcc rId="37934" sId="8">
    <oc r="G7" t="inlineStr">
      <is>
        <t>Change FY '09-'10</t>
      </is>
    </oc>
    <nc r="G7"/>
  </rcc>
  <rcc rId="37935" sId="8">
    <oc r="A8" t="inlineStr">
      <is>
        <t>Appropriation Title</t>
      </is>
    </oc>
    <nc r="A8"/>
  </rcc>
  <rcc rId="37936" sId="8">
    <oc r="B8" t="inlineStr">
      <is>
        <t>Gross</t>
      </is>
    </oc>
    <nc r="B8"/>
  </rcc>
  <rcc rId="37937" sId="8">
    <oc r="C8" t="inlineStr">
      <is>
        <t>Gross (March '09)</t>
      </is>
    </oc>
    <nc r="C8"/>
  </rcc>
  <rcc rId="37938" sId="8">
    <oc r="D8" t="inlineStr">
      <is>
        <t>S</t>
      </is>
    </oc>
    <nc r="D8"/>
  </rcc>
  <rcc rId="37939" sId="8">
    <oc r="E8" t="inlineStr">
      <is>
        <t>%</t>
      </is>
    </oc>
    <nc r="E8"/>
  </rcc>
  <rcc rId="37940" sId="8">
    <oc r="F8" t="inlineStr">
      <is>
        <t>Gross</t>
      </is>
    </oc>
    <nc r="F8"/>
  </rcc>
  <rcc rId="37941" sId="8">
    <oc r="G8" t="inlineStr">
      <is>
        <t>S</t>
      </is>
    </oc>
    <nc r="G8"/>
  </rcc>
  <rcc rId="37942" sId="8">
    <oc r="H8" t="inlineStr">
      <is>
        <t>%</t>
      </is>
    </oc>
    <nc r="H8"/>
  </rcc>
  <rcc rId="37943" sId="8">
    <oc r="A9" t="inlineStr">
      <is>
        <t>Governmental Direction &amp; Support</t>
      </is>
    </oc>
    <nc r="A9"/>
  </rcc>
  <rcc rId="37944" sId="8">
    <oc r="A10" t="inlineStr">
      <is>
        <t>Council of the District of Columbia (AB)</t>
      </is>
    </oc>
    <nc r="A10"/>
  </rcc>
  <rcc rId="37945" sId="8">
    <oc r="B10">
      <f>'Sheet 6'!#REF!*(Inflator!$B$6)</f>
    </oc>
    <nc r="B10"/>
  </rcc>
  <rcc rId="37946" sId="8">
    <oc r="C10">
      <f>'Sheet 6'!#REF!*Inflator!$B$7</f>
    </oc>
    <nc r="C10"/>
  </rcc>
  <rcc rId="37947" sId="8">
    <oc r="D10">
      <f>C10-B10</f>
    </oc>
    <nc r="D10"/>
  </rcc>
  <rcc rId="37948" sId="8">
    <oc r="E10">
      <f>D10/B10</f>
    </oc>
    <nc r="E10"/>
  </rcc>
  <rcc rId="37949" sId="8" numFmtId="11">
    <oc r="F10">
      <v>20916</v>
    </oc>
    <nc r="F10"/>
  </rcc>
  <rcc rId="37950" sId="8">
    <oc r="G10">
      <f>F10-C10</f>
    </oc>
    <nc r="G10"/>
  </rcc>
  <rcc rId="37951" sId="8">
    <oc r="H10">
      <f>G10/C10</f>
    </oc>
    <nc r="H10"/>
  </rcc>
  <rcc rId="37952" sId="8">
    <oc r="A11" t="inlineStr">
      <is>
        <t>Office of the District of Columbia Auditor (AC)</t>
      </is>
    </oc>
    <nc r="A11"/>
  </rcc>
  <rcc rId="37953" sId="8">
    <oc r="B11">
      <f>'Sheet 6'!#REF!*(Inflator!$B$6)</f>
    </oc>
    <nc r="B11"/>
  </rcc>
  <rcc rId="37954" sId="8">
    <oc r="C11">
      <f>'Sheet 6'!#REF!*Inflator!$B$7</f>
    </oc>
    <nc r="C11"/>
  </rcc>
  <rcc rId="37955" sId="8">
    <oc r="D11">
      <f>C11-B11</f>
    </oc>
    <nc r="D11"/>
  </rcc>
  <rcc rId="37956" sId="8">
    <oc r="E11">
      <f>D11/B11</f>
    </oc>
    <nc r="E11"/>
  </rcc>
  <rcc rId="37957" sId="8" numFmtId="11">
    <oc r="F11">
      <v>3988</v>
    </oc>
    <nc r="F11"/>
  </rcc>
  <rcc rId="37958" sId="8">
    <oc r="G11">
      <f>F11-C11</f>
    </oc>
    <nc r="G11"/>
  </rcc>
  <rcc rId="37959" sId="8">
    <oc r="H11">
      <f>G11/C11</f>
    </oc>
    <nc r="H11"/>
  </rcc>
  <rcc rId="37960" sId="8">
    <oc r="A12" t="inlineStr">
      <is>
        <t>Advisory Neighborhood Commissions (DX)</t>
      </is>
    </oc>
    <nc r="A12"/>
  </rcc>
  <rcc rId="37961" sId="8">
    <oc r="B12">
      <f>'Sheet 6'!#REF!*(Inflator!$B$6)</f>
    </oc>
    <nc r="B12"/>
  </rcc>
  <rcc rId="37962" sId="8">
    <oc r="C12">
      <f>'Sheet 6'!#REF!*Inflator!$B$7</f>
    </oc>
    <nc r="C12"/>
  </rcc>
  <rcc rId="37963" sId="8">
    <oc r="D12">
      <f>C12-B12</f>
    </oc>
    <nc r="D12"/>
  </rcc>
  <rcc rId="37964" sId="8">
    <oc r="E12">
      <f>D12/B12</f>
    </oc>
    <nc r="E12"/>
  </rcc>
  <rcc rId="37965" sId="8" numFmtId="11">
    <oc r="F12">
      <v>1081</v>
    </oc>
    <nc r="F12"/>
  </rcc>
  <rcc rId="37966" sId="8">
    <oc r="G12">
      <f>F12-C12</f>
    </oc>
    <nc r="G12"/>
  </rcc>
  <rcc rId="37967" sId="8">
    <oc r="H12">
      <f>G12/C12</f>
    </oc>
    <nc r="H12"/>
  </rcc>
  <rcc rId="37968" sId="8">
    <oc r="A13" t="inlineStr">
      <is>
        <t>Office of the Mayor (AA)</t>
      </is>
    </oc>
    <nc r="A13"/>
  </rcc>
  <rcc rId="37969" sId="8">
    <oc r="B13">
      <f>'Sheet 6'!#REF!*(Inflator!$B$6)</f>
    </oc>
    <nc r="B13"/>
  </rcc>
  <rcc rId="37970" sId="8">
    <oc r="C13">
      <f>'Sheet 6'!#REF!*Inflator!$B$7</f>
    </oc>
    <nc r="C13"/>
  </rcc>
  <rcc rId="37971" sId="8">
    <oc r="D13">
      <f>C13-B13</f>
    </oc>
    <nc r="D13"/>
  </rcc>
  <rcc rId="37972" sId="8">
    <oc r="E13">
      <f>D13/B13</f>
    </oc>
    <nc r="E13"/>
  </rcc>
  <rcc rId="37973" sId="8" numFmtId="11">
    <oc r="F13">
      <v>5876</v>
    </oc>
    <nc r="F13"/>
  </rcc>
  <rcc rId="37974" sId="8">
    <oc r="G13">
      <f>F13-C13</f>
    </oc>
    <nc r="G13"/>
  </rcc>
  <rcc rId="37975" sId="8">
    <oc r="H13">
      <f>G13/C13</f>
    </oc>
    <nc r="H13"/>
  </rcc>
  <rcc rId="37976" sId="8">
    <oc r="A14" t="inlineStr">
      <is>
        <t>Office of the Community Affairs (RP)</t>
      </is>
    </oc>
    <nc r="A14"/>
  </rcc>
  <rcc rId="37977" sId="8">
    <oc r="B14">
      <f>'Sheet 6'!#REF!*(Inflator!$B$6)</f>
    </oc>
    <nc r="B14"/>
  </rcc>
  <rcc rId="37978" sId="8">
    <oc r="C14">
      <f>'Sheet 6'!#REF!*Inflator!$B$7</f>
    </oc>
    <nc r="C14"/>
  </rcc>
  <rcc rId="37979" sId="8">
    <oc r="D14">
      <f>C14-B14</f>
    </oc>
    <nc r="D14"/>
  </rcc>
  <rcc rId="37980" sId="8">
    <oc r="E14">
      <f>D14/B14</f>
    </oc>
    <nc r="E14"/>
  </rcc>
  <rcc rId="37981" sId="8" numFmtId="11">
    <oc r="F14">
      <v>4051</v>
    </oc>
    <nc r="F14"/>
  </rcc>
  <rcc rId="37982" sId="8">
    <oc r="G14">
      <f>F14-C14</f>
    </oc>
    <nc r="G14"/>
  </rcc>
  <rcc rId="37983" sId="8">
    <oc r="H14">
      <f>G14/C14</f>
    </oc>
    <nc r="H14"/>
  </rcc>
  <rcc rId="37984" sId="8">
    <oc r="A15" t="inlineStr">
      <is>
        <t>Serve DC (RS)</t>
      </is>
    </oc>
    <nc r="A15"/>
  </rcc>
  <rcc rId="37985" sId="8">
    <oc r="B15">
      <f>'Sheet 6'!#REF!*(Inflator!$B$6)</f>
    </oc>
    <nc r="B15"/>
  </rcc>
  <rcc rId="37986" sId="8">
    <oc r="C15">
      <f>'Sheet 6'!#REF!*Inflator!$B$7</f>
    </oc>
    <nc r="C15"/>
  </rcc>
  <rcc rId="37987" sId="8">
    <oc r="D15">
      <f>C15-B15</f>
    </oc>
    <nc r="D15"/>
  </rcc>
  <rcc rId="37988" sId="8">
    <oc r="E15">
      <f>D15/B15</f>
    </oc>
    <nc r="E15"/>
  </rcc>
  <rcc rId="37989" sId="8" numFmtId="11">
    <oc r="F15">
      <v>3761</v>
    </oc>
    <nc r="F15"/>
  </rcc>
  <rcc rId="37990" sId="8">
    <oc r="G15">
      <f>F15-C15</f>
    </oc>
    <nc r="G15"/>
  </rcc>
  <rcc rId="37991" sId="8">
    <oc r="H15">
      <f>G15/C15</f>
    </oc>
    <nc r="H15"/>
  </rcc>
  <rcc rId="37992" sId="8">
    <oc r="A16" t="inlineStr">
      <is>
        <t>Office of the Secretary (BA)</t>
      </is>
    </oc>
    <nc r="A16"/>
  </rcc>
  <rcc rId="37993" sId="8">
    <oc r="B16">
      <f>'Sheet 6'!#REF!*(Inflator!$B$6)</f>
    </oc>
    <nc r="B16"/>
  </rcc>
  <rcc rId="37994" sId="8">
    <oc r="C16">
      <f>'Sheet 6'!#REF!*Inflator!$B$7</f>
    </oc>
    <nc r="C16"/>
  </rcc>
  <rcc rId="37995" sId="8">
    <oc r="D16">
      <f>C16-B16</f>
    </oc>
    <nc r="D16"/>
  </rcc>
  <rcc rId="37996" sId="8">
    <oc r="E16">
      <f>D16/B16</f>
    </oc>
    <nc r="E16"/>
  </rcc>
  <rcc rId="37997" sId="8" numFmtId="11">
    <oc r="F16">
      <v>3843</v>
    </oc>
    <nc r="F16"/>
  </rcc>
  <rcc rId="37998" sId="8">
    <oc r="G16">
      <f>F16-C16</f>
    </oc>
    <nc r="G16"/>
  </rcc>
  <rcc rId="37999" sId="8">
    <oc r="H16">
      <f>G16/C16</f>
    </oc>
    <nc r="H16"/>
  </rcc>
  <rcc rId="38000" sId="8">
    <oc r="A17" t="inlineStr">
      <is>
        <t>Office of the City Administrator (AE)</t>
      </is>
    </oc>
    <nc r="A17"/>
  </rcc>
  <rcc rId="38001" sId="8">
    <oc r="B17">
      <f>'Sheet 6'!#REF!*(Inflator!$B$6)</f>
    </oc>
    <nc r="B17"/>
  </rcc>
  <rcc rId="38002" sId="8">
    <oc r="C17">
      <f>'Sheet 6'!#REF!*Inflator!$B$7</f>
    </oc>
    <nc r="C17"/>
  </rcc>
  <rcc rId="38003" sId="8">
    <oc r="D17">
      <f>C17-B17</f>
    </oc>
    <nc r="D17"/>
  </rcc>
  <rcc rId="38004" sId="8">
    <oc r="E17">
      <f>D17/B17</f>
    </oc>
    <nc r="E17"/>
  </rcc>
  <rcc rId="38005" sId="8" numFmtId="11">
    <oc r="F17">
      <v>5547</v>
    </oc>
    <nc r="F17"/>
  </rcc>
  <rcc rId="38006" sId="8">
    <oc r="G17">
      <f>F17-C17</f>
    </oc>
    <nc r="G17"/>
  </rcc>
  <rcc rId="38007" sId="8">
    <oc r="H17">
      <f>G17/C17</f>
    </oc>
    <nc r="H17"/>
  </rcc>
  <rcc rId="38008" sId="8">
    <oc r="A18" t="inlineStr">
      <is>
        <t>D.C. Office of Risk Management (RK)</t>
      </is>
    </oc>
    <nc r="A18"/>
  </rcc>
  <rcc rId="38009" sId="8">
    <oc r="B18">
      <f>'Sheet 6'!#REF!*(Inflator!$B$6)</f>
    </oc>
    <nc r="B18"/>
  </rcc>
  <rcc rId="38010" sId="8">
    <oc r="C18">
      <f>'Sheet 6'!#REF!*Inflator!$B$7</f>
    </oc>
    <nc r="C18"/>
  </rcc>
  <rcc rId="38011" sId="8">
    <oc r="D18">
      <f>C18-B18</f>
    </oc>
    <nc r="D18"/>
  </rcc>
  <rcc rId="38012" sId="8">
    <oc r="E18">
      <f>D18/B18</f>
    </oc>
    <nc r="E18"/>
  </rcc>
  <rcc rId="38013" sId="8" numFmtId="11">
    <oc r="F18">
      <v>1212</v>
    </oc>
    <nc r="F18"/>
  </rcc>
  <rcc rId="38014" sId="8">
    <oc r="G18">
      <f>F18-C18</f>
    </oc>
    <nc r="G18"/>
  </rcc>
  <rcc rId="38015" sId="8">
    <oc r="H18">
      <f>G18/C18</f>
    </oc>
    <nc r="H18"/>
  </rcc>
  <rcc rId="38016" sId="8">
    <oc r="A19" t="inlineStr">
      <is>
        <t>D.C. Human Resources (BE)</t>
      </is>
    </oc>
    <nc r="A19"/>
  </rcc>
  <rcc rId="38017" sId="8">
    <oc r="B19">
      <f>'Sheet 6'!#REF!*(Inflator!$B$6)</f>
    </oc>
    <nc r="B19"/>
  </rcc>
  <rcc rId="38018" sId="8">
    <oc r="C19">
      <f>'Sheet 6'!#REF!*Inflator!$B$7</f>
    </oc>
    <nc r="C19"/>
  </rcc>
  <rcc rId="38019" sId="8">
    <oc r="D19">
      <f>C19-B19</f>
    </oc>
    <nc r="D19"/>
  </rcc>
  <rcc rId="38020" sId="8">
    <oc r="E19">
      <f>D19/B19</f>
    </oc>
    <nc r="E19"/>
  </rcc>
  <rcc rId="38021" sId="8" numFmtId="11">
    <oc r="F19">
      <v>8156</v>
    </oc>
    <nc r="F19"/>
  </rcc>
  <rcc rId="38022" sId="8">
    <oc r="G19">
      <f>F19-C19</f>
    </oc>
    <nc r="G19"/>
  </rcc>
  <rcc rId="38023" sId="8">
    <oc r="H19">
      <f>G19/C19</f>
    </oc>
    <nc r="H19"/>
  </rcc>
  <rcc rId="38024" sId="8">
    <oc r="A20" t="inlineStr">
      <is>
        <t>Office of Disability Rights (JR)*</t>
      </is>
    </oc>
    <nc r="A20"/>
  </rcc>
  <rcc rId="38025" sId="8">
    <oc r="B20">
      <f>'Sheet 6'!#REF!*(Inflator!$B$6)</f>
    </oc>
    <nc r="B20"/>
  </rcc>
  <rcc rId="38026" sId="8">
    <oc r="C20">
      <f>'Sheet 6'!#REF!*Inflator!$B$7</f>
    </oc>
    <nc r="C20"/>
  </rcc>
  <rcc rId="38027" sId="8">
    <oc r="D20">
      <f>C20-B20</f>
    </oc>
    <nc r="D20"/>
  </rcc>
  <rcc rId="38028" sId="8">
    <oc r="E20">
      <f>D20/B20</f>
    </oc>
    <nc r="E20"/>
  </rcc>
  <rcc rId="38029" sId="8" numFmtId="11">
    <oc r="F20">
      <v>1289</v>
    </oc>
    <nc r="F20"/>
  </rcc>
  <rcc rId="38030" sId="8">
    <oc r="G20">
      <f>F20-C20</f>
    </oc>
    <nc r="G20"/>
  </rcc>
  <rcc rId="38031" sId="8">
    <oc r="H20">
      <f>G20/C20</f>
    </oc>
    <nc r="H20"/>
  </rcc>
  <rcc rId="38032" sId="8">
    <oc r="A21" t="inlineStr">
      <is>
        <t>Office of Finance and Resource Management (AS)</t>
      </is>
    </oc>
    <nc r="A21"/>
  </rcc>
  <rcc rId="38033" sId="8">
    <oc r="B21">
      <f>'Sheet 6'!#REF!*(Inflator!$B$6)</f>
    </oc>
    <nc r="B21"/>
  </rcc>
  <rcc rId="38034" sId="8">
    <oc r="C21">
      <f>'Sheet 6'!#REF!*Inflator!$B$7</f>
    </oc>
    <nc r="C21"/>
  </rcc>
  <rcc rId="38035" sId="8">
    <oc r="D21">
      <f>C21-B21</f>
    </oc>
    <nc r="D21"/>
  </rcc>
  <rcc rId="38036" sId="8">
    <oc r="E21">
      <f>D21/B21</f>
    </oc>
    <nc r="E21"/>
  </rcc>
  <rcc rId="38037" sId="8" numFmtId="11">
    <oc r="F21">
      <v>4423</v>
    </oc>
    <nc r="F21"/>
  </rcc>
  <rcc rId="38038" sId="8">
    <oc r="G21">
      <f>F21-C21</f>
    </oc>
    <nc r="G21"/>
  </rcc>
  <rcc rId="38039" sId="8">
    <oc r="H21">
      <f>G21/C21</f>
    </oc>
    <nc r="H21"/>
  </rcc>
  <rcc rId="38040" sId="8">
    <oc r="A22" t="inlineStr">
      <is>
        <t>Office of Partnerships and Grants and Services (BU)</t>
      </is>
    </oc>
    <nc r="A22"/>
  </rcc>
  <rcc rId="38041" sId="8">
    <oc r="B22">
      <f>'Sheet 6'!#REF!*(Inflator!$B$6)</f>
    </oc>
    <nc r="B22"/>
  </rcc>
  <rcc rId="38042" sId="8">
    <oc r="C22">
      <f>'Sheet 6'!#REF!*Inflator!$B$7</f>
    </oc>
    <nc r="C22"/>
  </rcc>
  <rcc rId="38043" sId="8">
    <oc r="D22">
      <f>C22-B22</f>
    </oc>
    <nc r="D22"/>
  </rcc>
  <rcc rId="38044" sId="8">
    <oc r="E22" t="inlineStr">
      <is>
        <t>—</t>
      </is>
    </oc>
    <nc r="E22"/>
  </rcc>
  <rcc rId="38045" sId="8" numFmtId="11">
    <oc r="F22">
      <v>553</v>
    </oc>
    <nc r="F22"/>
  </rcc>
  <rcc rId="38046" sId="8">
    <oc r="G22">
      <f>F22-C22</f>
    </oc>
    <nc r="G22"/>
  </rcc>
  <rcc rId="38047" sId="8">
    <oc r="H22">
      <f>G22/C22</f>
    </oc>
    <nc r="H22"/>
  </rcc>
  <rcc rId="38048" sId="8">
    <oc r="A23" t="inlineStr">
      <is>
        <t>Office of Contracting and Procurement (PO)</t>
      </is>
    </oc>
    <nc r="A23"/>
  </rcc>
  <rcc rId="38049" sId="8">
    <oc r="B23">
      <f>'Sheet 6'!#REF!*(Inflator!$B$6)</f>
    </oc>
    <nc r="B23"/>
  </rcc>
  <rcc rId="38050" sId="8">
    <oc r="C23">
      <f>'Sheet 6'!#REF!*Inflator!$B$7</f>
    </oc>
    <nc r="C23"/>
  </rcc>
  <rcc rId="38051" sId="8">
    <oc r="D23">
      <f>C23-B23</f>
    </oc>
    <nc r="D23"/>
  </rcc>
  <rcc rId="38052" sId="8">
    <oc r="E23">
      <f>D23/B23</f>
    </oc>
    <nc r="E23"/>
  </rcc>
  <rcc rId="38053" sId="8" numFmtId="11">
    <oc r="F23">
      <v>4167</v>
    </oc>
    <nc r="F23"/>
  </rcc>
  <rcc rId="38054" sId="8">
    <oc r="G23">
      <f>F23-C23</f>
    </oc>
    <nc r="G23"/>
  </rcc>
  <rcc rId="38055" sId="8">
    <oc r="H23">
      <f>G23/C23</f>
    </oc>
    <nc r="H23"/>
  </rcc>
  <rcc rId="38056" sId="8">
    <oc r="A24" t="inlineStr">
      <is>
        <t>Office of the Chief Technology Officer (TO)</t>
      </is>
    </oc>
    <nc r="A24"/>
  </rcc>
  <rcc rId="38057" sId="8">
    <oc r="B24">
      <f>'Sheet 6'!#REF!*(Inflator!$B$6)</f>
    </oc>
    <nc r="B24"/>
  </rcc>
  <rcc rId="38058" sId="8">
    <oc r="C24">
      <f>'Sheet 6'!#REF!*Inflator!$B$7</f>
    </oc>
    <nc r="C24"/>
  </rcc>
  <rcc rId="38059" sId="8">
    <oc r="D24">
      <f>C24-B24</f>
    </oc>
    <nc r="D24"/>
  </rcc>
  <rcc rId="38060" sId="8">
    <oc r="E24">
      <f>D24/B24</f>
    </oc>
    <nc r="E24"/>
  </rcc>
  <rcc rId="38061" sId="8" numFmtId="11">
    <oc r="F24">
      <v>56639</v>
    </oc>
    <nc r="F24"/>
  </rcc>
  <rcc rId="38062" sId="8">
    <oc r="G24">
      <f>F24-C24</f>
    </oc>
    <nc r="G24"/>
  </rcc>
  <rcc rId="38063" sId="8">
    <oc r="H24">
      <f>G24/C24</f>
    </oc>
    <nc r="H24"/>
  </rcc>
  <rcc rId="38064" sId="8">
    <oc r="A25" t="inlineStr">
      <is>
        <t>Office of Property Management (AM)</t>
      </is>
    </oc>
    <nc r="A25"/>
  </rcc>
  <rcc rId="38065" sId="8">
    <oc r="B25">
      <f>'Sheet 6'!#REF!*(Inflator!$B$6)</f>
    </oc>
    <nc r="B25"/>
  </rcc>
  <rcc rId="38066" sId="8">
    <oc r="C25">
      <f>'Sheet 6'!#REF!*Inflator!$B$7</f>
    </oc>
    <nc r="C25"/>
  </rcc>
  <rcc rId="38067" sId="8">
    <oc r="D25">
      <f>C25-B25</f>
    </oc>
    <nc r="D25"/>
  </rcc>
  <rcc rId="38068" sId="8">
    <oc r="E25">
      <f>D25/B25</f>
    </oc>
    <nc r="E25"/>
  </rcc>
  <rcc rId="38069" sId="8" numFmtId="11">
    <oc r="F25">
      <v>34664</v>
    </oc>
    <nc r="F25"/>
  </rcc>
  <rcc rId="38070" sId="8">
    <oc r="G25">
      <f>F25-C25</f>
    </oc>
    <nc r="G25"/>
  </rcc>
  <rcc rId="38071" sId="8">
    <oc r="H25">
      <f>G25/C25</f>
    </oc>
    <nc r="H25"/>
  </rcc>
  <rcc rId="38072" sId="8">
    <oc r="A26" t="inlineStr">
      <is>
        <t>Contract Appeals Board (AF)</t>
      </is>
    </oc>
    <nc r="A26"/>
  </rcc>
  <rcc rId="38073" sId="8">
    <oc r="B26">
      <f>'Sheet 6'!#REF!*(Inflator!$B$6)</f>
    </oc>
    <nc r="B26"/>
  </rcc>
  <rcc rId="38074" sId="8">
    <oc r="C26">
      <f>'Sheet 6'!#REF!*Inflator!$B$7</f>
    </oc>
    <nc r="C26"/>
  </rcc>
  <rcc rId="38075" sId="8">
    <oc r="D26">
      <f>C26-B26</f>
    </oc>
    <nc r="D26"/>
  </rcc>
  <rcc rId="38076" sId="8">
    <oc r="E26">
      <f>D26/B26</f>
    </oc>
    <nc r="E26"/>
  </rcc>
  <rcc rId="38077" sId="8" numFmtId="11">
    <oc r="F26">
      <v>1100</v>
    </oc>
    <nc r="F26"/>
  </rcc>
  <rcc rId="38078" sId="8">
    <oc r="G26">
      <f>F26-C26</f>
    </oc>
    <nc r="G26"/>
  </rcc>
  <rcc rId="38079" sId="8">
    <oc r="H26">
      <f>G26/C26</f>
    </oc>
    <nc r="H26"/>
  </rcc>
  <rcc rId="38080" sId="8">
    <oc r="A27" t="inlineStr">
      <is>
        <t>Board of Elections and Ethics (DL)</t>
      </is>
    </oc>
    <nc r="A27"/>
  </rcc>
  <rcc rId="38081" sId="8">
    <oc r="B27">
      <f>'Sheet 6'!#REF!*(Inflator!$B$6)</f>
    </oc>
    <nc r="B27"/>
  </rcc>
  <rcc rId="38082" sId="8">
    <oc r="C27">
      <f>'Sheet 6'!#REF!*Inflator!$B$7</f>
    </oc>
    <nc r="C27"/>
  </rcc>
  <rcc rId="38083" sId="8">
    <oc r="D27">
      <f>C27-B27</f>
    </oc>
    <nc r="D27"/>
  </rcc>
  <rcc rId="38084" sId="8">
    <oc r="E27">
      <f>D27/B27</f>
    </oc>
    <nc r="E27"/>
  </rcc>
  <rcc rId="38085" sId="8" numFmtId="11">
    <oc r="F27">
      <v>5495</v>
    </oc>
    <nc r="F27"/>
  </rcc>
  <rcc rId="38086" sId="8">
    <oc r="G27">
      <f>F27-C27</f>
    </oc>
    <nc r="G27"/>
  </rcc>
  <rcc rId="38087" sId="8">
    <oc r="H27">
      <f>G27/C27</f>
    </oc>
    <nc r="H27"/>
  </rcc>
  <rcc rId="38088" sId="8">
    <oc r="A28" t="inlineStr">
      <is>
        <t>Office of Campaign Finance (CJ)</t>
      </is>
    </oc>
    <nc r="A28"/>
  </rcc>
  <rcc rId="38089" sId="8">
    <oc r="B28">
      <f>'Sheet 6'!#REF!*(Inflator!$B$6)</f>
    </oc>
    <nc r="B28"/>
  </rcc>
  <rcc rId="38090" sId="8">
    <oc r="C28">
      <f>'Sheet 6'!#REF!*Inflator!$B$7</f>
    </oc>
    <nc r="C28"/>
  </rcc>
  <rcc rId="38091" sId="8">
    <oc r="D28">
      <f>C28-B28</f>
    </oc>
    <nc r="D28"/>
  </rcc>
  <rcc rId="38092" sId="8">
    <oc r="E28">
      <f>D28/B28</f>
    </oc>
    <nc r="E28"/>
  </rcc>
  <rcc rId="38093" sId="8" numFmtId="11">
    <oc r="F28">
      <v>1707</v>
    </oc>
    <nc r="F28"/>
  </rcc>
  <rcc rId="38094" sId="8">
    <oc r="G28">
      <f>F28-C28</f>
    </oc>
    <nc r="G28"/>
  </rcc>
  <rcc rId="38095" sId="8">
    <oc r="H28">
      <f>G28/C28</f>
    </oc>
    <nc r="H28"/>
  </rcc>
  <rcc rId="38096" sId="8">
    <oc r="A29" t="inlineStr">
      <is>
        <t>Public Employee Relations Board (CG)</t>
      </is>
    </oc>
    <nc r="A29"/>
  </rcc>
  <rcc rId="38097" sId="8">
    <oc r="B29">
      <f>'Sheet 6'!#REF!*(Inflator!$B$6)</f>
    </oc>
    <nc r="B29"/>
  </rcc>
  <rcc rId="38098" sId="8">
    <oc r="C29">
      <f>'Sheet 6'!#REF!*Inflator!$B$7</f>
    </oc>
    <nc r="C29"/>
  </rcc>
  <rcc rId="38099" sId="8">
    <oc r="D29">
      <f>C29-B29</f>
    </oc>
    <nc r="D29"/>
  </rcc>
  <rcc rId="38100" sId="8">
    <oc r="E29">
      <f>D29/B29</f>
    </oc>
    <nc r="E29"/>
  </rcc>
  <rcc rId="38101" sId="8" numFmtId="11">
    <oc r="F29">
      <v>929</v>
    </oc>
    <nc r="F29"/>
  </rcc>
  <rcc rId="38102" sId="8">
    <oc r="G29">
      <f>F29-C29</f>
    </oc>
    <nc r="G29"/>
  </rcc>
  <rcc rId="38103" sId="8">
    <oc r="H29">
      <f>G29/C29</f>
    </oc>
    <nc r="H29"/>
  </rcc>
  <rcc rId="38104" sId="8">
    <oc r="A30" t="inlineStr">
      <is>
        <t>Office of Employee Appeals (CH)</t>
      </is>
    </oc>
    <nc r="A30"/>
  </rcc>
  <rcc rId="38105" sId="8">
    <oc r="B30">
      <f>'Sheet 6'!#REF!*(Inflator!$B$6)</f>
    </oc>
    <nc r="B30"/>
  </rcc>
  <rcc rId="38106" sId="8">
    <oc r="C30">
      <f>'Sheet 6'!#REF!*Inflator!$B$7</f>
    </oc>
    <nc r="C30"/>
  </rcc>
  <rcc rId="38107" sId="8">
    <oc r="D30">
      <f>C30-B30</f>
    </oc>
    <nc r="D30"/>
  </rcc>
  <rcc rId="38108" sId="8">
    <oc r="E30">
      <f>D30/B30</f>
    </oc>
    <nc r="E30"/>
  </rcc>
  <rcc rId="38109" sId="8" numFmtId="11">
    <oc r="F30">
      <v>1848</v>
    </oc>
    <nc r="F30"/>
  </rcc>
  <rcc rId="38110" sId="8">
    <oc r="G30">
      <f>F30-C30</f>
    </oc>
    <nc r="G30"/>
  </rcc>
  <rcc rId="38111" sId="8">
    <oc r="H30">
      <f>G30/C30</f>
    </oc>
    <nc r="H30"/>
  </rcc>
  <rcc rId="38112" sId="8">
    <oc r="A31" t="inlineStr">
      <is>
        <t>Metropolitan Washington Council of Governments (EA)</t>
      </is>
    </oc>
    <nc r="A31"/>
  </rcc>
  <rcc rId="38113" sId="8">
    <oc r="B31">
      <f>'Sheet 6'!#REF!*(Inflator!$B$6)</f>
    </oc>
    <nc r="B31"/>
  </rcc>
  <rcc rId="38114" sId="8">
    <oc r="C31">
      <f>'Sheet 6'!#REF!*Inflator!$B$7</f>
    </oc>
    <nc r="C31"/>
  </rcc>
  <rcc rId="38115" sId="8">
    <oc r="D31">
      <f>C31-B31</f>
    </oc>
    <nc r="D31"/>
  </rcc>
  <rcc rId="38116" sId="8">
    <oc r="E31">
      <f>D31/B31</f>
    </oc>
    <nc r="E31"/>
  </rcc>
  <rcc rId="38117" sId="8" numFmtId="11">
    <oc r="F31">
      <v>396</v>
    </oc>
    <nc r="F31"/>
  </rcc>
  <rcc rId="38118" sId="8">
    <oc r="G31">
      <f>F31-C31</f>
    </oc>
    <nc r="G31"/>
  </rcc>
  <rcc rId="38119" sId="8">
    <oc r="H31">
      <f>G31/C31</f>
    </oc>
    <nc r="H31"/>
  </rcc>
  <rcc rId="38120" sId="8">
    <oc r="A32" t="inlineStr">
      <is>
        <t>Office of the Attorney General of the District of Columbia (CB)</t>
      </is>
    </oc>
    <nc r="A32"/>
  </rcc>
  <rcc rId="38121" sId="8">
    <oc r="B32">
      <f>'Sheet 6'!#REF!*(Inflator!$B$6)</f>
    </oc>
    <nc r="B32"/>
  </rcc>
  <rcc rId="38122" sId="8">
    <oc r="C32">
      <f>'Sheet 6'!#REF!*Inflator!$B$7</f>
    </oc>
    <nc r="C32"/>
  </rcc>
  <rcc rId="38123" sId="8">
    <oc r="D32">
      <f>C32-B32</f>
    </oc>
    <nc r="D32"/>
  </rcc>
  <rcc rId="38124" sId="8">
    <oc r="E32">
      <f>D32/B32</f>
    </oc>
    <nc r="E32"/>
  </rcc>
  <rcc rId="38125" sId="8" numFmtId="11">
    <oc r="F32">
      <v>87906</v>
    </oc>
    <nc r="F32"/>
  </rcc>
  <rcc rId="38126" sId="8">
    <oc r="G32">
      <f>F32-C32</f>
    </oc>
    <nc r="G32"/>
  </rcc>
  <rcc rId="38127" sId="8">
    <oc r="H32">
      <f>G32/C32</f>
    </oc>
    <nc r="H32"/>
  </rcc>
  <rcc rId="38128" sId="8">
    <oc r="A33" t="inlineStr">
      <is>
        <t>Office of the Inspector General (AD)</t>
      </is>
    </oc>
    <nc r="A33"/>
  </rcc>
  <rcc rId="38129" sId="8">
    <oc r="B33">
      <f>'Sheet 6'!#REF!*(Inflator!$B$6)</f>
    </oc>
    <nc r="B33"/>
  </rcc>
  <rcc rId="38130" sId="8">
    <oc r="C33">
      <f>'Sheet 6'!#REF!*Inflator!$B$7</f>
    </oc>
    <nc r="C33"/>
  </rcc>
  <rcc rId="38131" sId="8">
    <oc r="D33">
      <f>C33-B33</f>
    </oc>
    <nc r="D33"/>
  </rcc>
  <rcc rId="38132" sId="8">
    <oc r="E33">
      <f>D33/B33</f>
    </oc>
    <nc r="E33"/>
  </rcc>
  <rcc rId="38133" sId="8" numFmtId="11">
    <oc r="F33">
      <v>16941</v>
    </oc>
    <nc r="F33"/>
  </rcc>
  <rcc rId="38134" sId="8">
    <oc r="G33">
      <f>F33-C33</f>
    </oc>
    <nc r="G33"/>
  </rcc>
  <rcc rId="38135" sId="8">
    <oc r="H33">
      <f>G33/C33</f>
    </oc>
    <nc r="H33"/>
  </rcc>
  <rcc rId="38136" sId="8">
    <oc r="A34" t="inlineStr">
      <is>
        <t>Office of the Chief Financial Officer (AT)</t>
      </is>
    </oc>
    <nc r="A34"/>
  </rcc>
  <rcc rId="38137" sId="8">
    <oc r="B34">
      <f>'Sheet 6'!#REF!*(Inflator!$B$6)</f>
    </oc>
    <nc r="B34"/>
  </rcc>
  <rcc rId="38138" sId="8">
    <oc r="C34">
      <f>'Sheet 6'!#REF!*Inflator!$B$7</f>
    </oc>
    <nc r="C34"/>
  </rcc>
  <rcc rId="38139" sId="8">
    <oc r="D34">
      <f>C34-B34</f>
    </oc>
    <nc r="D34"/>
  </rcc>
  <rcc rId="38140" sId="8">
    <oc r="E34">
      <f>D34/B34</f>
    </oc>
    <nc r="E34"/>
  </rcc>
  <rcc rId="38141" sId="8" numFmtId="11">
    <oc r="F34">
      <v>151156</v>
    </oc>
    <nc r="F34"/>
  </rcc>
  <rcc rId="38142" sId="8">
    <oc r="G34">
      <f>F34-C34</f>
    </oc>
    <nc r="G34"/>
  </rcc>
  <rcc rId="38143" sId="8">
    <oc r="H34">
      <f>G34/C34</f>
    </oc>
    <nc r="H34"/>
  </rcc>
  <rcc rId="38144" sId="8">
    <oc r="A35" t="inlineStr">
      <is>
        <t xml:space="preserve">Subtotal: Governmental Direction &amp; Support </t>
      </is>
    </oc>
    <nc r="A35"/>
  </rcc>
  <rcc rId="38145" sId="8">
    <oc r="B35">
      <f>SUM(B10:B34)</f>
    </oc>
    <nc r="B35"/>
  </rcc>
  <rcc rId="38146" sId="8">
    <oc r="C35">
      <f>SUM(C10:C34)</f>
    </oc>
    <nc r="C35"/>
  </rcc>
  <rcc rId="38147" sId="8">
    <oc r="D35">
      <f>C35-B35</f>
    </oc>
    <nc r="D35"/>
  </rcc>
  <rcc rId="38148" sId="8">
    <oc r="E35">
      <f>D35/B35</f>
    </oc>
    <nc r="E35"/>
  </rcc>
  <rcc rId="38149" sId="8">
    <oc r="F35">
      <f>SUM(F10:F34)</f>
    </oc>
    <nc r="F35"/>
  </rcc>
  <rcc rId="38150" sId="8">
    <oc r="G35">
      <f>F35-C35</f>
    </oc>
    <nc r="G35"/>
  </rcc>
  <rcc rId="38151" sId="8">
    <oc r="H35">
      <f>G35/C35</f>
    </oc>
    <nc r="H35"/>
  </rcc>
  <rcc rId="38152" sId="8">
    <oc r="A37" t="inlineStr">
      <is>
        <t>Notes for Government Direction &amp; Support</t>
      </is>
    </oc>
    <nc r="A37"/>
  </rcc>
  <rcc rId="38153" sId="8">
    <oc r="A38" t="inlineStr">
      <is>
        <t>*This agency does not exist after 2007</t>
      </is>
    </oc>
    <nc r="A38"/>
  </rcc>
  <rcc rId="38154" sId="8">
    <oc r="A39" t="inlineStr">
      <is>
        <t>**This agency was first proposed n 2010</t>
      </is>
    </oc>
    <nc r="A39"/>
  </rcc>
  <rcc rId="38155" sId="8">
    <oc r="A40" t="inlineStr">
      <is>
        <t>***This line item first appears in 2008</t>
      </is>
    </oc>
    <nc r="A40"/>
  </rcc>
  <rcc rId="38156" sId="8">
    <oc r="A42" t="inlineStr">
      <is>
        <t xml:space="preserve">Economic Development &amp; Regulation  </t>
      </is>
    </oc>
    <nc r="A42"/>
  </rcc>
  <rcc rId="38157" sId="8">
    <oc r="A43" t="inlineStr">
      <is>
        <t>Deputy Mayor for Planning and Economic Development*</t>
      </is>
    </oc>
    <nc r="A43"/>
  </rcc>
  <rcc rId="38158" sId="8">
    <oc r="B43">
      <f>'Sheet 6'!#REF!*(Inflator!$B$6)</f>
    </oc>
    <nc r="B43"/>
  </rcc>
  <rcc rId="38159" sId="8">
    <oc r="C43">
      <f>'Sheet 6'!#REF!*Inflator!$B$7</f>
    </oc>
    <nc r="C43"/>
  </rcc>
  <rcc rId="38160" sId="8">
    <oc r="D43">
      <f>C43-B43</f>
    </oc>
    <nc r="D43"/>
  </rcc>
  <rcc rId="38161" sId="8">
    <oc r="E43">
      <f>D43/B43</f>
    </oc>
    <nc r="E43"/>
  </rcc>
  <rcc rId="38162" sId="8" numFmtId="11">
    <oc r="F43">
      <v>38669</v>
    </oc>
    <nc r="F43"/>
  </rcc>
  <rcc rId="38163" sId="8">
    <oc r="G43">
      <f>F43-C43</f>
    </oc>
    <nc r="G43"/>
  </rcc>
  <rcc rId="38164" sId="8">
    <oc r="H43">
      <f>G43/C43</f>
    </oc>
    <nc r="H43"/>
  </rcc>
  <rcc rId="38165" sId="8">
    <oc r="A44" t="inlineStr">
      <is>
        <t>Office of Planning</t>
      </is>
    </oc>
    <nc r="A44"/>
  </rcc>
  <rcc rId="38166" sId="8">
    <oc r="B44">
      <f>'Sheet 6'!#REF!*(Inflator!$B$6)</f>
    </oc>
    <nc r="B44"/>
  </rcc>
  <rcc rId="38167" sId="8">
    <oc r="C44">
      <f>'Sheet 6'!#REF!*Inflator!$B$7</f>
    </oc>
    <nc r="C44"/>
  </rcc>
  <rcc rId="38168" sId="8">
    <oc r="D44">
      <f>C44-B44</f>
    </oc>
    <nc r="D44"/>
  </rcc>
  <rcc rId="38169" sId="8">
    <oc r="E44">
      <f>D44/B44</f>
    </oc>
    <nc r="E44"/>
  </rcc>
  <rcc rId="38170" sId="8" numFmtId="11">
    <oc r="F44">
      <v>9166</v>
    </oc>
    <nc r="F44"/>
  </rcc>
  <rcc rId="38171" sId="8">
    <oc r="G44">
      <f>F44-C44</f>
    </oc>
    <nc r="G44"/>
  </rcc>
  <rcc rId="38172" sId="8">
    <oc r="H44">
      <f>G44/C44</f>
    </oc>
    <nc r="H44"/>
  </rcc>
  <rcc rId="38173" sId="8">
    <oc r="A45" t="inlineStr">
      <is>
        <t xml:space="preserve">Office of Small and Local Business Development*   </t>
      </is>
    </oc>
    <nc r="A45"/>
  </rcc>
  <rcc rId="38174" sId="8">
    <oc r="B45">
      <f>'Sheet 6'!#REF!*(Inflator!$B$6)</f>
    </oc>
    <nc r="B45"/>
  </rcc>
  <rcc rId="38175" sId="8">
    <oc r="C45">
      <f>'Sheet 6'!#REF!*Inflator!$B$7</f>
    </oc>
    <nc r="C45"/>
  </rcc>
  <rcc rId="38176" sId="8">
    <oc r="D45">
      <f>C45-B45</f>
    </oc>
    <nc r="D45"/>
  </rcc>
  <rcc rId="38177" sId="8">
    <oc r="E45">
      <f>D45/B45</f>
    </oc>
    <nc r="E45"/>
  </rcc>
  <rcc rId="38178" sId="8" numFmtId="11">
    <oc r="F45">
      <v>2996</v>
    </oc>
    <nc r="F45"/>
  </rcc>
  <rcc rId="38179" sId="8">
    <oc r="G45">
      <f>F45-C45</f>
    </oc>
    <nc r="G45"/>
  </rcc>
  <rcc rId="38180" sId="8">
    <oc r="H45">
      <f>G45/C45</f>
    </oc>
    <nc r="H45"/>
  </rcc>
  <rcc rId="38181" sId="8">
    <oc r="A46" t="inlineStr">
      <is>
        <t>Office of Motion Picture &amp; Television Development*</t>
      </is>
    </oc>
    <nc r="A46"/>
  </rcc>
  <rcc rId="38182" sId="8">
    <oc r="B46">
      <f>'Sheet 6'!#REF!*(Inflator!$B$6)</f>
    </oc>
    <nc r="B46"/>
  </rcc>
  <rcc rId="38183" sId="8">
    <oc r="C46">
      <f>'Sheet 6'!#REF!*Inflator!$B$7</f>
    </oc>
    <nc r="C46"/>
  </rcc>
  <rcc rId="38184" sId="8">
    <oc r="D46">
      <f>C46-B46</f>
    </oc>
    <nc r="D46"/>
  </rcc>
  <rcc rId="38185" sId="8">
    <oc r="E46">
      <f>D46/B46</f>
    </oc>
    <nc r="E46"/>
  </rcc>
  <rcc rId="38186" sId="8" numFmtId="11">
    <oc r="F46">
      <v>636</v>
    </oc>
    <nc r="F46"/>
  </rcc>
  <rcc rId="38187" sId="8">
    <oc r="G46">
      <f>F46-C46</f>
    </oc>
    <nc r="G46"/>
  </rcc>
  <rcc rId="38188" sId="8">
    <oc r="H46">
      <f>G46/C46</f>
    </oc>
    <nc r="H46"/>
  </rcc>
  <rcc rId="38189" sId="8">
    <oc r="A47" t="inlineStr">
      <is>
        <t>Office of Zoning</t>
      </is>
    </oc>
    <nc r="A47"/>
  </rcc>
  <rcc rId="38190" sId="8">
    <oc r="B47">
      <f>'Sheet 6'!#REF!*(Inflator!$B$6)</f>
    </oc>
    <nc r="B47"/>
  </rcc>
  <rcc rId="38191" sId="8">
    <oc r="C47">
      <f>'Sheet 6'!#REF!*Inflator!$B$7</f>
    </oc>
    <nc r="C47"/>
  </rcc>
  <rcc rId="38192" sId="8">
    <oc r="D47">
      <f>C47-B47</f>
    </oc>
    <nc r="D47"/>
  </rcc>
  <rcc rId="38193" sId="8">
    <oc r="E47">
      <f>D47/B47</f>
    </oc>
    <nc r="E47"/>
  </rcc>
  <rcc rId="38194" sId="8" numFmtId="11">
    <oc r="F47">
      <v>3136</v>
    </oc>
    <nc r="F47"/>
  </rcc>
  <rcc rId="38195" sId="8">
    <oc r="G47">
      <f>F47-C47</f>
    </oc>
    <nc r="G47"/>
  </rcc>
  <rcc rId="38196" sId="8">
    <oc r="H47">
      <f>G47/C47</f>
    </oc>
    <nc r="H47"/>
  </rcc>
  <rcc rId="38197" sId="8">
    <oc r="A48" t="inlineStr">
      <is>
        <t xml:space="preserve">Department of Housing and Community Development  </t>
      </is>
    </oc>
    <nc r="A48"/>
  </rcc>
  <rcc rId="38198" sId="8">
    <oc r="B48">
      <f>'Sheet 6'!#REF!*(Inflator!$B$6)</f>
    </oc>
    <nc r="B48"/>
  </rcc>
  <rcc rId="38199" sId="8">
    <oc r="C48">
      <f>'Sheet 6'!#REF!*Inflator!$B$7</f>
    </oc>
    <nc r="C48"/>
  </rcc>
  <rcc rId="38200" sId="8">
    <oc r="D48">
      <f>C48-B48</f>
    </oc>
    <nc r="D48"/>
  </rcc>
  <rcc rId="38201" sId="8">
    <oc r="E48">
      <f>D48/B48</f>
    </oc>
    <nc r="E48"/>
  </rcc>
  <rcc rId="38202" sId="8" numFmtId="11">
    <oc r="F48">
      <v>88345</v>
    </oc>
    <nc r="F48"/>
  </rcc>
  <rcc rId="38203" sId="8">
    <oc r="G48">
      <f>F48-C48</f>
    </oc>
    <nc r="G48"/>
  </rcc>
  <rcc rId="38204" sId="8">
    <oc r="H48">
      <f>G48/C48</f>
    </oc>
    <nc r="H48"/>
  </rcc>
  <rcc rId="38205" sId="8">
    <oc r="A49" t="inlineStr">
      <is>
        <t>DC Housing Authority Subsidy</t>
      </is>
    </oc>
    <nc r="A49"/>
  </rcc>
  <rcc rId="38206" sId="8">
    <oc r="B49">
      <f>'Sheet 6'!#REF!*(Inflator!$B$6)</f>
    </oc>
    <nc r="B49"/>
  </rcc>
  <rcc rId="38207" sId="8">
    <oc r="C49">
      <f>'Sheet 6'!#REF!*Inflator!$B$7</f>
    </oc>
    <nc r="C49"/>
  </rcc>
  <rcc rId="38208" sId="8">
    <oc r="D49">
      <f>C49-B49</f>
    </oc>
    <nc r="D49"/>
  </rcc>
  <rcc rId="38209" sId="8">
    <oc r="E49">
      <f>D49/B49</f>
    </oc>
    <nc r="E49"/>
  </rcc>
  <rcc rId="38210" sId="8" numFmtId="11">
    <oc r="F49">
      <v>25103</v>
    </oc>
    <nc r="F49"/>
  </rcc>
  <rcc rId="38211" sId="8">
    <oc r="G49">
      <f>F49-C49</f>
    </oc>
    <nc r="G49"/>
  </rcc>
  <rcc rId="38212" sId="8">
    <oc r="H49">
      <f>G49/C49</f>
    </oc>
    <nc r="H49"/>
  </rcc>
  <rcc rId="38213" sId="8">
    <oc r="A50" t="inlineStr">
      <is>
        <t>Department of Employment Services</t>
      </is>
    </oc>
    <nc r="A50"/>
  </rcc>
  <rcc rId="38214" sId="8">
    <oc r="B50">
      <f>'Sheet 6'!#REF!*(Inflator!$B$6)</f>
    </oc>
    <nc r="B50"/>
  </rcc>
  <rcc rId="38215" sId="8">
    <oc r="C50">
      <f>'Sheet 6'!#REF!*Inflator!$B$7</f>
    </oc>
    <nc r="C50"/>
  </rcc>
  <rcc rId="38216" sId="8">
    <oc r="D50">
      <f>C50-B50</f>
    </oc>
    <nc r="D50"/>
  </rcc>
  <rcc rId="38217" sId="8">
    <oc r="E50">
      <f>D50/B50</f>
    </oc>
    <nc r="E50"/>
  </rcc>
  <rcc rId="38218" sId="8" numFmtId="11">
    <oc r="F50">
      <v>156325</v>
    </oc>
    <nc r="F50"/>
  </rcc>
  <rcc rId="38219" sId="8">
    <oc r="G50">
      <f>F50-C50</f>
    </oc>
    <nc r="G50"/>
  </rcc>
  <rcc rId="38220" sId="8">
    <oc r="H50">
      <f>G50/C50</f>
    </oc>
    <nc r="H50"/>
  </rcc>
  <rcc rId="38221" sId="8">
    <oc r="A51" t="inlineStr">
      <is>
        <t xml:space="preserve">Board of Real Property Assessments and Appeals </t>
      </is>
    </oc>
    <nc r="A51"/>
  </rcc>
  <rcc rId="38222" sId="8">
    <oc r="B51">
      <f>'Sheet 6'!#REF!*(Inflator!$B$6)</f>
    </oc>
    <nc r="B51"/>
  </rcc>
  <rcc rId="38223" sId="8">
    <oc r="C51">
      <f>'Sheet 6'!#REF!*Inflator!$B$7</f>
    </oc>
    <nc r="C51"/>
  </rcc>
  <rcc rId="38224" sId="8">
    <oc r="D51">
      <f>C51-B51</f>
    </oc>
    <nc r="D51"/>
  </rcc>
  <rcc rId="38225" sId="8">
    <oc r="E51">
      <f>D51/B51</f>
    </oc>
    <nc r="E51"/>
  </rcc>
  <rcc rId="38226" sId="8" numFmtId="11">
    <oc r="F51">
      <v>698</v>
    </oc>
    <nc r="F51"/>
  </rcc>
  <rcc rId="38227" sId="8">
    <oc r="G51">
      <f>F51-C51</f>
    </oc>
    <nc r="G51"/>
  </rcc>
  <rcc rId="38228" sId="8">
    <oc r="H51">
      <f>G51/C51</f>
    </oc>
    <nc r="H51"/>
  </rcc>
  <rcc rId="38229" sId="8">
    <oc r="A52" t="inlineStr">
      <is>
        <t>Department of Consumer and Regulatory Affairs</t>
      </is>
    </oc>
    <nc r="A52"/>
  </rcc>
  <rcc rId="38230" sId="8">
    <oc r="B52">
      <f>'Sheet 6'!#REF!*(Inflator!$B$6)</f>
    </oc>
    <nc r="B52"/>
  </rcc>
  <rcc rId="38231" sId="8">
    <oc r="C52">
      <f>'Sheet 6'!#REF!*Inflator!$B$7</f>
    </oc>
    <nc r="C52"/>
  </rcc>
  <rcc rId="38232" sId="8">
    <oc r="D52">
      <f>C52-B52</f>
    </oc>
    <nc r="D52"/>
  </rcc>
  <rcc rId="38233" sId="8">
    <oc r="E52">
      <f>D52/B52</f>
    </oc>
    <nc r="E52"/>
  </rcc>
  <rcc rId="38234" sId="8" numFmtId="11">
    <oc r="F52">
      <v>9999</v>
    </oc>
    <nc r="F52"/>
  </rcc>
  <rcc rId="38235" sId="8">
    <oc r="G52">
      <f>F52-C52</f>
    </oc>
    <nc r="G52"/>
  </rcc>
  <rcc rId="38236" sId="8">
    <oc r="H52">
      <f>G52/C52</f>
    </oc>
    <nc r="H52"/>
  </rcc>
  <rcc rId="38237" sId="8">
    <oc r="A53" t="inlineStr">
      <is>
        <t>Office of the Tenant Advocate***</t>
      </is>
    </oc>
    <nc r="A53"/>
  </rcc>
  <rcc rId="38238" sId="8">
    <oc r="B53">
      <f>'Sheet 6'!#REF!*(Inflator!$B$6)</f>
    </oc>
    <nc r="B53"/>
  </rcc>
  <rcc rId="38239" sId="8">
    <oc r="C53">
      <f>'Sheet 6'!#REF!*Inflator!$B$7</f>
    </oc>
    <nc r="C53"/>
  </rcc>
  <rcc rId="38240" sId="8">
    <oc r="D53">
      <f>C53-B53</f>
    </oc>
    <nc r="D53"/>
  </rcc>
  <rcc rId="38241" sId="8">
    <oc r="E53">
      <f>D53/B53</f>
    </oc>
    <nc r="E53"/>
  </rcc>
  <rcc rId="38242" sId="8" numFmtId="11">
    <oc r="F53">
      <v>3647</v>
    </oc>
    <nc r="F53"/>
  </rcc>
  <rcc rId="38243" sId="8">
    <oc r="G53">
      <f>F53-C53</f>
    </oc>
    <nc r="G53"/>
  </rcc>
  <rcc rId="38244" sId="8">
    <oc r="H53">
      <f>G53/C53</f>
    </oc>
    <nc r="H53"/>
  </rcc>
  <rcc rId="38245" sId="8">
    <oc r="A54" t="inlineStr">
      <is>
        <t>Commission of the Arts and Humanities</t>
      </is>
    </oc>
    <nc r="A54"/>
  </rcc>
  <rcc rId="38246" sId="8">
    <oc r="B54">
      <f>'Sheet 6'!#REF!*(Inflator!$B$6)</f>
    </oc>
    <nc r="B54"/>
  </rcc>
  <rcc rId="38247" sId="8">
    <oc r="C54">
      <f>'Sheet 6'!#REF!*Inflator!$B$7</f>
    </oc>
    <nc r="C54"/>
  </rcc>
  <rcc rId="38248" sId="8">
    <oc r="D54">
      <f>C54-B54</f>
    </oc>
    <nc r="D54"/>
  </rcc>
  <rcc rId="38249" sId="8">
    <oc r="E54">
      <f>D54/B54</f>
    </oc>
    <nc r="E54"/>
  </rcc>
  <rcc rId="38250" sId="8" numFmtId="11">
    <oc r="F54">
      <v>7353</v>
    </oc>
    <nc r="F54"/>
  </rcc>
  <rcc rId="38251" sId="8">
    <oc r="G54">
      <f>F54-C54</f>
    </oc>
    <nc r="G54"/>
  </rcc>
  <rcc rId="38252" sId="8">
    <oc r="H54">
      <f>G54/C54</f>
    </oc>
    <nc r="H54"/>
  </rcc>
  <rcc rId="38253" sId="8">
    <oc r="A55" t="inlineStr">
      <is>
        <t>Alcoholic Beverage Regulation Administration</t>
      </is>
    </oc>
    <nc r="A55"/>
  </rcc>
  <rcc rId="38254" sId="8">
    <oc r="B55">
      <f>'Sheet 6'!#REF!*(Inflator!$B$6)</f>
    </oc>
    <nc r="B55"/>
  </rcc>
  <rcc rId="38255" sId="8">
    <oc r="C55">
      <f>'Sheet 6'!#REF!*Inflator!$B$7</f>
    </oc>
    <nc r="C55"/>
  </rcc>
  <rcc rId="38256" sId="8">
    <oc r="D55">
      <f>C55-B55</f>
    </oc>
    <nc r="D55"/>
  </rcc>
  <rcc rId="38257" sId="8">
    <oc r="E55">
      <f>D55/B55</f>
    </oc>
    <nc r="E55"/>
  </rcc>
  <rcc rId="38258" sId="8" numFmtId="11">
    <oc r="F55">
      <v>5506</v>
    </oc>
    <nc r="F55"/>
  </rcc>
  <rcc rId="38259" sId="8">
    <oc r="G55">
      <f>F55-C55</f>
    </oc>
    <nc r="G55"/>
  </rcc>
  <rcc rId="38260" sId="8">
    <oc r="H55">
      <f>G55/C55</f>
    </oc>
    <nc r="H55"/>
  </rcc>
  <rcc rId="38261" sId="8">
    <oc r="A56" t="inlineStr">
      <is>
        <t>Public Service Commission</t>
      </is>
    </oc>
    <nc r="A56"/>
  </rcc>
  <rcc rId="38262" sId="8">
    <oc r="B56">
      <f>'Sheet 6'!#REF!*(Inflator!$B$6)</f>
    </oc>
    <nc r="B56"/>
  </rcc>
  <rcc rId="38263" sId="8">
    <oc r="C56">
      <f>'Sheet 6'!#REF!*Inflator!$B$7</f>
    </oc>
    <nc r="C56"/>
  </rcc>
  <rcc rId="38264" sId="8">
    <oc r="D56">
      <f>C56-B56</f>
    </oc>
    <nc r="D56"/>
  </rcc>
  <rcc rId="38265" sId="8">
    <oc r="E56">
      <f>D56/B56</f>
    </oc>
    <nc r="E56"/>
  </rcc>
  <rcc rId="38266" sId="8" numFmtId="11">
    <oc r="F56">
      <v>10111</v>
    </oc>
    <nc r="F56"/>
  </rcc>
  <rcc rId="38267" sId="8">
    <oc r="G56">
      <f>F56-C56</f>
    </oc>
    <nc r="G56"/>
  </rcc>
  <rcc rId="38268" sId="8">
    <oc r="H56">
      <f>G56/C56</f>
    </oc>
    <nc r="H56"/>
  </rcc>
  <rcc rId="38269" sId="8">
    <oc r="A57" t="inlineStr">
      <is>
        <t>Office of the People's Counsel</t>
      </is>
    </oc>
    <nc r="A57"/>
  </rcc>
  <rcc rId="38270" sId="8">
    <oc r="B57">
      <f>'Sheet 6'!#REF!*(Inflator!$B$6)</f>
    </oc>
    <nc r="B57"/>
  </rcc>
  <rcc rId="38271" sId="8">
    <oc r="C57">
      <f>'Sheet 6'!#REF!*Inflator!$B$7</f>
    </oc>
    <nc r="C57"/>
  </rcc>
  <rcc rId="38272" sId="8">
    <oc r="D57">
      <f>C57-B57</f>
    </oc>
    <nc r="D57"/>
  </rcc>
  <rcc rId="38273" sId="8">
    <oc r="E57">
      <f>D57/B57</f>
    </oc>
    <nc r="E57"/>
  </rcc>
  <rcc rId="38274" sId="8" numFmtId="11">
    <oc r="F57">
      <v>5136</v>
    </oc>
    <nc r="F57"/>
  </rcc>
  <rcc rId="38275" sId="8">
    <oc r="G57">
      <f>F57-C57</f>
    </oc>
    <nc r="G57"/>
  </rcc>
  <rcc rId="38276" sId="8">
    <oc r="H57">
      <f>G57/C57</f>
    </oc>
    <nc r="H57"/>
  </rcc>
  <rcc rId="38277" sId="8">
    <oc r="A58" t="inlineStr">
      <is>
        <t>Department of Insurance, Securities and Banking</t>
      </is>
    </oc>
    <nc r="A58"/>
  </rcc>
  <rcc rId="38278" sId="8">
    <oc r="B58">
      <f>'Sheet 6'!#REF!*(Inflator!$B$6)</f>
    </oc>
    <nc r="B58"/>
  </rcc>
  <rcc rId="38279" sId="8">
    <oc r="C58">
      <f>'Sheet 6'!#REF!*Inflator!$B$7</f>
    </oc>
    <nc r="C58"/>
  </rcc>
  <rcc rId="38280" sId="8">
    <oc r="D58">
      <f>C58-B58</f>
    </oc>
    <nc r="D58"/>
  </rcc>
  <rcc rId="38281" sId="8">
    <oc r="E58">
      <f>D58/B58</f>
    </oc>
    <nc r="E58"/>
  </rcc>
  <rcc rId="38282" sId="8" numFmtId="11">
    <oc r="F58">
      <v>16327</v>
    </oc>
    <nc r="F58"/>
  </rcc>
  <rcc rId="38283" sId="8">
    <oc r="G58">
      <f>F58-C58</f>
    </oc>
    <nc r="G58"/>
  </rcc>
  <rcc rId="38284" sId="8">
    <oc r="H58">
      <f>G58/C58</f>
    </oc>
    <nc r="H58"/>
  </rcc>
  <rcc rId="38285" sId="8">
    <oc r="A59" t="inlineStr">
      <is>
        <t>Office of Cable Television and Telecommunications</t>
      </is>
    </oc>
    <nc r="A59"/>
  </rcc>
  <rcc rId="38286" sId="8">
    <oc r="B59">
      <f>'Sheet 6'!#REF!*(Inflator!$B$6)</f>
    </oc>
    <nc r="B59"/>
  </rcc>
  <rcc rId="38287" sId="8">
    <oc r="C59">
      <f>'Sheet 6'!#REF!*Inflator!$B$7</f>
    </oc>
    <nc r="C59"/>
  </rcc>
  <rcc rId="38288" sId="8">
    <oc r="D59">
      <f>C59-B59</f>
    </oc>
    <nc r="D59"/>
  </rcc>
  <rcc rId="38289" sId="8">
    <oc r="E59">
      <f>D59/B59</f>
    </oc>
    <nc r="E59"/>
  </rcc>
  <rcc rId="38290" sId="8" numFmtId="11">
    <oc r="F59">
      <v>9419</v>
    </oc>
    <nc r="F59"/>
  </rcc>
  <rcc rId="38291" sId="8">
    <oc r="G59">
      <f>F59-C59</f>
    </oc>
    <nc r="G59"/>
  </rcc>
  <rcc rId="38292" sId="8">
    <oc r="H59">
      <f>G59/C59</f>
    </oc>
    <nc r="H59"/>
  </rcc>
  <rcc rId="38293" sId="8">
    <oc r="A60" t="inlineStr">
      <is>
        <t>Housing Production Trust Fund****</t>
      </is>
    </oc>
    <nc r="A60"/>
  </rcc>
  <rcc rId="38294" sId="8">
    <oc r="B60">
      <f>'Sheet 6'!#REF!*(Inflator!$B$6)</f>
    </oc>
    <nc r="B60"/>
  </rcc>
  <rcc rId="38295" sId="8">
    <oc r="C60">
      <f>'Sheet 6'!#REF!*Inflator!$B$7</f>
    </oc>
    <nc r="C60"/>
  </rcc>
  <rcc rId="38296" sId="8">
    <oc r="D60">
      <f>C60-B60</f>
    </oc>
    <nc r="D60"/>
  </rcc>
  <rcc rId="38297" sId="8">
    <oc r="E60">
      <f>D60/B60</f>
    </oc>
    <nc r="E60"/>
  </rcc>
  <rcc rId="38298" sId="8" numFmtId="11">
    <oc r="F60">
      <v>11900</v>
    </oc>
    <nc r="F60"/>
  </rcc>
  <rcc rId="38299" sId="8">
    <oc r="G60">
      <f>F60-C60</f>
    </oc>
    <nc r="G60"/>
  </rcc>
  <rcc rId="38300" sId="8">
    <oc r="H60">
      <f>G60/C60</f>
    </oc>
    <nc r="H60"/>
  </rcc>
  <rcc rId="38301" sId="8">
    <oc r="A61" t="inlineStr">
      <is>
        <t>DC Sports Commission Subsidy</t>
      </is>
    </oc>
    <nc r="A61"/>
  </rcc>
  <rcc rId="38302" sId="8">
    <oc r="B61">
      <f>'Sheet 6'!#REF!*(Inflator!$B$6)</f>
    </oc>
    <nc r="B61"/>
  </rcc>
  <rcc rId="38303" sId="8">
    <oc r="C61">
      <f>'Sheet 6'!#REF!*Inflator!$B$7</f>
    </oc>
    <nc r="C61"/>
  </rcc>
  <rcc rId="38304" sId="8">
    <oc r="D61">
      <f>C61-B61</f>
    </oc>
    <nc r="D61"/>
  </rcc>
  <rcc rId="38305" sId="8">
    <oc r="E61" t="inlineStr">
      <is>
        <t>—</t>
      </is>
    </oc>
    <nc r="E61"/>
  </rcc>
  <rcc rId="38306" sId="8" numFmtId="11">
    <oc r="F61">
      <v>0</v>
    </oc>
    <nc r="F61"/>
  </rcc>
  <rcc rId="38307" sId="8">
    <oc r="G61">
      <f>F61-C61</f>
    </oc>
    <nc r="G61"/>
  </rcc>
  <rcc rId="38308" sId="8">
    <oc r="H61">
      <f>G61/C61</f>
    </oc>
    <nc r="H61"/>
  </rcc>
  <rcc rId="38309" sId="8">
    <oc r="A62" t="inlineStr">
      <is>
        <t>Subtotal: Economic Development &amp; Regulation</t>
      </is>
    </oc>
    <nc r="A62"/>
  </rcc>
  <rcc rId="38310" sId="8">
    <oc r="B62">
      <f>SUM(B43:B61)</f>
    </oc>
    <nc r="B62"/>
  </rcc>
  <rcc rId="38311" sId="8">
    <oc r="C62">
      <f>SUM(C43:C61)</f>
    </oc>
    <nc r="C62"/>
  </rcc>
  <rcc rId="38312" sId="8">
    <oc r="D62">
      <f>C62-B62</f>
    </oc>
    <nc r="D62"/>
  </rcc>
  <rcc rId="38313" sId="8">
    <oc r="E62">
      <f>D62/B62</f>
    </oc>
    <nc r="E62"/>
  </rcc>
  <rcc rId="38314" sId="8">
    <oc r="F62">
      <f>SUM(F43:F61)</f>
    </oc>
    <nc r="F62"/>
  </rcc>
  <rcc rId="38315" sId="8">
    <oc r="G62">
      <f>F62-C62</f>
    </oc>
    <nc r="G62"/>
  </rcc>
  <rcc rId="38316" sId="8">
    <oc r="H62">
      <f>G62/C62</f>
    </oc>
    <nc r="H62"/>
  </rcc>
  <rcc rId="38317" sId="8">
    <oc r="A64" t="inlineStr">
      <is>
        <t>Notes for Economic Development &amp; Regulation:</t>
      </is>
    </oc>
    <nc r="A64"/>
  </rcc>
  <rcc rId="38318" sId="8">
    <oc r="A65" t="inlineStr">
      <is>
        <t>* Prior to FY 2003, these three agencies were budgeted together under the Deputy Mayor for Planning and Economic Development.</t>
      </is>
    </oc>
    <nc r="A65"/>
  </rcc>
  <rcc rId="38319" sId="8">
    <oc r="A66" t="inlineStr">
      <is>
        <t>** This agency was removed in 2005.</t>
      </is>
    </oc>
    <nc r="A66"/>
  </rcc>
  <rcc rId="38320" sId="8">
    <oc r="A67" t="inlineStr">
      <is>
        <t>*** This agency was established in the FY 2008 budget.</t>
      </is>
    </oc>
    <nc r="A67"/>
  </rcc>
  <rcc rId="38321" sId="8">
    <oc r="A68" t="inlineStr">
      <is>
        <t>**** Prior to FY 2007, HPTF was part of the budget of the Deputy Mayor for Planning and Economic Development.</t>
      </is>
    </oc>
    <nc r="A68"/>
  </rcc>
  <rcc rId="38322" sId="8">
    <oc r="A70" t="inlineStr">
      <is>
        <t>Public Safety &amp; Justice</t>
      </is>
    </oc>
    <nc r="A70"/>
  </rcc>
  <rcc rId="38323" sId="8">
    <oc r="A71" t="inlineStr">
      <is>
        <t>Metropolitan Police Department</t>
      </is>
    </oc>
    <nc r="A71"/>
  </rcc>
  <rcc rId="38324" sId="8">
    <oc r="B71">
      <f>'Sheet 6'!#REF!*(Inflator!$B$6)</f>
    </oc>
    <nc r="B71"/>
  </rcc>
  <rcc rId="38325" sId="8">
    <oc r="C71">
      <f>'Sheet 6'!#REF!*Inflator!$B$7</f>
    </oc>
    <nc r="C71"/>
  </rcc>
  <rcc rId="38326" sId="8">
    <oc r="D71">
      <f>C71-B71</f>
    </oc>
    <nc r="D71"/>
  </rcc>
  <rcc rId="38327" sId="8">
    <oc r="E71">
      <f>D71/B71</f>
    </oc>
    <nc r="E71"/>
  </rcc>
  <rcc rId="38328" sId="8" numFmtId="11">
    <oc r="F71">
      <v>503878</v>
    </oc>
    <nc r="F71"/>
  </rcc>
  <rcc rId="38329" sId="8">
    <oc r="G71">
      <f>F71-C71</f>
    </oc>
    <nc r="G71"/>
  </rcc>
  <rcc rId="38330" sId="8">
    <oc r="H71">
      <f>G71/C71</f>
    </oc>
    <nc r="H71"/>
  </rcc>
  <rcc rId="38331" sId="8">
    <oc r="A72" t="inlineStr">
      <is>
        <t>Fire and Emergency Medical Services Department</t>
      </is>
    </oc>
    <nc r="A72"/>
  </rcc>
  <rcc rId="38332" sId="8">
    <oc r="B72">
      <f>'Sheet 6'!#REF!*(Inflator!$B$6)</f>
    </oc>
    <nc r="B72"/>
  </rcc>
  <rcc rId="38333" sId="8">
    <oc r="C72">
      <f>'Sheet 6'!#REF!*Inflator!$B$7</f>
    </oc>
    <nc r="C72"/>
  </rcc>
  <rcc rId="38334" sId="8">
    <oc r="D72">
      <f>C72-B72</f>
    </oc>
    <nc r="D72"/>
  </rcc>
  <rcc rId="38335" sId="8">
    <oc r="E72">
      <f>D72/B72</f>
    </oc>
    <nc r="E72"/>
  </rcc>
  <rcc rId="38336" sId="8" numFmtId="11">
    <oc r="F72">
      <v>193526</v>
    </oc>
    <nc r="F72"/>
  </rcc>
  <rcc rId="38337" sId="8">
    <oc r="G72">
      <f>F72-C72</f>
    </oc>
    <nc r="G72"/>
  </rcc>
  <rcc rId="38338" sId="8">
    <oc r="H72">
      <f>G72/C72</f>
    </oc>
    <nc r="H72"/>
  </rcc>
  <rcc rId="38339" sId="8">
    <oc r="A73" t="inlineStr">
      <is>
        <t>Police Officers' and Fire Fighters' Retirement</t>
      </is>
    </oc>
    <nc r="A73"/>
  </rcc>
  <rcc rId="38340" sId="8">
    <oc r="B73">
      <f>'Sheet 6'!#REF!*(Inflator!$B$6)</f>
    </oc>
    <nc r="B73"/>
  </rcc>
  <rcc rId="38341" sId="8">
    <oc r="C73">
      <f>'Sheet 6'!#REF!*Inflator!$B$7</f>
    </oc>
    <nc r="C73"/>
  </rcc>
  <rcc rId="38342" sId="8">
    <oc r="D73">
      <f>C73-B73</f>
    </oc>
    <nc r="D73"/>
  </rcc>
  <rcc rId="38343" sId="8">
    <oc r="E73">
      <f>D73/B73</f>
    </oc>
    <nc r="E73"/>
  </rcc>
  <rcc rId="38344" sId="8" numFmtId="11">
    <oc r="F73">
      <v>132300</v>
    </oc>
    <nc r="F73"/>
  </rcc>
  <rcc rId="38345" sId="8">
    <oc r="G73">
      <f>F73-C73</f>
    </oc>
    <nc r="G73"/>
  </rcc>
  <rcc rId="38346" sId="8">
    <oc r="H73">
      <f>G73/C73</f>
    </oc>
    <nc r="H73"/>
  </rcc>
  <rcc rId="38347" sId="8">
    <oc r="A74" t="inlineStr">
      <is>
        <t>Department of Corrections</t>
      </is>
    </oc>
    <nc r="A74"/>
  </rcc>
  <rcc rId="38348" sId="8">
    <oc r="B74">
      <f>'Sheet 6'!#REF!*(Inflator!$B$6)</f>
    </oc>
    <nc r="B74"/>
  </rcc>
  <rcc rId="38349" sId="8">
    <oc r="C74">
      <f>'Sheet 6'!#REF!*Inflator!$B$7</f>
    </oc>
    <nc r="C74"/>
  </rcc>
  <rcc rId="38350" sId="8">
    <oc r="D74">
      <f>C74-B74</f>
    </oc>
    <nc r="D74"/>
  </rcc>
  <rcc rId="38351" sId="8">
    <oc r="E74">
      <f>D74/B74</f>
    </oc>
    <nc r="E74"/>
  </rcc>
  <rcc rId="38352" sId="8" numFmtId="11">
    <oc r="F74">
      <v>136848</v>
    </oc>
    <nc r="F74"/>
  </rcc>
  <rcc rId="38353" sId="8">
    <oc r="G74">
      <f>F74-C74</f>
    </oc>
    <nc r="G74"/>
  </rcc>
  <rcc rId="38354" sId="8">
    <oc r="H74">
      <f>G74/C74</f>
    </oc>
    <nc r="H74"/>
  </rcc>
  <rcc rId="38355" sId="8">
    <oc r="A75" t="inlineStr">
      <is>
        <t>National Guard</t>
      </is>
    </oc>
    <nc r="A75"/>
  </rcc>
  <rcc rId="38356" sId="8">
    <oc r="B75">
      <f>'Sheet 6'!#REF!*(Inflator!$B$6)</f>
    </oc>
    <nc r="B75"/>
  </rcc>
  <rcc rId="38357" sId="8">
    <oc r="C75">
      <f>'Sheet 6'!#REF!*Inflator!$B$7</f>
    </oc>
    <nc r="C75"/>
  </rcc>
  <rcc rId="38358" sId="8">
    <oc r="D75">
      <f>C75-B75</f>
    </oc>
    <nc r="D75"/>
  </rcc>
  <rcc rId="38359" sId="8">
    <oc r="E75">
      <f>D75/B75</f>
    </oc>
    <nc r="E75"/>
  </rcc>
  <rcc rId="38360" sId="8" numFmtId="11">
    <oc r="F75">
      <v>5806</v>
    </oc>
    <nc r="F75"/>
  </rcc>
  <rcc rId="38361" sId="8">
    <oc r="G75">
      <f>F75-C75</f>
    </oc>
    <nc r="G75"/>
  </rcc>
  <rcc rId="38362" sId="8">
    <oc r="H75">
      <f>G75/C75</f>
    </oc>
    <nc r="H75"/>
  </rcc>
  <rcc rId="38363" sId="8">
    <oc r="A76" t="inlineStr">
      <is>
        <t>Homeland Security and Emergency Management Agency</t>
      </is>
    </oc>
    <nc r="A76"/>
  </rcc>
  <rcc rId="38364" sId="8">
    <oc r="B76">
      <f>'Sheet 6'!#REF!*(Inflator!$B$6)</f>
    </oc>
    <nc r="B76"/>
  </rcc>
  <rcc rId="38365" sId="8">
    <oc r="C76">
      <f>'Sheet 6'!#REF!*Inflator!$B$7</f>
    </oc>
    <nc r="C76"/>
  </rcc>
  <rcc rId="38366" sId="8">
    <oc r="D76">
      <f>C76-B76</f>
    </oc>
    <nc r="D76"/>
  </rcc>
  <rcc rId="38367" sId="8">
    <oc r="E76">
      <f>D76/B76</f>
    </oc>
    <nc r="E76"/>
  </rcc>
  <rcc rId="38368" sId="8" numFmtId="11">
    <oc r="F76">
      <v>239977</v>
    </oc>
    <nc r="F76"/>
  </rcc>
  <rcc rId="38369" sId="8">
    <oc r="G76">
      <f>F76-C76</f>
    </oc>
    <nc r="G76"/>
  </rcc>
  <rcc rId="38370" sId="8">
    <oc r="H76">
      <f>G76/C76</f>
    </oc>
    <nc r="H76"/>
  </rcc>
  <rcc rId="38371" sId="8">
    <oc r="A77" t="inlineStr">
      <is>
        <t>Commission on Judicial Disabilities and Tenure</t>
      </is>
    </oc>
    <nc r="A77"/>
  </rcc>
  <rcc rId="38372" sId="8">
    <oc r="B77">
      <f>'Sheet 6'!#REF!*(Inflator!$B$6)</f>
    </oc>
    <nc r="B77"/>
  </rcc>
  <rcc rId="38373" sId="8">
    <oc r="C77">
      <f>'Sheet 6'!#REF!*Inflator!$B$7</f>
    </oc>
    <nc r="C77"/>
  </rcc>
  <rcc rId="38374" sId="8">
    <oc r="D77">
      <f>C77-B77</f>
    </oc>
    <nc r="D77"/>
  </rcc>
  <rcc rId="38375" sId="8">
    <oc r="E77">
      <f>D77/B77</f>
    </oc>
    <nc r="E77"/>
  </rcc>
  <rcc rId="38376" sId="8" numFmtId="11">
    <oc r="F77">
      <v>267</v>
    </oc>
    <nc r="F77"/>
  </rcc>
  <rcc rId="38377" sId="8">
    <oc r="G77">
      <f>F77-C77</f>
    </oc>
    <nc r="G77"/>
  </rcc>
  <rcc rId="38378" sId="8">
    <oc r="H77">
      <f>G77/C77</f>
    </oc>
    <nc r="H77"/>
  </rcc>
  <rcc rId="38379" sId="8">
    <oc r="A78" t="inlineStr">
      <is>
        <t>Judicial Nomination Commission</t>
      </is>
    </oc>
    <nc r="A78"/>
  </rcc>
  <rcc rId="38380" sId="8">
    <oc r="B78">
      <f>'Sheet 6'!#REF!*(Inflator!$B$6)</f>
    </oc>
    <nc r="B78"/>
  </rcc>
  <rcc rId="38381" sId="8">
    <oc r="C78">
      <f>'Sheet 6'!#REF!*Inflator!$B$7</f>
    </oc>
    <nc r="C78"/>
  </rcc>
  <rcc rId="38382" sId="8">
    <oc r="D78">
      <f>C78-B78</f>
    </oc>
    <nc r="D78"/>
  </rcc>
  <rcc rId="38383" sId="8">
    <oc r="E78">
      <f>D78/B78</f>
    </oc>
    <nc r="E78"/>
  </rcc>
  <rcc rId="38384" sId="8" numFmtId="11">
    <oc r="F78">
      <v>182</v>
    </oc>
    <nc r="F78"/>
  </rcc>
  <rcc rId="38385" sId="8">
    <oc r="G78">
      <f>F78-C78</f>
    </oc>
    <nc r="G78"/>
  </rcc>
  <rcc rId="38386" sId="8">
    <oc r="H78">
      <f>G78/C78</f>
    </oc>
    <nc r="H78"/>
  </rcc>
  <rcc rId="38387" sId="8">
    <oc r="A79" t="inlineStr">
      <is>
        <t>Office of Police Complaints*</t>
      </is>
    </oc>
    <nc r="A79"/>
  </rcc>
  <rcc rId="38388" sId="8">
    <oc r="B79">
      <f>'Sheet 6'!#REF!*(Inflator!$B$6)</f>
    </oc>
    <nc r="B79"/>
  </rcc>
  <rcc rId="38389" sId="8">
    <oc r="C79">
      <f>'Sheet 6'!#REF!*Inflator!$B$7</f>
    </oc>
    <nc r="C79"/>
  </rcc>
  <rcc rId="38390" sId="8">
    <oc r="D79">
      <f>C79-B79</f>
    </oc>
    <nc r="D79"/>
  </rcc>
  <rcc rId="38391" sId="8">
    <oc r="E79">
      <f>D79/B79</f>
    </oc>
    <nc r="E79"/>
  </rcc>
  <rcc rId="38392" sId="8" numFmtId="11">
    <oc r="F79">
      <v>2539</v>
    </oc>
    <nc r="F79"/>
  </rcc>
  <rcc rId="38393" sId="8">
    <oc r="G79">
      <f>F79-C79</f>
    </oc>
    <nc r="G79"/>
  </rcc>
  <rcc rId="38394" sId="8">
    <oc r="H79">
      <f>G79/C79</f>
    </oc>
    <nc r="H79"/>
  </rcc>
  <rcc rId="38395" sId="8">
    <oc r="A80" t="inlineStr">
      <is>
        <t>Sentencing and Criminal Code Revision Commision</t>
      </is>
    </oc>
    <nc r="A80"/>
  </rcc>
  <rcc rId="38396" sId="8">
    <oc r="B80">
      <f>'Sheet 6'!#REF!*(Inflator!$B$6)</f>
    </oc>
    <nc r="B80"/>
  </rcc>
  <rcc rId="38397" sId="8">
    <oc r="C80">
      <f>'Sheet 6'!#REF!*Inflator!$B$7</f>
    </oc>
    <nc r="C80"/>
  </rcc>
  <rcc rId="38398" sId="8">
    <oc r="D80">
      <f>C80-B80</f>
    </oc>
    <nc r="D80"/>
  </rcc>
  <rcc rId="38399" sId="8">
    <oc r="E80">
      <f>D80/B80</f>
    </oc>
    <nc r="E80"/>
  </rcc>
  <rcc rId="38400" sId="8" numFmtId="11">
    <oc r="F80">
      <v>712</v>
    </oc>
    <nc r="F80"/>
  </rcc>
  <rcc rId="38401" sId="8">
    <oc r="G80">
      <f>F80-C80</f>
    </oc>
    <nc r="G80"/>
  </rcc>
  <rcc rId="38402" sId="8">
    <oc r="H80">
      <f>G80/C80</f>
    </oc>
    <nc r="H80"/>
  </rcc>
  <rcc rId="38403" sId="8">
    <oc r="A81" t="inlineStr">
      <is>
        <t>Office of the Chief Medical Examiner</t>
      </is>
    </oc>
    <nc r="A81"/>
  </rcc>
  <rcc rId="38404" sId="8">
    <oc r="B81">
      <f>'Sheet 6'!#REF!*(Inflator!$B$6)</f>
    </oc>
    <nc r="B81"/>
  </rcc>
  <rcc rId="38405" sId="8">
    <oc r="C81">
      <f>'Sheet 6'!#REF!*Inflator!$B$7</f>
    </oc>
    <nc r="C81"/>
  </rcc>
  <rcc rId="38406" sId="8">
    <oc r="D81">
      <f>C81-B81</f>
    </oc>
    <nc r="D81"/>
  </rcc>
  <rcc rId="38407" sId="8">
    <oc r="E81">
      <f>D81/B81</f>
    </oc>
    <nc r="E81"/>
  </rcc>
  <rcc rId="38408" sId="8" numFmtId="11">
    <oc r="F81">
      <v>9435</v>
    </oc>
    <nc r="F81"/>
  </rcc>
  <rcc rId="38409" sId="8">
    <oc r="G81">
      <f>F81-C81</f>
    </oc>
    <nc r="G81"/>
  </rcc>
  <rcc rId="38410" sId="8">
    <oc r="H81">
      <f>G81/C81</f>
    </oc>
    <nc r="H81"/>
  </rcc>
  <rcc rId="38411" sId="8">
    <oc r="A82" t="inlineStr">
      <is>
        <t>Office of Administrative Hearings</t>
      </is>
    </oc>
    <nc r="A82"/>
  </rcc>
  <rcc rId="38412" sId="8">
    <oc r="B82">
      <f>'Sheet 6'!#REF!*(Inflator!$B$6)</f>
    </oc>
    <nc r="B82"/>
  </rcc>
  <rcc rId="38413" sId="8">
    <oc r="C82">
      <f>'Sheet 6'!#REF!*Inflator!$B$7</f>
    </oc>
    <nc r="C82"/>
  </rcc>
  <rcc rId="38414" sId="8">
    <oc r="D82">
      <f>C82-B82</f>
    </oc>
    <nc r="D82"/>
  </rcc>
  <rcc rId="38415" sId="8">
    <oc r="E82">
      <f>D82/B82</f>
    </oc>
    <nc r="E82"/>
  </rcc>
  <rcc rId="38416" sId="8" numFmtId="11">
    <oc r="F82">
      <v>6938</v>
    </oc>
    <nc r="F82"/>
  </rcc>
  <rcc rId="38417" sId="8">
    <oc r="G82">
      <f>F82-C82</f>
    </oc>
    <nc r="G82"/>
  </rcc>
  <rcc rId="38418" sId="8">
    <oc r="H82">
      <f>G82/C82</f>
    </oc>
    <nc r="H82"/>
  </rcc>
  <rcc rId="38419" sId="8">
    <oc r="A83" t="inlineStr">
      <is>
        <t>Corrections Information Council</t>
      </is>
    </oc>
    <nc r="A83"/>
  </rcc>
  <rcc rId="38420" sId="8">
    <oc r="B83">
      <f>'Sheet 6'!#REF!*(Inflator!$B$6)</f>
    </oc>
    <nc r="B83"/>
  </rcc>
  <rcc rId="38421" sId="8">
    <oc r="C83">
      <f>'Sheet 6'!#REF!*Inflator!$B$7</f>
    </oc>
    <nc r="C83"/>
  </rcc>
  <rcc rId="38422" sId="8">
    <oc r="D83">
      <f>C83-B83</f>
    </oc>
    <nc r="D83"/>
  </rcc>
  <rcc rId="38423" sId="8">
    <oc r="E83" t="inlineStr">
      <is>
        <t>—</t>
      </is>
    </oc>
    <nc r="E83"/>
  </rcc>
  <rcc rId="38424" sId="8" numFmtId="11">
    <oc r="F83">
      <v>0</v>
    </oc>
    <nc r="F83"/>
  </rcc>
  <rcc rId="38425" sId="8">
    <oc r="G83">
      <f>F83-C83</f>
    </oc>
    <nc r="G83"/>
  </rcc>
  <rcc rId="38426" sId="8">
    <oc r="H83">
      <f>G83/C83</f>
    </oc>
    <nc r="H83"/>
  </rcc>
  <rcc rId="38427" sId="8">
    <oc r="A84" t="inlineStr">
      <is>
        <t>Criminal Justice Coordinating Council</t>
      </is>
    </oc>
    <nc r="A84"/>
  </rcc>
  <rcc rId="38428" sId="8">
    <oc r="B84">
      <f>'Sheet 6'!#REF!*(Inflator!$B$6)</f>
    </oc>
    <nc r="B84"/>
  </rcc>
  <rcc rId="38429" sId="8">
    <oc r="C84">
      <f>'Sheet 6'!#REF!*Inflator!$B$7</f>
    </oc>
    <nc r="C84"/>
  </rcc>
  <rcc rId="38430" sId="8">
    <oc r="D84">
      <f>C84-B84</f>
    </oc>
    <nc r="D84"/>
  </rcc>
  <rcc rId="38431" sId="8">
    <oc r="E84">
      <f>D84/B84</f>
    </oc>
    <nc r="E84"/>
  </rcc>
  <rcc rId="38432" sId="8" numFmtId="11">
    <oc r="F84">
      <v>2072</v>
    </oc>
    <nc r="F84"/>
  </rcc>
  <rcc rId="38433" sId="8">
    <oc r="G84">
      <f>F84-C84</f>
    </oc>
    <nc r="G84"/>
  </rcc>
  <rcc rId="38434" sId="8">
    <oc r="H84">
      <f>G84/C84</f>
    </oc>
    <nc r="H84"/>
  </rcc>
  <rcc rId="38435" sId="8">
    <oc r="A85" t="inlineStr">
      <is>
        <t>Forensic Laboratory Technician Training Program**</t>
      </is>
    </oc>
    <nc r="A85"/>
  </rcc>
  <rcc rId="38436" sId="8">
    <oc r="B85">
      <f>'Sheet 6'!#REF!*(Inflator!$B$6)</f>
    </oc>
    <nc r="B85"/>
  </rcc>
  <rcc rId="38437" sId="8">
    <oc r="C85">
      <f>'Sheet 6'!#REF!*Inflator!$B$7</f>
    </oc>
    <nc r="C85"/>
  </rcc>
  <rcc rId="38438" sId="8">
    <oc r="D85">
      <f>C85-B85</f>
    </oc>
    <nc r="D85"/>
  </rcc>
  <rcc rId="38439" sId="8">
    <oc r="E85">
      <f>D85/B85</f>
    </oc>
    <nc r="E85"/>
  </rcc>
  <rcc rId="38440" sId="8">
    <oc r="G85">
      <f>F85-C85</f>
    </oc>
    <nc r="G85"/>
  </rcc>
  <rcc rId="38441" sId="8">
    <oc r="H85">
      <f>G85/C85</f>
    </oc>
    <nc r="H85"/>
  </rcc>
  <rcc rId="38442" sId="8">
    <oc r="A86" t="inlineStr">
      <is>
        <t>Office of Victim Services</t>
      </is>
    </oc>
    <nc r="A86"/>
  </rcc>
  <rcc rId="38443" sId="8">
    <oc r="B86">
      <f>'Sheet 6'!#REF!*(Inflator!$B$6)</f>
    </oc>
    <nc r="B86"/>
  </rcc>
  <rcc rId="38444" sId="8">
    <oc r="C86">
      <f>'Sheet 6'!#REF!*Inflator!$B$7</f>
    </oc>
    <nc r="C86"/>
  </rcc>
  <rcc rId="38445" sId="8">
    <oc r="D86">
      <f>C86-B86</f>
    </oc>
    <nc r="D86"/>
  </rcc>
  <rcc rId="38446" sId="8">
    <oc r="E86">
      <f>D86/B86</f>
    </oc>
    <nc r="E86"/>
  </rcc>
  <rcc rId="38447" sId="8" numFmtId="11">
    <oc r="F86">
      <v>15041</v>
    </oc>
    <nc r="F86"/>
  </rcc>
  <rcc rId="38448" sId="8">
    <oc r="G86">
      <f>F86-C86</f>
    </oc>
    <nc r="G86"/>
  </rcc>
  <rcc rId="38449" sId="8">
    <oc r="H86">
      <f>G86/C86</f>
    </oc>
    <nc r="H86"/>
  </rcc>
  <rcc rId="38450" sId="8">
    <oc r="A87" t="inlineStr">
      <is>
        <t>Justice Grants Administration</t>
      </is>
    </oc>
    <nc r="A87"/>
  </rcc>
  <rcc rId="38451" sId="8">
    <oc r="B87">
      <f>'Sheet 6'!#REF!*(Inflator!$B$6)</f>
    </oc>
    <nc r="B87"/>
  </rcc>
  <rcc rId="38452" sId="8">
    <oc r="C87">
      <f>'Sheet 6'!#REF!*Inflator!$B$7</f>
    </oc>
    <nc r="C87"/>
  </rcc>
  <rcc rId="38453" sId="8">
    <oc r="D87">
      <f>C87-B87</f>
    </oc>
    <nc r="D87"/>
  </rcc>
  <rcc rId="38454" sId="8">
    <oc r="E87">
      <f>D87/B87</f>
    </oc>
    <nc r="E87"/>
  </rcc>
  <rcc rId="38455" sId="8" numFmtId="11">
    <oc r="F87">
      <v>10572</v>
    </oc>
    <nc r="F87"/>
  </rcc>
  <rcc rId="38456" sId="8">
    <oc r="G87">
      <f>F87-C87</f>
    </oc>
    <nc r="G87"/>
  </rcc>
  <rcc rId="38457" sId="8">
    <oc r="H87">
      <f>G87/C87</f>
    </oc>
    <nc r="H87"/>
  </rcc>
  <rcc rId="38458" sId="8">
    <oc r="A88" t="inlineStr">
      <is>
        <t>Office of Unified Communications</t>
      </is>
    </oc>
    <nc r="A88"/>
  </rcc>
  <rcc rId="38459" sId="8">
    <oc r="B88">
      <f>'Sheet 6'!#REF!*(Inflator!$B$6)</f>
    </oc>
    <nc r="B88"/>
  </rcc>
  <rcc rId="38460" sId="8">
    <oc r="C88">
      <f>'Sheet 6'!#REF!*Inflator!$B$7</f>
    </oc>
    <nc r="C88"/>
  </rcc>
  <rcc rId="38461" sId="8">
    <oc r="D88">
      <f>C88-B88</f>
    </oc>
    <nc r="D88"/>
  </rcc>
  <rcc rId="38462" sId="8">
    <oc r="E88">
      <f>D88/B88</f>
    </oc>
    <nc r="E88"/>
  </rcc>
  <rcc rId="38463" sId="8" numFmtId="11">
    <oc r="F88">
      <v>51464</v>
    </oc>
    <nc r="F88"/>
  </rcc>
  <rcc rId="38464" sId="8">
    <oc r="G88">
      <f>F88-C88</f>
    </oc>
    <nc r="G88"/>
  </rcc>
  <rcc rId="38465" sId="8">
    <oc r="H88">
      <f>G88/C88</f>
    </oc>
    <nc r="H88"/>
  </rcc>
  <rcc rId="38466" sId="8">
    <oc r="A89" t="inlineStr">
      <is>
        <t>Motor Vehicle Theft Prevention Commission (FW)</t>
      </is>
    </oc>
    <nc r="A89"/>
  </rcc>
  <rcc rId="38467" sId="8">
    <oc r="B89">
      <f>'Sheet 6'!#REF!*(Inflator!$B$6)</f>
    </oc>
    <nc r="B89"/>
  </rcc>
  <rcc rId="38468" sId="8">
    <oc r="C89">
      <f>'Sheet 6'!#REF!*Inflator!$B$7</f>
    </oc>
    <nc r="C89"/>
  </rcc>
  <rcc rId="38469" sId="8">
    <oc r="D89">
      <f>C89-B89</f>
    </oc>
    <nc r="D89"/>
  </rcc>
  <rcc rId="38470" sId="8">
    <oc r="E89" t="inlineStr">
      <is>
        <t>—</t>
      </is>
    </oc>
    <nc r="E89"/>
  </rcc>
  <rcc rId="38471" sId="8" numFmtId="11">
    <oc r="F89">
      <v>0</v>
    </oc>
    <nc r="F89"/>
  </rcc>
  <rcc rId="38472" sId="8">
    <oc r="G89">
      <f>F89-C89</f>
    </oc>
    <nc r="G89"/>
  </rcc>
  <rcc rId="38473" sId="8">
    <oc r="H89">
      <f>G89/C89</f>
    </oc>
    <nc r="H89"/>
  </rcc>
  <rcc rId="38474" sId="8">
    <oc r="A90" t="inlineStr">
      <is>
        <t>Subtotal: Public Safety &amp; Justice</t>
      </is>
    </oc>
    <nc r="A90"/>
  </rcc>
  <rcc rId="38475" sId="8">
    <oc r="B90">
      <f>SUM(B71:B89)</f>
    </oc>
    <nc r="B90"/>
  </rcc>
  <rcc rId="38476" sId="8">
    <oc r="C90">
      <f>SUM(C71:C89)</f>
    </oc>
    <nc r="C90"/>
  </rcc>
  <rcc rId="38477" sId="8">
    <oc r="D90">
      <f>C90-B90</f>
    </oc>
    <nc r="D90"/>
  </rcc>
  <rcc rId="38478" sId="8">
    <oc r="E90">
      <f>D90/B90</f>
    </oc>
    <nc r="E90"/>
  </rcc>
  <rcc rId="38479" sId="8">
    <oc r="F90">
      <f>SUM(F71:F89)</f>
    </oc>
    <nc r="F90"/>
  </rcc>
  <rcc rId="38480" sId="8">
    <oc r="G90">
      <f>F90-C90</f>
    </oc>
    <nc r="G90"/>
  </rcc>
  <rcc rId="38481" sId="8">
    <oc r="H90">
      <f>G90/C90</f>
    </oc>
    <nc r="H90"/>
  </rcc>
  <rcc rId="38482" sId="8">
    <oc r="A92" t="inlineStr">
      <is>
        <t>Notes for Public Safety &amp; Justice:</t>
      </is>
    </oc>
    <nc r="A92"/>
  </rcc>
  <rcc rId="38483" sId="8">
    <oc r="A93" t="inlineStr">
      <is>
        <t>* Formerly the Office of Citizen Complaints</t>
      </is>
    </oc>
    <nc r="A93"/>
  </rcc>
  <rcc rId="38484" sId="8">
    <oc r="A94" t="inlineStr">
      <is>
        <t>** Formerly the Forensic Health and Science Laboratory</t>
      </is>
    </oc>
    <nc r="A94"/>
  </rcc>
  <rcc rId="38485" sId="8">
    <oc r="A95" t="inlineStr">
      <is>
        <t>*** This agency was eliminated in 2006</t>
      </is>
    </oc>
    <nc r="A95"/>
  </rcc>
  <rcc rId="38486" sId="8">
    <oc r="A96" t="inlineStr">
      <is>
        <t>**** This line item added in 2008</t>
      </is>
    </oc>
    <nc r="A96"/>
  </rcc>
  <rcc rId="38487" sId="8">
    <oc r="A98" t="inlineStr">
      <is>
        <t>Public Education</t>
      </is>
    </oc>
    <nc r="A98"/>
  </rcc>
  <rcc rId="38488" sId="8">
    <oc r="A99" t="inlineStr">
      <is>
        <t>Deputy Mayor for Education*</t>
      </is>
    </oc>
    <nc r="A99"/>
  </rcc>
  <rcc rId="38489" sId="8">
    <oc r="B99">
      <f>'Sheet 6'!#REF!*(Inflator!$B$6)</f>
    </oc>
    <nc r="B99"/>
  </rcc>
  <rcc rId="38490" sId="8">
    <oc r="C99">
      <f>'Sheet 6'!#REF!*Inflator!$B$7</f>
    </oc>
    <nc r="C99"/>
  </rcc>
  <rcc rId="38491" sId="8">
    <oc r="D99">
      <f>C99-B99</f>
    </oc>
    <nc r="D99"/>
  </rcc>
  <rcc rId="38492" sId="8">
    <oc r="E99">
      <f>D99/B99</f>
    </oc>
    <nc r="E99"/>
  </rcc>
  <rcc rId="38493" sId="8" numFmtId="11">
    <oc r="F99">
      <v>4039</v>
    </oc>
    <nc r="F99"/>
  </rcc>
  <rcc rId="38494" sId="8">
    <oc r="G99">
      <f>F99-C99</f>
    </oc>
    <nc r="G99"/>
  </rcc>
  <rcc rId="38495" sId="8">
    <oc r="H99">
      <f>G99/C99</f>
    </oc>
    <nc r="H99"/>
  </rcc>
  <rcc rId="38496" sId="8">
    <oc r="A100" t="inlineStr">
      <is>
        <t>DC Public Schools**</t>
      </is>
    </oc>
    <nc r="A100"/>
  </rcc>
  <rcc rId="38497" sId="8">
    <oc r="B100">
      <f>'Sheet 6'!#REF!*(Inflator!$B$6)</f>
    </oc>
    <nc r="B100"/>
  </rcc>
  <rcc rId="38498" sId="8">
    <oc r="C100">
      <f>'Sheet 6'!#REF!*Inflator!$B$7</f>
    </oc>
    <nc r="C100"/>
  </rcc>
  <rcc rId="38499" sId="8">
    <oc r="D100">
      <f>C100-B100</f>
    </oc>
    <nc r="D100"/>
  </rcc>
  <rcc rId="38500" sId="8">
    <oc r="E100">
      <f>D100/B100</f>
    </oc>
    <nc r="E100"/>
  </rcc>
  <rcc rId="38501" sId="8" numFmtId="11">
    <oc r="F100">
      <v>593534</v>
    </oc>
    <nc r="F100"/>
  </rcc>
  <rcc rId="38502" sId="8">
    <oc r="G100">
      <f>F100-C100</f>
    </oc>
    <nc r="G100"/>
  </rcc>
  <rcc rId="38503" sId="8">
    <oc r="H100">
      <f>G100/C100</f>
    </oc>
    <nc r="H100"/>
  </rcc>
  <rcc rId="38504" sId="8">
    <oc r="A101" t="inlineStr">
      <is>
        <t>Teachers' Retirement System</t>
      </is>
    </oc>
    <nc r="A101"/>
  </rcc>
  <rcc rId="38505" sId="8">
    <oc r="B101">
      <f>'Sheet 6'!#REF!*(Inflator!$B$6)</f>
    </oc>
    <nc r="B101"/>
  </rcc>
  <rcc rId="38506" sId="8">
    <oc r="C101">
      <f>'Sheet 6'!#REF!*Inflator!$B$7</f>
    </oc>
    <nc r="C101"/>
  </rcc>
  <rcc rId="38507" sId="8">
    <oc r="D101">
      <f>C101-B101</f>
    </oc>
    <nc r="D101"/>
  </rcc>
  <rcc rId="38508" sId="8">
    <oc r="E101">
      <f>D101/B101</f>
    </oc>
    <nc r="E101"/>
  </rcc>
  <rcc rId="38509" sId="8" numFmtId="11">
    <oc r="F101">
      <v>3000</v>
    </oc>
    <nc r="F101"/>
  </rcc>
  <rcc rId="38510" sId="8">
    <oc r="G101">
      <f>F101-C101</f>
    </oc>
    <nc r="G101"/>
  </rcc>
  <rcc rId="38511" sId="8">
    <oc r="H101" t="inlineStr">
      <is>
        <t>—</t>
      </is>
    </oc>
    <nc r="H101"/>
  </rcc>
  <rcc rId="38512" sId="8">
    <oc r="A102" t="inlineStr">
      <is>
        <t>Office of the State Superintendent of Education***</t>
      </is>
    </oc>
    <nc r="A102"/>
  </rcc>
  <rcc rId="38513" sId="8">
    <oc r="B102">
      <f>'Sheet 6'!#REF!*(Inflator!$B$6)</f>
    </oc>
    <nc r="B102"/>
  </rcc>
  <rcc rId="38514" sId="8">
    <oc r="C102">
      <f>'Sheet 6'!#REF!*Inflator!$B$7</f>
    </oc>
    <nc r="C102"/>
  </rcc>
  <rcc rId="38515" sId="8">
    <oc r="D102">
      <f>C102-B102</f>
    </oc>
    <nc r="D102"/>
  </rcc>
  <rcc rId="38516" sId="8">
    <oc r="E102">
      <f>D102/B102</f>
    </oc>
    <nc r="E102"/>
  </rcc>
  <rcc rId="38517" sId="8" numFmtId="11">
    <oc r="F102">
      <v>348466</v>
    </oc>
    <nc r="F102"/>
  </rcc>
  <rcc rId="38518" sId="8">
    <oc r="G102">
      <f>F102-C102</f>
    </oc>
    <nc r="G102"/>
  </rcc>
  <rcc rId="38519" sId="8">
    <oc r="H102">
      <f>G102/C102</f>
    </oc>
    <nc r="H102"/>
  </rcc>
  <rcc rId="38520" sId="8">
    <oc r="A103" t="inlineStr">
      <is>
        <t xml:space="preserve">DC Public Charter Schools    </t>
      </is>
    </oc>
    <nc r="A103"/>
  </rcc>
  <rcc rId="38521" sId="8">
    <oc r="B103">
      <f>'Sheet 6'!#REF!*(Inflator!$B$6)</f>
    </oc>
    <nc r="B103"/>
  </rcc>
  <rcc rId="38522" sId="8">
    <oc r="C103">
      <f>'Sheet 6'!#REF!*Inflator!$B$7</f>
    </oc>
    <nc r="C103"/>
  </rcc>
  <rcc rId="38523" sId="8">
    <oc r="D103">
      <f>C103-B103</f>
    </oc>
    <nc r="D103"/>
  </rcc>
  <rcc rId="38524" sId="8">
    <oc r="E103">
      <f>D103/B103</f>
    </oc>
    <nc r="E103"/>
  </rcc>
  <rcc rId="38525" sId="8" numFmtId="11">
    <oc r="F103">
      <v>397367</v>
    </oc>
    <nc r="F103"/>
  </rcc>
  <rcc rId="38526" sId="8">
    <oc r="G103">
      <f>F103-C103</f>
    </oc>
    <nc r="G103"/>
  </rcc>
  <rcc rId="38527" sId="8">
    <oc r="H103">
      <f>G103/C103</f>
    </oc>
    <nc r="H103"/>
  </rcc>
  <rcc rId="38528" sId="8">
    <oc r="A104" t="inlineStr">
      <is>
        <t>University of the District of Columbia Subsidy Account</t>
      </is>
    </oc>
    <nc r="A104"/>
  </rcc>
  <rcc rId="38529" sId="8">
    <oc r="B104">
      <f>'Sheet 6'!#REF!*(Inflator!$B$6)</f>
    </oc>
    <nc r="B104"/>
  </rcc>
  <rcc rId="38530" sId="8">
    <oc r="C104">
      <f>'Sheet 6'!#REF!*Inflator!$B$7</f>
    </oc>
    <nc r="C104"/>
  </rcc>
  <rcc rId="38531" sId="8">
    <oc r="D104">
      <f>C104-B104</f>
    </oc>
    <nc r="D104"/>
  </rcc>
  <rcc rId="38532" sId="8">
    <oc r="E104">
      <f>D104/B104</f>
    </oc>
    <nc r="E104"/>
  </rcc>
  <rcc rId="38533" sId="8" numFmtId="11">
    <oc r="F104">
      <v>62070</v>
    </oc>
    <nc r="F104"/>
  </rcc>
  <rcc rId="38534" sId="8">
    <oc r="G104">
      <f>F104-C104</f>
    </oc>
    <nc r="G104"/>
  </rcc>
  <rcc rId="38535" sId="8">
    <oc r="H104">
      <f>G104/C104</f>
    </oc>
    <nc r="H104"/>
  </rcc>
  <rcc rId="38536" sId="8">
    <oc r="A105" t="inlineStr">
      <is>
        <t>Public Library</t>
      </is>
    </oc>
    <nc r="A105"/>
  </rcc>
  <rcc rId="38537" sId="8">
    <oc r="B105">
      <f>'Sheet 6'!#REF!*(Inflator!$B$6)</f>
    </oc>
    <nc r="B105"/>
  </rcc>
  <rcc rId="38538" sId="8">
    <oc r="C105">
      <f>'Sheet 6'!#REF!*Inflator!$B$7</f>
    </oc>
    <nc r="C105"/>
  </rcc>
  <rcc rId="38539" sId="8">
    <oc r="D105">
      <f>C105-B105</f>
    </oc>
    <nc r="D105"/>
  </rcc>
  <rcc rId="38540" sId="8">
    <oc r="E105">
      <f>D105/B105</f>
    </oc>
    <nc r="E105"/>
  </rcc>
  <rcc rId="38541" sId="8" numFmtId="11">
    <oc r="F105">
      <v>45902</v>
    </oc>
    <nc r="F105"/>
  </rcc>
  <rcc rId="38542" sId="8">
    <oc r="G105">
      <f>F105-C105</f>
    </oc>
    <nc r="G105"/>
  </rcc>
  <rcc rId="38543" sId="8">
    <oc r="H105">
      <f>G105/C105</f>
    </oc>
    <nc r="H105"/>
  </rcc>
  <rcc rId="38544" sId="8">
    <oc r="A106" t="inlineStr">
      <is>
        <t>DC Public Charter School Board</t>
      </is>
    </oc>
    <nc r="A106"/>
  </rcc>
  <rcc rId="38545" sId="8">
    <oc r="B106">
      <f>'Sheet 6'!#REF!*(Inflator!$B$6)</f>
    </oc>
    <nc r="B106"/>
  </rcc>
  <rcc rId="38546" sId="8">
    <oc r="C106">
      <f>'Sheet 6'!#REF!*Inflator!$B$7</f>
    </oc>
    <nc r="C106"/>
  </rcc>
  <rcc rId="38547" sId="8">
    <oc r="D106">
      <f>C106-B106</f>
    </oc>
    <nc r="D106"/>
  </rcc>
  <rcc rId="38548" sId="8">
    <oc r="E106">
      <f>D106/B106</f>
    </oc>
    <nc r="E106"/>
  </rcc>
  <rcc rId="38549" sId="8" numFmtId="11">
    <oc r="F106">
      <v>3837</v>
    </oc>
    <nc r="F106"/>
  </rcc>
  <rcc rId="38550" sId="8">
    <oc r="G106">
      <f>F106-C106</f>
    </oc>
    <nc r="G106"/>
  </rcc>
  <rcc rId="38551" sId="8">
    <oc r="H106">
      <f>G106/C106</f>
    </oc>
    <nc r="H106"/>
  </rcc>
  <rcc rId="38552" sId="8">
    <oc r="A107" t="inlineStr">
      <is>
        <t>Public education facilities modernization office****</t>
      </is>
    </oc>
    <nc r="A107"/>
  </rcc>
  <rcc rId="38553" sId="8">
    <oc r="B107">
      <f>'Sheet 6'!#REF!*(Inflator!$B$6)</f>
    </oc>
    <nc r="B107"/>
  </rcc>
  <rcc rId="38554" sId="8">
    <oc r="C107">
      <f>'Sheet 6'!#REF!*Inflator!$B$7</f>
    </oc>
    <nc r="C107"/>
  </rcc>
  <rcc rId="38555" sId="8">
    <oc r="D107">
      <f>C107-B107</f>
    </oc>
    <nc r="D107"/>
  </rcc>
  <rcc rId="38556" sId="8">
    <oc r="E107">
      <f>D107/B107</f>
    </oc>
    <nc r="E107"/>
  </rcc>
  <rcc rId="38557" sId="8" numFmtId="11">
    <oc r="F107">
      <v>32822</v>
    </oc>
    <nc r="F107"/>
  </rcc>
  <rcc rId="38558" sId="8">
    <oc r="G107">
      <f>F107-C107</f>
    </oc>
    <nc r="G107"/>
  </rcc>
  <rcc rId="38559" sId="8">
    <oc r="H107">
      <f>G107/C107</f>
    </oc>
    <nc r="H107"/>
  </rcc>
  <rcc rId="38560" sId="8">
    <oc r="A108" t="inlineStr">
      <is>
        <t>Non-public Tuition**</t>
      </is>
    </oc>
    <nc r="A108"/>
  </rcc>
  <rcc rId="38561" sId="8">
    <oc r="B108">
      <f>'Sheet 6'!#REF!*(Inflator!$B$6)</f>
    </oc>
    <nc r="B108"/>
  </rcc>
  <rcc rId="38562" sId="8">
    <oc r="C108">
      <f>'Sheet 6'!#REF!*Inflator!$B$7</f>
    </oc>
    <nc r="C108"/>
  </rcc>
  <rcc rId="38563" sId="8">
    <oc r="D108">
      <f>C108-B108</f>
    </oc>
    <nc r="D108"/>
  </rcc>
  <rcc rId="38564" sId="8">
    <oc r="E108" t="inlineStr">
      <is>
        <t>—</t>
      </is>
    </oc>
    <nc r="E108"/>
  </rcc>
  <rcc rId="38565" sId="8" numFmtId="11">
    <oc r="F108">
      <v>149100</v>
    </oc>
    <nc r="F108"/>
  </rcc>
  <rcc rId="38566" sId="8">
    <oc r="G108">
      <f>F108-C108</f>
    </oc>
    <nc r="G108"/>
  </rcc>
  <rcc rId="38567" sId="8">
    <oc r="H108">
      <f>G108/C108</f>
    </oc>
    <nc r="H108"/>
  </rcc>
  <rcc rId="38568" sId="8">
    <oc r="A109" t="inlineStr">
      <is>
        <t>Special Education Transportation**</t>
      </is>
    </oc>
    <nc r="A109"/>
  </rcc>
  <rcc rId="38569" sId="8">
    <oc r="B109">
      <f>'Sheet 6'!#REF!*(Inflator!$B$6)</f>
    </oc>
    <nc r="B109"/>
  </rcc>
  <rcc rId="38570" sId="8">
    <oc r="C109">
      <f>'Sheet 6'!#REF!*Inflator!$B$7</f>
    </oc>
    <nc r="C109"/>
  </rcc>
  <rcc rId="38571" sId="8">
    <oc r="D109">
      <f>C109-B109</f>
    </oc>
    <nc r="D109"/>
  </rcc>
  <rcc rId="38572" sId="8">
    <oc r="E109">
      <f>D109/B109</f>
    </oc>
    <nc r="E109"/>
  </rcc>
  <rcc rId="38573" sId="8" numFmtId="11">
    <oc r="F109">
      <v>77431</v>
    </oc>
    <nc r="F109"/>
  </rcc>
  <rcc rId="38574" sId="8">
    <oc r="G109">
      <f>F109-C109</f>
    </oc>
    <nc r="G109"/>
  </rcc>
  <rcc rId="38575" sId="8">
    <oc r="H109">
      <f>G109/C109</f>
    </oc>
    <nc r="H109"/>
  </rcc>
  <rcc rId="38576" sId="8">
    <oc r="A110" t="inlineStr">
      <is>
        <t>Subtotal: Public Education</t>
      </is>
    </oc>
    <nc r="A110"/>
  </rcc>
  <rcc rId="38577" sId="8">
    <oc r="B110">
      <f>SUM(B100:B109)</f>
    </oc>
    <nc r="B110"/>
  </rcc>
  <rcc rId="38578" sId="8">
    <oc r="C110">
      <f>SUM(C100:C109)</f>
    </oc>
    <nc r="C110"/>
  </rcc>
  <rcc rId="38579" sId="8">
    <oc r="D110">
      <f>C110-B110</f>
    </oc>
    <nc r="D110"/>
  </rcc>
  <rcc rId="38580" sId="8">
    <oc r="E110">
      <f>D110/B110</f>
    </oc>
    <nc r="E110"/>
  </rcc>
  <rcc rId="38581" sId="8">
    <oc r="F110">
      <f>SUM(F100:F109)</f>
    </oc>
    <nc r="F110"/>
  </rcc>
  <rcc rId="38582" sId="8">
    <oc r="G110">
      <f>F110-C110</f>
    </oc>
    <nc r="G110"/>
  </rcc>
  <rcc rId="38583" sId="8">
    <oc r="H110">
      <f>G110/C110</f>
    </oc>
    <nc r="H110"/>
  </rcc>
  <rcc rId="38584" sId="8">
    <oc r="A112" t="inlineStr">
      <is>
        <t>Notes for Public Education</t>
      </is>
    </oc>
    <nc r="A112"/>
  </rcc>
  <rcc rId="38585" sId="8">
    <oc r="A113" t="inlineStr">
      <is>
        <t>* Thisagency was first budgeted in FY 2008 called Department of Education.</t>
      </is>
    </oc>
    <nc r="A113"/>
  </rcc>
  <rcc rId="38586" sId="8">
    <oc r="A114" t="inlineStr">
      <is>
        <t>** In FY 2009, these functions were separated from DC Public Schools</t>
      </is>
    </oc>
    <nc r="A114"/>
  </rcc>
  <rcc rId="38587" sId="8">
    <oc r="A115" t="inlineStr">
      <is>
        <t>*** Formerly known as the State Education Office</t>
      </is>
    </oc>
    <nc r="A115"/>
  </rcc>
  <rcc rId="38588" sId="8">
    <oc r="A116" t="inlineStr">
      <is>
        <t>**** This agency was established in FY 2007</t>
      </is>
    </oc>
    <nc r="A116"/>
  </rcc>
  <rcc rId="38589" sId="8">
    <oc r="A117" t="inlineStr">
      <is>
        <t xml:space="preserve">     In FY 2009, maintenance functions in DCPS were transferred to this agency</t>
      </is>
    </oc>
    <nc r="A117"/>
  </rcc>
  <rcc rId="38590" sId="8">
    <oc r="A118" t="inlineStr">
      <is>
        <t>***** This line item added in 2008</t>
      </is>
    </oc>
    <nc r="A118"/>
  </rcc>
  <rcc rId="38591" sId="8">
    <oc r="A120" t="inlineStr">
      <is>
        <t>Human Support Services</t>
      </is>
    </oc>
    <nc r="A120"/>
  </rcc>
  <rcc rId="38592" sId="8">
    <oc r="A121" t="inlineStr">
      <is>
        <t xml:space="preserve">Department of Human Services    </t>
      </is>
    </oc>
    <nc r="A121"/>
  </rcc>
  <rcc rId="38593" sId="8">
    <oc r="B121">
      <f>'Sheet 6'!#REF!*(Inflator!$B$6)</f>
    </oc>
    <nc r="B121"/>
  </rcc>
  <rcc rId="38594" sId="8">
    <oc r="C121">
      <f>'Sheet 6'!#REF!*Inflator!$B$7</f>
    </oc>
    <nc r="C121"/>
  </rcc>
  <rcc rId="38595" sId="8">
    <oc r="D121">
      <f>C121-B121</f>
    </oc>
    <nc r="D121"/>
  </rcc>
  <rcc rId="38596" sId="8">
    <oc r="E121">
      <f>D121/B121</f>
    </oc>
    <nc r="E121"/>
  </rcc>
  <rcc rId="38597" sId="8" numFmtId="11">
    <oc r="F121">
      <v>312023</v>
    </oc>
    <nc r="F121"/>
  </rcc>
  <rcc rId="38598" sId="8">
    <oc r="G121">
      <f>F121-C121</f>
    </oc>
    <nc r="G121"/>
  </rcc>
  <rcc rId="38599" sId="8">
    <oc r="H121">
      <f>G121/C121</f>
    </oc>
    <nc r="H121"/>
  </rcc>
  <rcc rId="38600" sId="8">
    <oc r="A122" t="inlineStr">
      <is>
        <t xml:space="preserve">Child and Family Services   </t>
      </is>
    </oc>
    <nc r="A122"/>
  </rcc>
  <rcc rId="38601" sId="8">
    <oc r="B122">
      <f>'Sheet 6'!#REF!*(Inflator!$B$6)</f>
    </oc>
    <nc r="B122"/>
  </rcc>
  <rcc rId="38602" sId="8">
    <oc r="C122">
      <f>'Sheet 6'!#REF!*Inflator!$B$7</f>
    </oc>
    <nc r="C122"/>
  </rcc>
  <rcc rId="38603" sId="8">
    <oc r="D122">
      <f>C122-B122</f>
    </oc>
    <nc r="D122"/>
  </rcc>
  <rcc rId="38604" sId="8">
    <oc r="E122">
      <f>D122/B122</f>
    </oc>
    <nc r="E122"/>
  </rcc>
  <rcc rId="38605" sId="8" numFmtId="11">
    <oc r="F122">
      <v>272058</v>
    </oc>
    <nc r="F122"/>
  </rcc>
  <rcc rId="38606" sId="8">
    <oc r="G122">
      <f>F122-C122</f>
    </oc>
    <nc r="G122"/>
  </rcc>
  <rcc rId="38607" sId="8">
    <oc r="H122">
      <f>G122/C122</f>
    </oc>
    <nc r="H122"/>
  </rcc>
  <rcc rId="38608" sId="8">
    <oc r="A123" t="inlineStr">
      <is>
        <t xml:space="preserve">Department of Mental Health   </t>
      </is>
    </oc>
    <nc r="A123"/>
  </rcc>
  <rcc rId="38609" sId="8">
    <oc r="B123">
      <f>'Sheet 6'!#REF!*(Inflator!$B$6)</f>
    </oc>
    <nc r="B123"/>
  </rcc>
  <rcc rId="38610" sId="8">
    <oc r="C123">
      <f>'Sheet 6'!#REF!*Inflator!$B$7</f>
    </oc>
    <nc r="C123"/>
  </rcc>
  <rcc rId="38611" sId="8">
    <oc r="D123">
      <f>C123-B123</f>
    </oc>
    <nc r="D123"/>
  </rcc>
  <rcc rId="38612" sId="8">
    <oc r="E123">
      <f>D123/B123</f>
    </oc>
    <nc r="E123"/>
  </rcc>
  <rcc rId="38613" sId="8" numFmtId="11">
    <oc r="F123">
      <v>212543</v>
    </oc>
    <nc r="F123"/>
  </rcc>
  <rcc rId="38614" sId="8">
    <oc r="G123">
      <f>F123-C123</f>
    </oc>
    <nc r="G123"/>
  </rcc>
  <rcc rId="38615" sId="8">
    <oc r="H123">
      <f>G123/C123</f>
    </oc>
    <nc r="H123"/>
  </rcc>
  <rcc rId="38616" sId="8">
    <oc r="A124" t="inlineStr">
      <is>
        <t>Department of Health**</t>
      </is>
    </oc>
    <nc r="A124"/>
  </rcc>
  <rcc rId="38617" sId="8">
    <oc r="B124">
      <f>'Sheet 6'!#REF!*(Inflator!$B$6)</f>
    </oc>
    <nc r="B124"/>
  </rcc>
  <rcc rId="38618" sId="8">
    <oc r="C124">
      <f>'Sheet 6'!#REF!*Inflator!$B$7</f>
    </oc>
    <nc r="C124"/>
  </rcc>
  <rcc rId="38619" sId="8">
    <oc r="D124">
      <f>C124-B124</f>
    </oc>
    <nc r="D124"/>
  </rcc>
  <rcc rId="38620" sId="8">
    <oc r="E124">
      <f>D124/B124</f>
    </oc>
    <nc r="E124"/>
  </rcc>
  <rcc rId="38621" sId="8" numFmtId="11">
    <oc r="F124">
      <v>231748</v>
    </oc>
    <nc r="F124"/>
  </rcc>
  <rcc rId="38622" sId="8">
    <oc r="G124">
      <f>F124-C124</f>
    </oc>
    <nc r="G124"/>
  </rcc>
  <rcc rId="38623" sId="8">
    <oc r="H124">
      <f>G124/C124</f>
    </oc>
    <nc r="H124"/>
  </rcc>
  <rcc rId="38624" sId="8">
    <oc r="A125" t="inlineStr">
      <is>
        <t>Department of Parks and Recreation</t>
      </is>
    </oc>
    <nc r="A125"/>
  </rcc>
  <rcc rId="38625" sId="8">
    <oc r="B125">
      <f>'Sheet 6'!#REF!*(Inflator!$B$6)</f>
    </oc>
    <nc r="B125"/>
  </rcc>
  <rcc rId="38626" sId="8">
    <oc r="C125">
      <f>'Sheet 6'!#REF!*Inflator!$B$7</f>
    </oc>
    <nc r="C125"/>
  </rcc>
  <rcc rId="38627" sId="8">
    <oc r="D125">
      <f>C125-B125</f>
    </oc>
    <nc r="D125"/>
  </rcc>
  <rcc rId="38628" sId="8">
    <oc r="E125">
      <f>D125/B125</f>
    </oc>
    <nc r="E125"/>
  </rcc>
  <rcc rId="38629" sId="8" numFmtId="11">
    <oc r="F125">
      <v>45383</v>
    </oc>
    <nc r="F125"/>
  </rcc>
  <rcc rId="38630" sId="8">
    <oc r="G125">
      <f>F125-C125</f>
    </oc>
    <nc r="G125"/>
  </rcc>
  <rcc rId="38631" sId="8">
    <oc r="H125">
      <f>G125/C125</f>
    </oc>
    <nc r="H125"/>
  </rcc>
  <rcc rId="38632" sId="8">
    <oc r="A126" t="inlineStr">
      <is>
        <t>Office of Aging</t>
      </is>
    </oc>
    <nc r="A126"/>
  </rcc>
  <rcc rId="38633" sId="8">
    <oc r="B126">
      <f>'Sheet 6'!#REF!*(Inflator!$B$6)</f>
    </oc>
    <nc r="B126"/>
  </rcc>
  <rcc rId="38634" sId="8">
    <oc r="C126">
      <f>'Sheet 6'!#REF!*Inflator!$B$7</f>
    </oc>
    <nc r="C126"/>
  </rcc>
  <rcc rId="38635" sId="8">
    <oc r="D126">
      <f>C126-B126</f>
    </oc>
    <nc r="D126"/>
  </rcc>
  <rcc rId="38636" sId="8">
    <oc r="E126">
      <f>D126/B126</f>
    </oc>
    <nc r="E126"/>
  </rcc>
  <rcc rId="38637" sId="8" numFmtId="11">
    <oc r="F126">
      <v>22852</v>
    </oc>
    <nc r="F126"/>
  </rcc>
  <rcc rId="38638" sId="8">
    <oc r="G126">
      <f>F126-C126</f>
    </oc>
    <nc r="G126"/>
  </rcc>
  <rcc rId="38639" sId="8">
    <oc r="H126">
      <f>G126/C126</f>
    </oc>
    <nc r="H126"/>
  </rcc>
  <rcc rId="38640" sId="8">
    <oc r="A127" t="inlineStr">
      <is>
        <t>Unemployment Compensation</t>
      </is>
    </oc>
    <nc r="A127"/>
  </rcc>
  <rcc rId="38641" sId="8">
    <oc r="B127">
      <f>'Sheet 6'!#REF!*(Inflator!$B$6)</f>
    </oc>
    <nc r="B127"/>
  </rcc>
  <rcc rId="38642" sId="8">
    <oc r="C127">
      <f>'Sheet 6'!#REF!*Inflator!$B$7</f>
    </oc>
    <nc r="C127"/>
  </rcc>
  <rcc rId="38643" sId="8">
    <oc r="D127">
      <f>C127-B127</f>
    </oc>
    <nc r="D127"/>
  </rcc>
  <rcc rId="38644" sId="8">
    <oc r="E127">
      <f>D127/B127</f>
    </oc>
    <nc r="E127"/>
  </rcc>
  <rcc rId="38645" sId="8" numFmtId="11">
    <oc r="F127">
      <v>11136</v>
    </oc>
    <nc r="F127"/>
  </rcc>
  <rcc rId="38646" sId="8">
    <oc r="G127">
      <f>F127-C127</f>
    </oc>
    <nc r="G127"/>
  </rcc>
  <rcc rId="38647" sId="8">
    <oc r="H127">
      <f>G127/C127</f>
    </oc>
    <nc r="H127"/>
  </rcc>
  <rcc rId="38648" sId="8">
    <oc r="A128" t="inlineStr">
      <is>
        <t>Disability Compensation</t>
      </is>
    </oc>
    <nc r="A128"/>
  </rcc>
  <rcc rId="38649" sId="8">
    <oc r="B128">
      <f>'Sheet 6'!#REF!*(Inflator!$B$6)</f>
    </oc>
    <nc r="B128"/>
  </rcc>
  <rcc rId="38650" sId="8">
    <oc r="C128">
      <f>'Sheet 6'!#REF!*Inflator!$B$7</f>
    </oc>
    <nc r="C128"/>
  </rcc>
  <rcc rId="38651" sId="8">
    <oc r="D128">
      <f>C128-B128</f>
    </oc>
    <nc r="D128"/>
  </rcc>
  <rcc rId="38652" sId="8">
    <oc r="E128">
      <f>D128/B128</f>
    </oc>
    <nc r="E128"/>
  </rcc>
  <rcc rId="38653" sId="8" numFmtId="11">
    <oc r="F128">
      <v>25163</v>
    </oc>
    <nc r="F128"/>
  </rcc>
  <rcc rId="38654" sId="8">
    <oc r="G128">
      <f>F128-C128</f>
    </oc>
    <nc r="G128"/>
  </rcc>
  <rcc rId="38655" sId="8">
    <oc r="H128">
      <f>G128/C128</f>
    </oc>
    <nc r="H128"/>
  </rcc>
  <rcc rId="38656" sId="8">
    <oc r="A129" t="inlineStr">
      <is>
        <t>Office on Human Rights</t>
      </is>
    </oc>
    <nc r="A129"/>
  </rcc>
  <rcc rId="38657" sId="8">
    <oc r="B129">
      <f>'Sheet 6'!#REF!*(Inflator!$B$6)</f>
    </oc>
    <nc r="B129"/>
  </rcc>
  <rcc rId="38658" sId="8">
    <oc r="C129">
      <f>'Sheet 6'!#REF!*Inflator!$B$7</f>
    </oc>
    <nc r="C129"/>
  </rcc>
  <rcc rId="38659" sId="8">
    <oc r="D129">
      <f>C129-B129</f>
    </oc>
    <nc r="D129"/>
  </rcc>
  <rcc rId="38660" sId="8">
    <oc r="E129">
      <f>D129/B129</f>
    </oc>
    <nc r="E129"/>
  </rcc>
  <rcc rId="38661" sId="8" numFmtId="11">
    <oc r="F129">
      <v>2854</v>
    </oc>
    <nc r="F129"/>
  </rcc>
  <rcc rId="38662" sId="8">
    <oc r="G129">
      <f>F129-C129</f>
    </oc>
    <nc r="G129"/>
  </rcc>
  <rcc rId="38663" sId="8">
    <oc r="H129">
      <f>G129/C129</f>
    </oc>
    <nc r="H129"/>
  </rcc>
  <rcc rId="38664" sId="8">
    <oc r="A130" t="inlineStr">
      <is>
        <t>Office of Latino Affairs</t>
      </is>
    </oc>
    <nc r="A130"/>
  </rcc>
  <rcc rId="38665" sId="8">
    <oc r="B130">
      <f>'Sheet 6'!#REF!*(Inflator!$B$6)</f>
    </oc>
    <nc r="B130"/>
  </rcc>
  <rcc rId="38666" sId="8">
    <oc r="C130">
      <f>'Sheet 6'!#REF!*Inflator!$B$7</f>
    </oc>
    <nc r="C130"/>
  </rcc>
  <rcc rId="38667" sId="8">
    <oc r="D130">
      <f>C130-B130</f>
    </oc>
    <nc r="D130"/>
  </rcc>
  <rcc rId="38668" sId="8">
    <oc r="E130">
      <f>D130/B130</f>
    </oc>
    <nc r="E130"/>
  </rcc>
  <rcc rId="38669" sId="8" numFmtId="11">
    <oc r="F130">
      <v>4360</v>
    </oc>
    <nc r="F130"/>
  </rcc>
  <rcc rId="38670" sId="8">
    <oc r="G130">
      <f>F130-C130</f>
    </oc>
    <nc r="G130"/>
  </rcc>
  <rcc rId="38671" sId="8">
    <oc r="H130">
      <f>G130/C130</f>
    </oc>
    <nc r="H130"/>
  </rcc>
  <rcc rId="38672" sId="8">
    <oc r="A131" t="inlineStr">
      <is>
        <t>Children and Youth Investment Collaborative</t>
      </is>
    </oc>
    <nc r="A131"/>
  </rcc>
  <rcc rId="38673" sId="8">
    <oc r="B131">
      <f>'Sheet 6'!#REF!*(Inflator!$B$6)</f>
    </oc>
    <nc r="B131"/>
  </rcc>
  <rcc rId="38674" sId="8">
    <oc r="C131">
      <f>'Sheet 6'!#REF!*Inflator!$B$7</f>
    </oc>
    <nc r="C131"/>
  </rcc>
  <rcc rId="38675" sId="8">
    <oc r="D131">
      <f>C131-B131</f>
    </oc>
    <nc r="D131"/>
  </rcc>
  <rcc rId="38676" sId="8">
    <oc r="E131">
      <f>D131/B131</f>
    </oc>
    <nc r="E131"/>
  </rcc>
  <rcc rId="38677" sId="8" numFmtId="11">
    <oc r="F131">
      <v>9520</v>
    </oc>
    <nc r="F131"/>
  </rcc>
  <rcc rId="38678" sId="8">
    <oc r="G131">
      <f>F131-C131</f>
    </oc>
    <nc r="G131"/>
  </rcc>
  <rcc rId="38679" sId="8">
    <oc r="H131">
      <f>G131/C131</f>
    </oc>
    <nc r="H131"/>
  </rcc>
  <rcc rId="38680" sId="8">
    <oc r="A132" t="inlineStr">
      <is>
        <t>Asian and Pacific Islander Affairs</t>
      </is>
    </oc>
    <nc r="A132"/>
  </rcc>
  <rcc rId="38681" sId="8">
    <oc r="B132">
      <f>'Sheet 6'!#REF!*(Inflator!$B$6)</f>
    </oc>
    <nc r="B132"/>
  </rcc>
  <rcc rId="38682" sId="8">
    <oc r="C132">
      <f>'Sheet 6'!#REF!*Inflator!$B$7</f>
    </oc>
    <nc r="C132"/>
  </rcc>
  <rcc rId="38683" sId="8">
    <oc r="D132">
      <f>C132-B132</f>
    </oc>
    <nc r="D132"/>
  </rcc>
  <rcc rId="38684" sId="8">
    <oc r="E132">
      <f>D132/B132</f>
    </oc>
    <nc r="E132"/>
  </rcc>
  <rcc rId="38685" sId="8" numFmtId="11">
    <oc r="F132">
      <v>0</v>
    </oc>
    <nc r="F132"/>
  </rcc>
  <rcc rId="38686" sId="8">
    <oc r="G132">
      <f>F132-C132</f>
    </oc>
    <nc r="G132"/>
  </rcc>
  <rcc rId="38687" sId="8">
    <oc r="H132">
      <f>G132/C132</f>
    </oc>
    <nc r="H132"/>
  </rcc>
  <rcc rId="38688" sId="8">
    <oc r="A133" t="inlineStr">
      <is>
        <t>Office of Veterans Affairs</t>
      </is>
    </oc>
    <nc r="A133"/>
  </rcc>
  <rcc rId="38689" sId="8">
    <oc r="B133">
      <f>'Sheet 6'!#REF!*(Inflator!$B$6)</f>
    </oc>
    <nc r="B133"/>
  </rcc>
  <rcc rId="38690" sId="8">
    <oc r="C133">
      <f>'Sheet 6'!#REF!*Inflator!$B$7</f>
    </oc>
    <nc r="C133"/>
  </rcc>
  <rcc rId="38691" sId="8">
    <oc r="D133">
      <f>C133-B133</f>
    </oc>
    <nc r="D133"/>
  </rcc>
  <rcc rId="38692" sId="8">
    <oc r="E133">
      <f>D133/B133</f>
    </oc>
    <nc r="E133"/>
  </rcc>
  <rcc rId="38693" sId="8" numFmtId="11">
    <oc r="F133">
      <v>0</v>
    </oc>
    <nc r="F133"/>
  </rcc>
  <rcc rId="38694" sId="8">
    <oc r="G133">
      <f>F133-C133</f>
    </oc>
    <nc r="G133"/>
  </rcc>
  <rcc rId="38695" sId="8">
    <oc r="H133">
      <f>G133/C133</f>
    </oc>
    <nc r="H133"/>
  </rcc>
  <rcc rId="38696" sId="8">
    <oc r="A134" t="inlineStr">
      <is>
        <t>Department of Youth Rehabilitation Services****</t>
      </is>
    </oc>
    <nc r="A134"/>
  </rcc>
  <rcc rId="38697" sId="8">
    <oc r="B134">
      <f>'Sheet 6'!#REF!*(Inflator!$B$6)</f>
    </oc>
    <nc r="B134"/>
  </rcc>
  <rcc rId="38698" sId="8">
    <oc r="C134">
      <f>'Sheet 6'!#REF!*Inflator!$B$7</f>
    </oc>
    <nc r="C134"/>
  </rcc>
  <rcc rId="38699" sId="8">
    <oc r="D134">
      <f>C134-B134</f>
    </oc>
    <nc r="D134"/>
  </rcc>
  <rcc rId="38700" sId="8">
    <oc r="E134">
      <f>D134/B134</f>
    </oc>
    <nc r="E134"/>
  </rcc>
  <rcc rId="38701" sId="8" numFmtId="11">
    <oc r="F134">
      <v>88377</v>
    </oc>
    <nc r="F134"/>
  </rcc>
  <rcc rId="38702" sId="8">
    <oc r="G134">
      <f>F134-C134</f>
    </oc>
    <nc r="G134"/>
  </rcc>
  <rcc rId="38703" sId="8">
    <oc r="H134">
      <f>G134/C134</f>
    </oc>
    <nc r="H134"/>
  </rcc>
  <rcc rId="38704" sId="8">
    <oc r="A135" t="inlineStr">
      <is>
        <t>Department of Disability Services*****</t>
      </is>
    </oc>
    <nc r="A135"/>
  </rcc>
  <rcc rId="38705" sId="8">
    <oc r="B135">
      <f>'Sheet 6'!#REF!*(Inflator!$B$6)</f>
    </oc>
    <nc r="B135"/>
  </rcc>
  <rcc rId="38706" sId="8">
    <oc r="C135">
      <f>'Sheet 6'!#REF!*Inflator!$B$7</f>
    </oc>
    <nc r="C135"/>
  </rcc>
  <rcc rId="38707" sId="8">
    <oc r="D135">
      <f>C135-B135</f>
    </oc>
    <nc r="D135"/>
  </rcc>
  <rcc rId="38708" sId="8">
    <oc r="E135">
      <f>D135/B135</f>
    </oc>
    <nc r="E135"/>
  </rcc>
  <rcc rId="38709" sId="8" numFmtId="11">
    <oc r="F135">
      <v>99663</v>
    </oc>
    <nc r="F135"/>
  </rcc>
  <rcc rId="38710" sId="8">
    <oc r="G135">
      <f>F135-C135</f>
    </oc>
    <nc r="G135"/>
  </rcc>
  <rcc rId="38711" sId="8">
    <oc r="H135">
      <f>G135/C135</f>
    </oc>
    <nc r="H135"/>
  </rcc>
  <rcc rId="38712" sId="8">
    <oc r="A136" t="inlineStr">
      <is>
        <t>Department of Health Care Finance**</t>
      </is>
    </oc>
    <nc r="A136"/>
  </rcc>
  <rcc rId="38713" sId="8">
    <oc r="B136">
      <f>'Sheet 6'!#REF!*(Inflator!$B$6)</f>
    </oc>
    <nc r="B136"/>
  </rcc>
  <rcc rId="38714" sId="8">
    <oc r="C136">
      <f>'Sheet 6'!#REF!*Inflator!$B$7</f>
    </oc>
    <nc r="C136"/>
  </rcc>
  <rcc rId="38715" sId="8">
    <oc r="D136">
      <f>C136-B136</f>
    </oc>
    <nc r="D136"/>
  </rcc>
  <rcc rId="38716" sId="8">
    <oc r="E136" t="inlineStr">
      <is>
        <t>—</t>
      </is>
    </oc>
    <nc r="E136"/>
  </rcc>
  <rcc rId="38717" sId="8" numFmtId="11">
    <oc r="F136">
      <v>2056710</v>
    </oc>
    <nc r="F136"/>
  </rcc>
  <rcc rId="38718" sId="8">
    <oc r="G136">
      <f>F136-C136</f>
    </oc>
    <nc r="G136"/>
  </rcc>
  <rcc rId="38719" sId="8">
    <oc r="H136">
      <f>G136/C136</f>
    </oc>
    <nc r="H136"/>
  </rcc>
  <rcc rId="38720" sId="8">
    <oc r="A137" t="inlineStr">
      <is>
        <t>Subtotal: Human Support Services</t>
      </is>
    </oc>
    <nc r="A137"/>
  </rcc>
  <rcc rId="38721" sId="8">
    <oc r="B137">
      <f>SUM(B121:B136)</f>
    </oc>
    <nc r="B137"/>
  </rcc>
  <rcc rId="38722" sId="8">
    <oc r="C137">
      <f>SUM(C121:C136)</f>
    </oc>
    <nc r="C137"/>
  </rcc>
  <rcc rId="38723" sId="8">
    <oc r="D137">
      <f>C137-B137</f>
    </oc>
    <nc r="D137"/>
  </rcc>
  <rcc rId="38724" sId="8">
    <oc r="E137">
      <f>D137/B137</f>
    </oc>
    <nc r="E137"/>
  </rcc>
  <rcc rId="38725" sId="8">
    <oc r="F137">
      <f>SUM(F121:F136)</f>
    </oc>
    <nc r="F137"/>
  </rcc>
  <rcc rId="38726" sId="8">
    <oc r="G137">
      <f>F137-C137</f>
    </oc>
    <nc r="G137"/>
  </rcc>
  <rcc rId="38727" sId="8">
    <oc r="H137">
      <f>G137/C137</f>
    </oc>
    <nc r="H137"/>
  </rcc>
  <rcc rId="38728" sId="8">
    <oc r="A139" t="inlineStr">
      <is>
        <t>Notes for Human Support Services:</t>
      </is>
    </oc>
    <nc r="A139"/>
  </rcc>
  <rcc rId="38729" sId="8">
    <oc r="A141" t="inlineStr">
      <is>
        <r>
          <t xml:space="preserve">* </t>
        </r>
        <r>
          <rPr>
            <i/>
            <sz val="10"/>
            <rFont val="Arial"/>
            <family val="2"/>
          </rPr>
          <t>Eliminated in 2004</t>
        </r>
      </is>
    </oc>
    <nc r="A141"/>
  </rcc>
  <rcc rId="38730" sId="8">
    <oc r="A142" t="inlineStr">
      <is>
        <t>** Before FY 2009, the Dept. of Health Care Finance was part of the Dept. of Health</t>
      </is>
    </oc>
    <nc r="A142"/>
  </rcc>
  <rcc rId="38731" sId="8">
    <oc r="A143" t="inlineStr">
      <is>
        <t>*** Before FY 2007, this agency was part of the Human Services Cluster.  As of FY 2007 it is part of the Department of the Environment, under the Public Works *cluster.</t>
      </is>
    </oc>
    <nc r="A143"/>
  </rcc>
  <rcc rId="38732" sId="8">
    <oc r="A144" t="inlineStr">
      <is>
        <t>**** Before FY 2007, this agency was part of the Department of Human Services.</t>
      </is>
    </oc>
    <nc r="A144"/>
  </rcc>
  <rcc rId="38733" sId="8">
    <oc r="A145" t="inlineStr">
      <is>
        <t>***** Before FY 2008, this agency was part of the Department of Human Services.</t>
      </is>
    </oc>
    <nc r="A145"/>
  </rcc>
  <rcc rId="38734" sId="8">
    <oc r="A147" t="inlineStr">
      <is>
        <t>Public Works</t>
      </is>
    </oc>
    <nc r="A147"/>
  </rcc>
  <rcc rId="38735" sId="8">
    <oc r="A148" t="inlineStr">
      <is>
        <t>Department of Public Works</t>
      </is>
    </oc>
    <nc r="A148"/>
  </rcc>
  <rcc rId="38736" sId="8">
    <oc r="B148">
      <f>'Sheet 6'!#REF!*(Inflator!$B$6)</f>
    </oc>
    <nc r="B148"/>
  </rcc>
  <rcc rId="38737" sId="8">
    <oc r="C148">
      <f>'Sheet 6'!#REF!*Inflator!$B$7</f>
    </oc>
    <nc r="C148"/>
  </rcc>
  <rcc rId="38738" sId="8">
    <oc r="D148">
      <f>C148-B148</f>
    </oc>
    <nc r="D148"/>
  </rcc>
  <rcc rId="38739" sId="8">
    <oc r="E148">
      <f>D148/B148</f>
    </oc>
    <nc r="E148"/>
  </rcc>
  <rcc rId="38740" sId="8" numFmtId="11">
    <oc r="F148">
      <v>120999</v>
    </oc>
    <nc r="F148"/>
  </rcc>
  <rcc rId="38741" sId="8">
    <oc r="G148">
      <f>F148-C148</f>
    </oc>
    <nc r="G148"/>
  </rcc>
  <rcc rId="38742" sId="8">
    <oc r="H148">
      <f>G148/C148</f>
    </oc>
    <nc r="H148"/>
  </rcc>
  <rcc rId="38743" sId="8">
    <oc r="A149" t="inlineStr">
      <is>
        <t>Department of Transportation*</t>
      </is>
    </oc>
    <nc r="A149"/>
  </rcc>
  <rcc rId="38744" sId="8">
    <oc r="B149">
      <f>'Sheet 6'!#REF!*(Inflator!$B$6)</f>
    </oc>
    <nc r="B149"/>
  </rcc>
  <rcc rId="38745" sId="8">
    <oc r="C149">
      <f>'Sheet 6'!#REF!*Inflator!$B$7</f>
    </oc>
    <nc r="C149"/>
  </rcc>
  <rcc rId="38746" sId="8">
    <oc r="D149">
      <f>C149-B149</f>
    </oc>
    <nc r="D149"/>
  </rcc>
  <rcc rId="38747" sId="8">
    <oc r="E149">
      <f>D149/B149</f>
    </oc>
    <nc r="E149"/>
  </rcc>
  <rcc rId="38748" sId="8" numFmtId="11">
    <oc r="F149">
      <v>145463</v>
    </oc>
    <nc r="F149"/>
  </rcc>
  <rcc rId="38749" sId="8">
    <oc r="G149">
      <f>F149-C149</f>
    </oc>
    <nc r="G149"/>
  </rcc>
  <rcc rId="38750" sId="8">
    <oc r="H149">
      <f>G149/C149</f>
    </oc>
    <nc r="H149"/>
  </rcc>
  <rcc rId="38751" sId="8">
    <oc r="A150" t="inlineStr">
      <is>
        <t>Department of Motor Vehicles</t>
      </is>
    </oc>
    <nc r="A150"/>
  </rcc>
  <rcc rId="38752" sId="8">
    <oc r="B150">
      <f>'Sheet 6'!#REF!*(Inflator!$B$6)</f>
    </oc>
    <nc r="B150"/>
  </rcc>
  <rcc rId="38753" sId="8">
    <oc r="C150">
      <f>'Sheet 6'!#REF!*Inflator!$B$7</f>
    </oc>
    <nc r="C150"/>
  </rcc>
  <rcc rId="38754" sId="8">
    <oc r="D150">
      <f>C150-B150</f>
    </oc>
    <nc r="D150"/>
  </rcc>
  <rcc rId="38755" sId="8">
    <oc r="E150">
      <f>D150/B150</f>
    </oc>
    <nc r="E150"/>
  </rcc>
  <rcc rId="38756" sId="8" numFmtId="11">
    <oc r="F150">
      <v>42258</v>
    </oc>
    <nc r="F150"/>
  </rcc>
  <rcc rId="38757" sId="8">
    <oc r="G150">
      <f>F150-C150</f>
    </oc>
    <nc r="G150"/>
  </rcc>
  <rcc rId="38758" sId="8">
    <oc r="H150">
      <f>G150/C150</f>
    </oc>
    <nc r="H150"/>
  </rcc>
  <rcc rId="38759" sId="8">
    <oc r="A151" t="inlineStr">
      <is>
        <t>District Department of the Environment**</t>
      </is>
    </oc>
    <nc r="A151"/>
  </rcc>
  <rcc rId="38760" sId="8">
    <oc r="B151">
      <f>'Sheet 6'!#REF!*(Inflator!$B$6)</f>
    </oc>
    <nc r="B151"/>
  </rcc>
  <rcc rId="38761" sId="8">
    <oc r="C151">
      <f>'Sheet 6'!#REF!*Inflator!$B$7</f>
    </oc>
    <nc r="C151"/>
  </rcc>
  <rcc rId="38762" sId="8">
    <oc r="D151">
      <f>C151-B151</f>
    </oc>
    <nc r="D151"/>
  </rcc>
  <rcc rId="38763" sId="8">
    <oc r="E151">
      <f>D151/B151</f>
    </oc>
    <nc r="E151"/>
  </rcc>
  <rcc rId="38764" sId="8" numFmtId="11">
    <oc r="F151">
      <v>100595</v>
    </oc>
    <nc r="F151"/>
  </rcc>
  <rcc rId="38765" sId="8">
    <oc r="G151">
      <f>F151-C151</f>
    </oc>
    <nc r="G151"/>
  </rcc>
  <rcc rId="38766" sId="8">
    <oc r="H151">
      <f>G151/C151</f>
    </oc>
    <nc r="H151"/>
  </rcc>
  <rcc rId="38767" sId="8">
    <oc r="A152" t="inlineStr">
      <is>
        <t>Taxicab Commission</t>
      </is>
    </oc>
    <nc r="A152"/>
  </rcc>
  <rcc rId="38768" sId="8">
    <oc r="B152">
      <f>'Sheet 6'!#REF!*(Inflator!$B$6)</f>
    </oc>
    <nc r="B152"/>
  </rcc>
  <rcc rId="38769" sId="8">
    <oc r="C152">
      <f>'Sheet 6'!#REF!*Inflator!$B$7</f>
    </oc>
    <nc r="C152"/>
  </rcc>
  <rcc rId="38770" sId="8">
    <oc r="D152">
      <f>C152-B152</f>
    </oc>
    <nc r="D152"/>
  </rcc>
  <rcc rId="38771" sId="8">
    <oc r="E152">
      <f>D152/B152</f>
    </oc>
    <nc r="E152"/>
  </rcc>
  <rcc rId="38772" sId="8" numFmtId="11">
    <oc r="F152">
      <v>1750</v>
    </oc>
    <nc r="F152"/>
  </rcc>
  <rcc rId="38773" sId="8">
    <oc r="G152">
      <f>F152-C152</f>
    </oc>
    <nc r="G152"/>
  </rcc>
  <rcc rId="38774" sId="8">
    <oc r="H152">
      <f>G152/C152</f>
    </oc>
    <nc r="H152"/>
  </rcc>
  <rcc rId="38775" sId="8">
    <oc r="A153" t="inlineStr">
      <is>
        <t>Washington Metropolitan Area Transit Commission</t>
      </is>
    </oc>
    <nc r="A153"/>
  </rcc>
  <rcc rId="38776" sId="8">
    <oc r="B153">
      <f>'Sheet 6'!#REF!*(Inflator!$B$6)</f>
    </oc>
    <nc r="B153"/>
  </rcc>
  <rcc rId="38777" sId="8">
    <oc r="C153">
      <f>'Sheet 6'!#REF!*Inflator!$B$7</f>
    </oc>
    <nc r="C153"/>
  </rcc>
  <rcc rId="38778" sId="8">
    <oc r="D153">
      <f>C153-B153</f>
    </oc>
    <nc r="D153"/>
  </rcc>
  <rcc rId="38779" sId="8">
    <oc r="E153">
      <f>D153/B153</f>
    </oc>
    <nc r="E153"/>
  </rcc>
  <rcc rId="38780" sId="8" numFmtId="11">
    <oc r="F153">
      <v>123</v>
    </oc>
    <nc r="F153"/>
  </rcc>
  <rcc rId="38781" sId="8">
    <oc r="G153">
      <f>F153-C153</f>
    </oc>
    <nc r="G153"/>
  </rcc>
  <rcc rId="38782" sId="8">
    <oc r="H153">
      <f>G153/C153</f>
    </oc>
    <nc r="H153"/>
  </rcc>
  <rcc rId="38783" sId="8">
    <oc r="A154" t="inlineStr">
      <is>
        <t>Washington Metropolitan Area Transit Authority</t>
      </is>
    </oc>
    <nc r="A154"/>
  </rcc>
  <rcc rId="38784" sId="8">
    <oc r="B154">
      <f>'Sheet 6'!#REF!*(Inflator!$B$6)</f>
    </oc>
    <nc r="B154"/>
  </rcc>
  <rcc rId="38785" sId="8">
    <oc r="C154">
      <f>'Sheet 6'!#REF!*Inflator!$B$7</f>
    </oc>
    <nc r="C154"/>
  </rcc>
  <rcc rId="38786" sId="8">
    <oc r="D154">
      <f>C154-B154</f>
    </oc>
    <nc r="D154"/>
  </rcc>
  <rcc rId="38787" sId="8">
    <oc r="E154">
      <f>D154/B154</f>
    </oc>
    <nc r="E154"/>
  </rcc>
  <rcc rId="38788" sId="8" numFmtId="11">
    <oc r="F154">
      <v>248628</v>
    </oc>
    <nc r="F154"/>
  </rcc>
  <rcc rId="38789" sId="8">
    <oc r="G154">
      <f>F154-C154</f>
    </oc>
    <nc r="G154"/>
  </rcc>
  <rcc rId="38790" sId="8">
    <oc r="H154">
      <f>G154/C154</f>
    </oc>
    <nc r="H154"/>
  </rcc>
  <rcc rId="38791" sId="8">
    <oc r="A155" t="inlineStr">
      <is>
        <t>School Transit Subsidy</t>
      </is>
    </oc>
    <nc r="A155"/>
  </rcc>
  <rcc rId="38792" sId="8">
    <oc r="B155">
      <f>'Sheet 6'!#REF!*(Inflator!$B$6)</f>
    </oc>
    <nc r="B155"/>
  </rcc>
  <rcc rId="38793" sId="8">
    <oc r="C155">
      <f>'Sheet 6'!#REF!*Inflator!$B$7</f>
    </oc>
    <nc r="C155"/>
  </rcc>
  <rcc rId="38794" sId="8">
    <oc r="D155">
      <f>C155-B155</f>
    </oc>
    <nc r="D155"/>
  </rcc>
  <rcc rId="38795" sId="8">
    <oc r="E155">
      <f>D155/B155</f>
    </oc>
    <nc r="E155"/>
  </rcc>
  <rcc rId="38796" sId="8" numFmtId="11">
    <oc r="F155">
      <v>7843</v>
    </oc>
    <nc r="F155"/>
  </rcc>
  <rcc rId="38797" sId="8">
    <oc r="G155">
      <f>F155-C155</f>
    </oc>
    <nc r="G155"/>
  </rcc>
  <rcc rId="38798" sId="8">
    <oc r="H155">
      <f>G155/C155</f>
    </oc>
    <nc r="H155"/>
  </rcc>
  <rcc rId="38799" sId="8">
    <oc r="A156" t="inlineStr">
      <is>
        <t>Subtotal: Public Works</t>
      </is>
    </oc>
    <nc r="A156"/>
  </rcc>
  <rcc rId="38800" sId="8">
    <oc r="B156">
      <f>SUM(B148:B155)</f>
    </oc>
    <nc r="B156"/>
  </rcc>
  <rcc rId="38801" sId="8">
    <oc r="C156">
      <f>SUM(C148:C155)</f>
    </oc>
    <nc r="C156"/>
  </rcc>
  <rcc rId="38802" sId="8">
    <oc r="D156">
      <f>C156-B156</f>
    </oc>
    <nc r="D156"/>
  </rcc>
  <rcc rId="38803" sId="8">
    <oc r="E156">
      <f>D156/B156</f>
    </oc>
    <nc r="E156"/>
  </rcc>
  <rcc rId="38804" sId="8">
    <oc r="F156">
      <f>SUM(F148:F155)</f>
    </oc>
    <nc r="F156"/>
  </rcc>
  <rcc rId="38805" sId="8">
    <oc r="G156">
      <f>F156-C156</f>
    </oc>
    <nc r="G156"/>
  </rcc>
  <rcc rId="38806" sId="8">
    <oc r="H156">
      <f>G156/C156</f>
    </oc>
    <nc r="H156"/>
  </rcc>
  <rcc rId="38807" sId="8">
    <oc r="A158" t="inlineStr">
      <is>
        <t xml:space="preserve">Notes for Public Works: </t>
      </is>
    </oc>
    <nc r="A158"/>
  </rcc>
  <rcc rId="38808" sId="8">
    <oc r="A159" t="inlineStr">
      <is>
        <t>* The FY 2008 budget includes roughly $68 million in transportation funds that in prior year were reported in the DOT capital budget</t>
      </is>
    </oc>
    <nc r="A159"/>
  </rcc>
  <rcc rId="38809" sId="8">
    <oc r="A160" t="inlineStr">
      <is>
        <t>**This agency was established in FY 2007.</t>
      </is>
    </oc>
    <nc r="A160"/>
  </rcc>
  <rcc rId="38810" sId="8">
    <oc r="A162" t="inlineStr">
      <is>
        <t>Financing and Other</t>
      </is>
    </oc>
    <nc r="A162"/>
  </rcc>
  <rcc rId="38811" sId="8">
    <oc r="A163" t="inlineStr">
      <is>
        <t>TOTAL: Debt Services Agencies (includes DS0, ZA0, CP0, ZB0, SM0, DT0)</t>
      </is>
    </oc>
    <nc r="A163"/>
  </rcc>
  <rcc rId="38812" sId="8" numFmtId="11">
    <oc r="B163">
      <v>482785</v>
    </oc>
    <nc r="B163"/>
  </rcc>
  <rcc rId="38813" sId="8">
    <oc r="C163">
      <f>'Sheet 6'!#REF!*Inflator!$B$7</f>
    </oc>
    <nc r="C163"/>
  </rcc>
  <rcc rId="38814" sId="8">
    <oc r="D163">
      <f>C163-B163</f>
    </oc>
    <nc r="D163"/>
  </rcc>
  <rcc rId="38815" sId="8">
    <oc r="E163">
      <f>D163/B163</f>
    </oc>
    <nc r="E163"/>
  </rcc>
  <rcc rId="38816" sId="8" numFmtId="11">
    <oc r="F163">
      <v>546045</v>
    </oc>
    <nc r="F163"/>
  </rcc>
  <rcc rId="38817" sId="8">
    <oc r="G163">
      <f>F163-C163</f>
    </oc>
    <nc r="G163"/>
  </rcc>
  <rcc rId="38818" sId="8">
    <oc r="H163">
      <f>G163/C163</f>
    </oc>
    <nc r="H163"/>
  </rcc>
  <rcc rId="38819" sId="8">
    <oc r="A164" t="inlineStr">
      <is>
        <t xml:space="preserve">Repayment of Loans and Interest </t>
      </is>
    </oc>
    <nc r="A164"/>
  </rcc>
  <rcc rId="38820" sId="8" numFmtId="11">
    <oc r="B164">
      <v>420827</v>
    </oc>
    <nc r="B164"/>
  </rcc>
  <rcc rId="38821" sId="8">
    <oc r="C164">
      <f>'Sheet 6'!#REF!*Inflator!$B$7</f>
    </oc>
    <nc r="C164"/>
  </rcc>
  <rcc rId="38822" sId="8">
    <oc r="D164">
      <f>C164-B164</f>
    </oc>
    <nc r="D164"/>
  </rcc>
  <rcc rId="38823" sId="8">
    <oc r="E164">
      <f>D164/B164</f>
    </oc>
    <nc r="E164"/>
  </rcc>
  <rcc rId="38824" sId="8" numFmtId="11">
    <oc r="F164">
      <v>475148</v>
    </oc>
    <nc r="F164"/>
  </rcc>
  <rcc rId="38825" sId="8">
    <oc r="G164">
      <f>F164-C164</f>
    </oc>
    <nc r="G164"/>
  </rcc>
  <rcc rId="38826" sId="8">
    <oc r="H164">
      <f>G164/C164</f>
    </oc>
    <nc r="H164"/>
  </rcc>
  <rcc rId="38827" sId="8">
    <oc r="A165" t="inlineStr">
      <is>
        <t>Short-term Borrowing</t>
      </is>
    </oc>
    <nc r="A165"/>
  </rcc>
  <rcc rId="38828" sId="8" numFmtId="11">
    <oc r="B165">
      <v>7849</v>
    </oc>
    <nc r="B165"/>
  </rcc>
  <rcc rId="38829" sId="8">
    <oc r="C165">
      <f>'Sheet 6'!#REF!*Inflator!$B$7</f>
    </oc>
    <nc r="C165"/>
  </rcc>
  <rcc rId="38830" sId="8">
    <oc r="D165">
      <f>C165-B165</f>
    </oc>
    <nc r="D165"/>
  </rcc>
  <rcc rId="38831" sId="8">
    <oc r="E165">
      <f>D165/B165</f>
    </oc>
    <nc r="E165"/>
  </rcc>
  <rcc rId="38832" sId="8" numFmtId="11">
    <oc r="F165">
      <v>9000</v>
    </oc>
    <nc r="F165"/>
  </rcc>
  <rcc rId="38833" sId="8">
    <oc r="G165">
      <f>F165-C165</f>
    </oc>
    <nc r="G165"/>
  </rcc>
  <rcc rId="38834" sId="8">
    <oc r="H165">
      <f>G165/C165</f>
    </oc>
    <nc r="H165"/>
  </rcc>
  <rcc rId="38835" sId="8">
    <oc r="A166" t="inlineStr">
      <is>
        <t>Certificate of Participation - One Judiciary Square</t>
      </is>
    </oc>
    <nc r="A166"/>
  </rcc>
  <rcc rId="38836" sId="8" numFmtId="11">
    <oc r="B166">
      <v>30664</v>
    </oc>
    <nc r="B166"/>
  </rcc>
  <rcc rId="38837" sId="8">
    <oc r="C166">
      <f>'Sheet 6'!#REF!*Inflator!$B$7</f>
    </oc>
    <nc r="C166"/>
  </rcc>
  <rcc rId="38838" sId="8">
    <oc r="D166">
      <f>C166-B166</f>
    </oc>
    <nc r="D166"/>
  </rcc>
  <rcc rId="38839" sId="8">
    <oc r="E166">
      <f>D166/B166</f>
    </oc>
    <nc r="E166"/>
  </rcc>
  <rcc rId="38840" sId="8" numFmtId="11">
    <oc r="F166">
      <v>32285</v>
    </oc>
    <nc r="F166"/>
  </rcc>
  <rcc rId="38841" sId="8">
    <oc r="G166">
      <f>F166-C166</f>
    </oc>
    <nc r="G166"/>
  </rcc>
  <rcc rId="38842" sId="8">
    <oc r="H166">
      <f>G166/C166</f>
    </oc>
    <nc r="H166"/>
  </rcc>
  <rcc rId="38843" sId="8">
    <oc r="A167" t="inlineStr">
      <is>
        <t>Settlements and Judgements</t>
      </is>
    </oc>
    <nc r="A167"/>
  </rcc>
  <rcc rId="38844" sId="8" numFmtId="11">
    <oc r="B167">
      <v>21015</v>
    </oc>
    <nc r="B167"/>
  </rcc>
  <rcc rId="38845" sId="8">
    <oc r="C167">
      <f>'Sheet 6'!#REF!*Inflator!$B$7</f>
    </oc>
    <nc r="C167"/>
  </rcc>
  <rcc rId="38846" sId="8">
    <oc r="D167">
      <f>C167-B167</f>
    </oc>
    <nc r="D167"/>
  </rcc>
  <rcc rId="38847" sId="8">
    <oc r="E167">
      <f>D167/B167</f>
    </oc>
    <nc r="E167"/>
  </rcc>
  <rcc rId="38848" sId="8" numFmtId="11">
    <oc r="F167">
      <v>21477</v>
    </oc>
    <nc r="F167"/>
  </rcc>
  <rcc rId="38849" sId="8">
    <oc r="G167">
      <f>F167-C167</f>
    </oc>
    <nc r="G167"/>
  </rcc>
  <rcc rId="38850" sId="8">
    <oc r="H167">
      <f>G167/C167</f>
    </oc>
    <nc r="H167"/>
  </rcc>
  <rcc rId="38851" sId="8">
    <oc r="A168" t="inlineStr">
      <is>
        <t>John A. Wilson Building Fund</t>
      </is>
    </oc>
    <nc r="A168"/>
  </rcc>
  <rcc rId="38852" sId="8" numFmtId="11">
    <oc r="B168">
      <v>4147</v>
    </oc>
    <nc r="B168"/>
  </rcc>
  <rcc rId="38853" sId="8">
    <oc r="C168">
      <f>'Sheet 6'!#REF!*Inflator!$B$7</f>
    </oc>
    <nc r="C168"/>
  </rcc>
  <rcc rId="38854" sId="8">
    <oc r="D168">
      <f>C168-B168</f>
    </oc>
    <nc r="D168"/>
  </rcc>
  <rcc rId="38855" sId="8">
    <oc r="E168">
      <f>D168/B168</f>
    </oc>
    <nc r="E168"/>
  </rcc>
  <rcc rId="38856" sId="8" numFmtId="11">
    <oc r="F168">
      <v>3625</v>
    </oc>
    <nc r="F168"/>
  </rcc>
  <rcc rId="38857" sId="8">
    <oc r="G168">
      <f>F168-C168</f>
    </oc>
    <nc r="G168"/>
  </rcc>
  <rcc rId="38858" sId="8">
    <oc r="H168">
      <f>G168/C168</f>
    </oc>
    <nc r="H168"/>
  </rcc>
  <rcc rId="38859" sId="8">
    <oc r="A169" t="inlineStr">
      <is>
        <t>Workforce Investments</t>
      </is>
    </oc>
    <nc r="A169"/>
  </rcc>
  <rcc rId="38860" sId="8" numFmtId="11">
    <oc r="B169">
      <v>21044</v>
    </oc>
    <nc r="B169"/>
  </rcc>
  <rcc rId="38861" sId="8">
    <oc r="C169">
      <f>'Sheet 6'!#REF!*Inflator!$B$7</f>
    </oc>
    <nc r="C169"/>
  </rcc>
  <rcc rId="38862" sId="8">
    <oc r="D169">
      <f>C169-B169</f>
    </oc>
    <nc r="D169"/>
  </rcc>
  <rcc rId="38863" sId="8">
    <oc r="E169">
      <f>D169/B169</f>
    </oc>
    <nc r="E169"/>
  </rcc>
  <rcc rId="38864" sId="8" numFmtId="11">
    <oc r="F169">
      <v>0</v>
    </oc>
    <nc r="F169"/>
  </rcc>
  <rcc rId="38865" sId="8">
    <oc r="G169">
      <f>F169-C169</f>
    </oc>
    <nc r="G169"/>
  </rcc>
  <rcc rId="38866" sId="8">
    <oc r="H169">
      <f>G169/C169</f>
    </oc>
    <nc r="H169"/>
  </rcc>
  <rcc rId="38867" sId="8">
    <oc r="A170" t="inlineStr">
      <is>
        <t xml:space="preserve">Non-Departmental   </t>
      </is>
    </oc>
    <nc r="A170"/>
  </rcc>
  <rcc rId="38868" sId="8" numFmtId="11">
    <oc r="B170">
      <v>0</v>
    </oc>
    <nc r="B170"/>
  </rcc>
  <rcc rId="38869" sId="8">
    <oc r="C170">
      <f>'Sheet 6'!#REF!*Inflator!$B$7</f>
    </oc>
    <nc r="C170"/>
  </rcc>
  <rcc rId="38870" sId="8">
    <oc r="D170">
      <f>C170-B170</f>
    </oc>
    <nc r="D170"/>
  </rcc>
  <rcc rId="38871" sId="8">
    <oc r="E170" t="inlineStr">
      <is>
        <t>—</t>
      </is>
    </oc>
    <nc r="E170"/>
  </rcc>
  <rcc rId="38872" sId="8" numFmtId="11">
    <oc r="F170">
      <v>12697</v>
    </oc>
    <nc r="F170"/>
  </rcc>
  <rcc rId="38873" sId="8">
    <oc r="G170">
      <f>F170-C170</f>
    </oc>
    <nc r="G170"/>
  </rcc>
  <rcc rId="38874" sId="8">
    <oc r="H170">
      <f>G170/C170</f>
    </oc>
    <nc r="H170"/>
  </rcc>
  <rcc rId="38875" sId="8">
    <oc r="A171" t="inlineStr">
      <is>
        <t>Budget Reserve*</t>
      </is>
    </oc>
    <nc r="A171"/>
  </rcc>
  <rcc rId="38876" sId="8" numFmtId="11">
    <oc r="B171">
      <v>0</v>
    </oc>
    <nc r="B171"/>
  </rcc>
  <rcc rId="38877" sId="8">
    <oc r="C171">
      <f>'Sheet 6'!#REF!*Inflator!$B$7</f>
    </oc>
    <nc r="C171"/>
  </rcc>
  <rcc rId="38878" sId="8">
    <oc r="D171">
      <f>C171-B171</f>
    </oc>
    <nc r="D171"/>
  </rcc>
  <rcc rId="38879" sId="8">
    <oc r="E171" t="inlineStr">
      <is>
        <t>—</t>
      </is>
    </oc>
    <nc r="E171"/>
  </rcc>
  <rcc rId="38880" sId="8" numFmtId="11">
    <oc r="F171">
      <v>0</v>
    </oc>
    <nc r="F171"/>
  </rcc>
  <rcc rId="38881" sId="8">
    <oc r="G171">
      <f>F171-C171</f>
    </oc>
    <nc r="G171"/>
  </rcc>
  <rcc rId="38882" sId="8">
    <oc r="H171">
      <f>G171/C171</f>
    </oc>
    <nc r="H171"/>
  </rcc>
  <rcc rId="38883" sId="8">
    <oc r="A172" t="inlineStr">
      <is>
        <t>Equipment Lease Operating</t>
      </is>
    </oc>
    <nc r="A172"/>
  </rcc>
  <rcc rId="38884" sId="8" numFmtId="11">
    <oc r="B172">
      <v>29896</v>
    </oc>
    <nc r="B172"/>
  </rcc>
  <rcc rId="38885" sId="8">
    <oc r="C172">
      <f>'Sheet 6'!#REF!*Inflator!$B$7</f>
    </oc>
    <nc r="C172"/>
  </rcc>
  <rcc rId="38886" sId="8">
    <oc r="D172">
      <f>C172-B172</f>
    </oc>
    <nc r="D172"/>
  </rcc>
  <rcc rId="38887" sId="8">
    <oc r="E172">
      <f>D172/B172</f>
    </oc>
    <nc r="E172"/>
  </rcc>
  <rcc rId="38888" sId="8" numFmtId="11">
    <oc r="F172">
      <v>46157</v>
    </oc>
    <nc r="F172"/>
  </rcc>
  <rcc rId="38889" sId="8">
    <oc r="G172">
      <f>F172-C172</f>
    </oc>
    <nc r="G172"/>
  </rcc>
  <rcc rId="38890" sId="8">
    <oc r="H172">
      <f>G172/C172</f>
    </oc>
    <nc r="H172"/>
  </rcc>
  <rcc rId="38891" sId="8">
    <oc r="A173" t="inlineStr">
      <is>
        <t>School Modernization Fund</t>
      </is>
    </oc>
    <nc r="A173"/>
  </rcc>
  <rcc rId="38892" sId="8" numFmtId="11">
    <oc r="B173">
      <v>4716</v>
    </oc>
    <nc r="B173"/>
  </rcc>
  <rcc rId="38893" sId="8">
    <oc r="C173">
      <f>'Sheet 6'!#REF!*Inflator!$B$7</f>
    </oc>
    <nc r="C173"/>
  </rcc>
  <rcc rId="38894" sId="8">
    <oc r="D173">
      <f>C173-B173</f>
    </oc>
    <nc r="D173"/>
  </rcc>
  <rcc rId="38895" sId="8">
    <oc r="E173">
      <f>D173/B173</f>
    </oc>
    <nc r="E173"/>
  </rcc>
  <rcc rId="38896" sId="8" numFmtId="11">
    <oc r="F173">
      <v>8612</v>
    </oc>
    <nc r="F173"/>
  </rcc>
  <rcc rId="38897" sId="8">
    <oc r="G173">
      <f>F173-C173</f>
    </oc>
    <nc r="G173"/>
  </rcc>
  <rcc rId="38898" sId="8">
    <oc r="H173">
      <f>G173/C173</f>
    </oc>
    <nc r="H173"/>
  </rcc>
  <rcc rId="38899" sId="8">
    <oc r="A174" t="inlineStr">
      <is>
        <t>Pay-As-You-Go Capital Fund</t>
      </is>
    </oc>
    <nc r="A174"/>
  </rcc>
  <rcc rId="38900" sId="8" numFmtId="11">
    <oc r="B174">
      <v>140737</v>
    </oc>
    <nc r="B174"/>
  </rcc>
  <rcc rId="38901" sId="8">
    <oc r="C174">
      <f>'Sheet 6'!#REF!*Inflator!$B$7</f>
    </oc>
    <nc r="C174"/>
  </rcc>
  <rcc rId="38902" sId="8">
    <oc r="D174">
      <f>C174-B174</f>
    </oc>
    <nc r="D174"/>
  </rcc>
  <rcc rId="38903" sId="8">
    <oc r="E174">
      <f>D174/B174</f>
    </oc>
    <nc r="E174"/>
  </rcc>
  <rcc rId="38904" sId="8" numFmtId="11">
    <oc r="F174">
      <v>2984</v>
    </oc>
    <nc r="F174"/>
  </rcc>
  <rcc rId="38905" sId="8">
    <oc r="G174">
      <f>F174-C174</f>
    </oc>
    <nc r="G174"/>
  </rcc>
  <rcc rId="38906" sId="8">
    <oc r="H174">
      <f>G174/C174</f>
    </oc>
    <nc r="H174"/>
  </rcc>
  <rcc rId="38907" sId="8">
    <oc r="A175" t="inlineStr">
      <is>
        <t>Debt Service - Issuance Costs</t>
      </is>
    </oc>
    <nc r="A175"/>
  </rcc>
  <rcc rId="38908" sId="8" numFmtId="11">
    <oc r="B175">
      <v>16216</v>
    </oc>
    <nc r="B175"/>
  </rcc>
  <rcc rId="38909" sId="8">
    <oc r="C175">
      <f>'Sheet 6'!#REF!*Inflator!$B$7</f>
    </oc>
    <nc r="C175"/>
  </rcc>
  <rcc rId="38910" sId="8">
    <oc r="D175">
      <f>C175-B175</f>
    </oc>
    <nc r="D175"/>
  </rcc>
  <rcc rId="38911" sId="8">
    <oc r="E175">
      <f>D175/B175</f>
    </oc>
    <nc r="E175"/>
  </rcc>
  <rcc rId="38912" sId="8" numFmtId="11">
    <oc r="F175">
      <v>15000</v>
    </oc>
    <nc r="F175"/>
  </rcc>
  <rcc rId="38913" sId="8">
    <oc r="G175">
      <f>F175-C175</f>
    </oc>
    <nc r="G175"/>
  </rcc>
  <rcc rId="38914" sId="8">
    <oc r="H175">
      <f>G175/C175</f>
    </oc>
    <nc r="H175"/>
  </rcc>
  <rcc rId="38915" sId="8">
    <oc r="A176" t="inlineStr">
      <is>
        <t>Tax Increment Financing</t>
      </is>
    </oc>
    <nc r="A176"/>
  </rcc>
  <rcc rId="38916" sId="8" numFmtId="11">
    <oc r="B176">
      <v>17551</v>
    </oc>
    <nc r="B176"/>
  </rcc>
  <rcc rId="38917" sId="8">
    <oc r="C176">
      <f>'Sheet 6'!#REF!*Inflator!$B$7</f>
    </oc>
    <nc r="C176"/>
  </rcc>
  <rcc rId="38918" sId="8">
    <oc r="D176">
      <f>C176-B176</f>
    </oc>
    <nc r="D176"/>
  </rcc>
  <rcc rId="38919" sId="8">
    <oc r="E176">
      <f>D176/B176</f>
    </oc>
    <nc r="E176"/>
  </rcc>
  <rcc rId="38920" sId="8" numFmtId="11">
    <oc r="F176">
      <v>38887</v>
    </oc>
    <nc r="F176"/>
  </rcc>
  <rcc rId="38921" sId="8">
    <oc r="G176">
      <f>F176-C176</f>
    </oc>
    <nc r="G176"/>
  </rcc>
  <rcc rId="38922" sId="8">
    <oc r="H176">
      <f>G176/C176</f>
    </oc>
    <nc r="H176"/>
  </rcc>
  <rcc rId="38923" sId="8">
    <oc r="A177" t="inlineStr">
      <is>
        <t>Retiree Health Contribution</t>
      </is>
    </oc>
    <nc r="A177"/>
  </rcc>
  <rcc rId="38924" sId="8" numFmtId="11">
    <oc r="B177">
      <v>110907</v>
    </oc>
    <nc r="B177"/>
  </rcc>
  <rcc rId="38925" sId="8">
    <oc r="C177">
      <f>'Sheet 6'!#REF!*Inflator!$B$7</f>
    </oc>
    <nc r="C177"/>
  </rcc>
  <rcc rId="38926" sId="8">
    <oc r="D177">
      <f>C177-B177</f>
    </oc>
    <nc r="D177"/>
  </rcc>
  <rcc rId="38927" sId="8">
    <oc r="E177">
      <f>D177/B177</f>
    </oc>
    <nc r="E177"/>
  </rcc>
  <rcc rId="38928" sId="8" numFmtId="11">
    <oc r="F177">
      <v>88700</v>
    </oc>
    <nc r="F177"/>
  </rcc>
  <rcc rId="38929" sId="8">
    <oc r="G177">
      <f>F177-C177</f>
    </oc>
    <nc r="G177"/>
  </rcc>
  <rcc rId="38930" sId="8">
    <oc r="H177">
      <f>G177/C177</f>
    </oc>
    <nc r="H177"/>
  </rcc>
  <rcc rId="38931" sId="8">
    <oc r="A178" t="inlineStr">
      <is>
        <t>Repayment of Revenue Bonds (HPTF Securitization)</t>
      </is>
    </oc>
    <nc r="A178"/>
  </rcc>
  <rcc rId="38932" sId="8" numFmtId="11">
    <oc r="B178">
      <v>2512</v>
    </oc>
    <nc r="B178"/>
  </rcc>
  <rcc rId="38933" sId="8">
    <oc r="C178">
      <f>'Sheet 6'!#REF!*Inflator!$B$7</f>
    </oc>
    <nc r="C178"/>
  </rcc>
  <rcc rId="38934" sId="8">
    <oc r="D178">
      <f>C178-B178</f>
    </oc>
    <nc r="D178"/>
  </rcc>
  <rcc rId="38935" sId="8">
    <oc r="E178">
      <f>D178/B178</f>
    </oc>
    <nc r="E178"/>
  </rcc>
  <rcc rId="38936" sId="8" numFmtId="11">
    <oc r="F178">
      <v>6000</v>
    </oc>
    <nc r="F178"/>
  </rcc>
  <rcc rId="38937" sId="8">
    <oc r="G178">
      <f>F178-C178</f>
    </oc>
    <nc r="G178"/>
  </rcc>
  <rcc rId="38938" sId="8">
    <oc r="H178">
      <f>G178/C178</f>
    </oc>
    <nc r="H178"/>
  </rcc>
  <rcc rId="38939" sId="8">
    <oc r="A179" t="inlineStr">
      <is>
        <t>Baseball Dedicated Tax Transfer</t>
      </is>
    </oc>
    <nc r="A179"/>
  </rcc>
  <rcc rId="38940" sId="8" numFmtId="11">
    <oc r="B179">
      <v>46397</v>
    </oc>
    <nc r="B179"/>
  </rcc>
  <rcc rId="38941" sId="8">
    <oc r="C179">
      <f>'Sheet 6'!#REF!*Inflator!$B$7</f>
    </oc>
    <nc r="C179"/>
  </rcc>
  <rcc rId="38942" sId="8">
    <oc r="D179">
      <f>C179-B179</f>
    </oc>
    <nc r="D179"/>
  </rcc>
  <rcc rId="38943" sId="8">
    <oc r="E179">
      <f>D179/B179</f>
    </oc>
    <nc r="E179"/>
  </rcc>
  <rcc rId="38944" sId="8" numFmtId="11">
    <oc r="F179">
      <v>42007</v>
    </oc>
    <nc r="F179"/>
  </rcc>
  <rcc rId="38945" sId="8">
    <oc r="G179">
      <f>F179-C179</f>
    </oc>
    <nc r="G179"/>
  </rcc>
  <rcc rId="38946" sId="8">
    <oc r="H179">
      <f>G179/C179</f>
    </oc>
    <nc r="H179"/>
  </rcc>
  <rcc rId="38947" sId="8">
    <oc r="A180" t="inlineStr">
      <is>
        <t>Emergency Planning and Security Fund (EP)</t>
      </is>
    </oc>
    <nc r="A180"/>
  </rcc>
  <rcc rId="38948" sId="8" numFmtId="11">
    <oc r="B180">
      <v>11215</v>
    </oc>
    <nc r="B180"/>
  </rcc>
  <rcc rId="38949" sId="8">
    <oc r="C180">
      <f>'Sheet 6'!#REF!*Inflator!$B$7</f>
    </oc>
    <nc r="C180"/>
  </rcc>
  <rcc rId="38950" sId="8">
    <oc r="D180">
      <f>C180-B180</f>
    </oc>
    <nc r="D180"/>
  </rcc>
  <rcc rId="38951" sId="8">
    <oc r="E180">
      <f>D180/B180</f>
    </oc>
    <nc r="E180"/>
  </rcc>
  <rcc rId="38952" sId="8" numFmtId="11">
    <oc r="F180">
      <v>0</v>
    </oc>
    <nc r="F180"/>
  </rcc>
  <rcc rId="38953" sId="8">
    <oc r="G180">
      <f>F180-C180</f>
    </oc>
    <nc r="G180"/>
  </rcc>
  <rcc rId="38954" sId="8">
    <oc r="H180" t="inlineStr">
      <is>
        <t>—</t>
      </is>
    </oc>
    <nc r="H180"/>
  </rcc>
  <rcc rId="38955" sId="8">
    <oc r="A181" t="inlineStr">
      <is>
        <t>Ballpark Revenue Fund (BK)</t>
      </is>
    </oc>
    <nc r="A181"/>
  </rcc>
  <rcc rId="38956" sId="8" numFmtId="11">
    <oc r="B181">
      <v>110775</v>
    </oc>
    <nc r="B181"/>
  </rcc>
  <rcc rId="38957" sId="8">
    <oc r="C181">
      <f>'Sheet 6'!#REF!*Inflator!$B$7</f>
    </oc>
    <nc r="C181"/>
  </rcc>
  <rcc rId="38958" sId="8">
    <oc r="D181">
      <f>C181-B181</f>
    </oc>
    <nc r="D181"/>
  </rcc>
  <rcc rId="38959" sId="8">
    <oc r="E181">
      <f>D181/B181</f>
    </oc>
    <nc r="E181"/>
  </rcc>
  <rcc rId="38960" sId="8" numFmtId="11">
    <oc r="F181">
      <v>77498</v>
    </oc>
    <nc r="F181"/>
  </rcc>
  <rcc rId="38961" sId="8">
    <oc r="G181">
      <f>F181-C181</f>
    </oc>
    <nc r="G181"/>
  </rcc>
  <rcc rId="38962" sId="8">
    <oc r="H181">
      <f>G181/C181</f>
    </oc>
    <nc r="H181"/>
  </rcc>
  <rcc rId="38963" sId="8">
    <oc r="A182" t="inlineStr">
      <is>
        <t>TIF and PILOT Transfer - Dedicated Taxes</t>
      </is>
    </oc>
    <nc r="A182"/>
  </rcc>
  <rcc rId="38964" sId="8" numFmtId="11">
    <oc r="B182">
      <v>0</v>
    </oc>
    <nc r="B182"/>
  </rcc>
  <rcc rId="38965" sId="8">
    <oc r="C182">
      <f>'Sheet 6'!#REF!*Inflator!$B$7</f>
    </oc>
    <nc r="C182"/>
  </rcc>
  <rcc rId="38966" sId="8">
    <oc r="D182">
      <f>C182-B182</f>
    </oc>
    <nc r="D182"/>
  </rcc>
  <rcc rId="38967" sId="8">
    <oc r="E182" t="inlineStr">
      <is>
        <t>—</t>
      </is>
    </oc>
    <nc r="E182"/>
  </rcc>
  <rcc rId="38968" sId="8" numFmtId="11">
    <oc r="F182">
      <v>50223</v>
    </oc>
    <nc r="F182"/>
  </rcc>
  <rcc rId="38969" sId="8">
    <oc r="G182">
      <f>F182-C182</f>
    </oc>
    <nc r="G182"/>
  </rcc>
  <rcc rId="38970" sId="8">
    <oc r="H182" t="inlineStr">
      <is>
        <t>—</t>
      </is>
    </oc>
    <nc r="H182"/>
  </rcc>
  <rcc rId="38971" sId="8">
    <oc r="A183" t="inlineStr">
      <is>
        <t>Highway Trust Fund Transfer - Dedicated Taxes</t>
      </is>
    </oc>
    <nc r="A183"/>
  </rcc>
  <rcc rId="38972" sId="8" numFmtId="11">
    <oc r="B183">
      <v>0</v>
    </oc>
    <nc r="B183"/>
  </rcc>
  <rcc rId="38973" sId="8">
    <oc r="C183">
      <f>'Sheet 6'!#REF!*Inflator!$B$7</f>
    </oc>
    <nc r="C183"/>
  </rcc>
  <rcc rId="38974" sId="8">
    <oc r="D183">
      <f>C183-B183</f>
    </oc>
    <nc r="D183"/>
  </rcc>
  <rcc rId="38975" sId="8">
    <oc r="E183" t="inlineStr">
      <is>
        <t>—</t>
      </is>
    </oc>
    <nc r="E183"/>
  </rcc>
  <rcc rId="38976" sId="8" numFmtId="11">
    <oc r="F183">
      <v>20173</v>
    </oc>
    <nc r="F183"/>
  </rcc>
  <rcc rId="38977" sId="8">
    <oc r="G183">
      <f>F183-C183</f>
    </oc>
    <nc r="G183"/>
  </rcc>
  <rcc rId="38978" sId="8">
    <oc r="H183" t="inlineStr">
      <is>
        <t>—</t>
      </is>
    </oc>
    <nc r="H183"/>
  </rcc>
  <rcc rId="38979" sId="8">
    <oc r="A184" t="inlineStr">
      <is>
        <t>Convention Center Transfer - Dedicated Taxes</t>
      </is>
    </oc>
    <nc r="A184"/>
  </rcc>
  <rcc rId="38980" sId="8" numFmtId="11">
    <oc r="B184">
      <v>0</v>
    </oc>
    <nc r="B184"/>
  </rcc>
  <rcc rId="38981" sId="8">
    <oc r="C184">
      <f>'Sheet 6'!#REF!*Inflator!$B$7</f>
    </oc>
    <nc r="C184"/>
  </rcc>
  <rcc rId="38982" sId="8">
    <oc r="D184">
      <f>C184-B184</f>
    </oc>
    <nc r="D184"/>
  </rcc>
  <rcc rId="38983" sId="8">
    <oc r="E184" t="inlineStr">
      <is>
        <t>—</t>
      </is>
    </oc>
    <nc r="E184"/>
  </rcc>
  <rcc rId="38984" sId="8" numFmtId="11">
    <oc r="F184">
      <v>99149</v>
    </oc>
    <nc r="F184"/>
  </rcc>
  <rcc rId="38985" sId="8">
    <oc r="G184">
      <f>F184-C184</f>
    </oc>
    <nc r="G184"/>
  </rcc>
  <rcc rId="38986" sId="8">
    <oc r="H184" t="inlineStr">
      <is>
        <t>—</t>
      </is>
    </oc>
    <nc r="H184"/>
  </rcc>
  <rcc rId="38987" sId="8">
    <oc r="A185" t="inlineStr">
      <is>
        <t>Subtotal: Financing and Other Uses</t>
      </is>
    </oc>
    <nc r="A185"/>
  </rcc>
  <rcc rId="38988" sId="8">
    <oc r="B185">
      <f>SUM(B164:B184)</f>
    </oc>
    <nc r="B185"/>
  </rcc>
  <rcc rId="38989" sId="8">
    <oc r="C185">
      <f>SUM(C164:C184)</f>
    </oc>
    <nc r="C185"/>
  </rcc>
  <rcc rId="38990" sId="8">
    <oc r="D185">
      <f>C185-B185</f>
    </oc>
    <nc r="D185"/>
  </rcc>
  <rcc rId="38991" sId="8">
    <oc r="E185">
      <f>D185/B185</f>
    </oc>
    <nc r="E185"/>
  </rcc>
  <rcc rId="38992" sId="8">
    <oc r="F185">
      <f>SUM(F164:F184)</f>
    </oc>
    <nc r="F185"/>
  </rcc>
  <rcc rId="38993" sId="8">
    <oc r="G185">
      <f>F185-C185</f>
    </oc>
    <nc r="G185"/>
  </rcc>
  <rcc rId="38994" sId="8">
    <oc r="H185">
      <f>G185/C185</f>
    </oc>
    <nc r="H185"/>
  </rcc>
  <rcc rId="38995" sId="8">
    <oc r="A187" t="inlineStr">
      <is>
        <t>Notes for Financing and Other:</t>
      </is>
    </oc>
    <nc r="A187"/>
  </rcc>
  <rcc rId="38996" sId="8">
    <oc r="A188" t="inlineStr">
      <is>
        <t>* Prior to FY 2009, this was called the Cash Reserve</t>
      </is>
    </oc>
    <nc r="A188"/>
  </rcc>
  <rcc rId="38997" sId="8">
    <oc r="A190" t="inlineStr">
      <is>
        <t>TOTAL, GENERAL OPERATING FUNDS</t>
      </is>
    </oc>
    <nc r="A190"/>
  </rcc>
  <rcc rId="38998" sId="8">
    <oc r="B190">
      <f>SUM(B185,B156,B137,B110,B90,B62,B35)</f>
    </oc>
    <nc r="B190"/>
  </rcc>
  <rcc rId="38999" sId="8">
    <oc r="C190">
      <f>SUM(C185,C156,C137,C110,C90,C62,C35)</f>
    </oc>
    <nc r="C190"/>
  </rcc>
  <rcc rId="39000" sId="8">
    <oc r="D190">
      <f>SUM(D185,D156,D137,D110,D90,D62,D35)</f>
    </oc>
    <nc r="D190"/>
  </rcc>
  <rcc rId="39001" sId="8">
    <oc r="E190">
      <f>D190/B190</f>
    </oc>
    <nc r="E190"/>
  </rcc>
  <rcc rId="39002" sId="8">
    <oc r="F190">
      <f>SUM(F185,F156,F137,F110,F90,F62,F35)</f>
    </oc>
    <nc r="F190"/>
  </rcc>
  <rcc rId="39003" sId="8">
    <oc r="G190">
      <f>SUM(G185,G156,G137,G110,G90,G62,G35)</f>
    </oc>
    <nc r="G190"/>
  </rcc>
  <rcc rId="39004" sId="8">
    <oc r="H190">
      <f>G190/C190</f>
    </oc>
    <nc r="H190"/>
  </rcc>
  <rcc rId="39005" sId="10">
    <oc r="A1" t="inlineStr">
      <is>
        <t xml:space="preserve">Government of the District of Columbia </t>
      </is>
    </oc>
    <nc r="A1"/>
  </rcc>
  <rcc rId="39006" sId="10">
    <oc r="A2" t="inlineStr">
      <is>
        <t>Fiscal Year 2009 Budget</t>
      </is>
    </oc>
    <nc r="A2"/>
  </rcc>
  <rcc rId="39007" sId="10">
    <oc r="A4" t="inlineStr">
      <is>
        <t>* Includes Local and Special Purpose (General) Funds only</t>
      </is>
    </oc>
    <nc r="A4"/>
  </rcc>
  <rcc rId="39008" sId="10">
    <oc r="A5" t="inlineStr">
      <is>
        <t>* All dollar figures are in thousands ($000's)</t>
      </is>
    </oc>
    <nc r="A5"/>
  </rcc>
  <rcc rId="39009" sId="10">
    <oc r="A8" t="inlineStr">
      <is>
        <t>Appropriation Title</t>
      </is>
    </oc>
    <nc r="A8"/>
  </rcc>
  <rcc rId="39010" sId="10">
    <oc r="A9" t="inlineStr">
      <is>
        <t>Governmental Direction &amp; Support</t>
      </is>
    </oc>
    <nc r="A9"/>
  </rcc>
  <rcc rId="39011" sId="10">
    <oc r="A10" t="inlineStr">
      <is>
        <t>Council of the District of Columbia (AB)</t>
      </is>
    </oc>
    <nc r="A10"/>
  </rcc>
  <rcc rId="39012" sId="10">
    <oc r="A11" t="inlineStr">
      <is>
        <t>Office of the District of Columbia Auditor (AC)</t>
      </is>
    </oc>
    <nc r="A11"/>
  </rcc>
  <rcc rId="39013" sId="10">
    <oc r="A12" t="inlineStr">
      <is>
        <t>Advisory Neighborhood Commissions (DX)</t>
      </is>
    </oc>
    <nc r="A12"/>
  </rcc>
  <rcc rId="39014" sId="10">
    <oc r="A13" t="inlineStr">
      <is>
        <t>Office of the Mayor (AA)</t>
      </is>
    </oc>
    <nc r="A13"/>
  </rcc>
  <rcc rId="39015" sId="10">
    <oc r="A14" t="inlineStr">
      <is>
        <t>Office of the Community Affairs (RP)</t>
      </is>
    </oc>
    <nc r="A14"/>
  </rcc>
  <rcc rId="39016" sId="10">
    <oc r="A15" t="inlineStr">
      <is>
        <t>Serve DC (RS)</t>
      </is>
    </oc>
    <nc r="A15"/>
  </rcc>
  <rcc rId="39017" sId="10">
    <oc r="A16" t="inlineStr">
      <is>
        <t>Office of the Secretary (BA)</t>
      </is>
    </oc>
    <nc r="A16"/>
  </rcc>
  <rcc rId="39018" sId="10">
    <oc r="A17" t="inlineStr">
      <is>
        <t>Office of the City Administrator (AE)</t>
      </is>
    </oc>
    <nc r="A17"/>
  </rcc>
  <rcc rId="39019" sId="10">
    <oc r="A18" t="inlineStr">
      <is>
        <t>D.C. Office of Risk Management (RK)</t>
      </is>
    </oc>
    <nc r="A18"/>
  </rcc>
  <rcc rId="39020" sId="10">
    <oc r="A19" t="inlineStr">
      <is>
        <t>D.C. Human Resources (BE)</t>
      </is>
    </oc>
    <nc r="A19"/>
  </rcc>
  <rcc rId="39021" sId="10">
    <oc r="A20" t="inlineStr">
      <is>
        <t>Office of Disability Rights (JR)*</t>
      </is>
    </oc>
    <nc r="A20"/>
  </rcc>
  <rcc rId="39022" sId="10">
    <oc r="A21" t="inlineStr">
      <is>
        <t>Office of Finance and Resource Management (AS)</t>
      </is>
    </oc>
    <nc r="A21"/>
  </rcc>
  <rcc rId="39023" sId="10">
    <oc r="A22" t="inlineStr">
      <is>
        <t>Office of Partnerships and Grants and Services (BU)</t>
      </is>
    </oc>
    <nc r="A22"/>
  </rcc>
  <rcc rId="39024" sId="10">
    <oc r="A23" t="inlineStr">
      <is>
        <t>Office of Contracting and Procurement (PO)</t>
      </is>
    </oc>
    <nc r="A23"/>
  </rcc>
  <rcc rId="39025" sId="10">
    <oc r="A24" t="inlineStr">
      <is>
        <t>Office of the Chief Technology Officer (TO)</t>
      </is>
    </oc>
    <nc r="A24"/>
  </rcc>
  <rcc rId="39026" sId="10">
    <oc r="A25" t="inlineStr">
      <is>
        <t>Office of Property Management (AM)</t>
      </is>
    </oc>
    <nc r="A25"/>
  </rcc>
  <rcc rId="39027" sId="10">
    <oc r="A26" t="inlineStr">
      <is>
        <t>Contract Appeals Board (AF)</t>
      </is>
    </oc>
    <nc r="A26"/>
  </rcc>
  <rcc rId="39028" sId="10">
    <oc r="A27" t="inlineStr">
      <is>
        <t>Board of Elections and Ethics (DL)</t>
      </is>
    </oc>
    <nc r="A27"/>
  </rcc>
  <rcc rId="39029" sId="10">
    <oc r="A28" t="inlineStr">
      <is>
        <t>Office of Campaign Finance (CJ)</t>
      </is>
    </oc>
    <nc r="A28"/>
  </rcc>
  <rcc rId="39030" sId="10">
    <oc r="A29" t="inlineStr">
      <is>
        <t>Public Employee Relations Board (CG)</t>
      </is>
    </oc>
    <nc r="A29"/>
  </rcc>
  <rcc rId="39031" sId="10">
    <oc r="A30" t="inlineStr">
      <is>
        <t>Office of Employee Appeals (CH)</t>
      </is>
    </oc>
    <nc r="A30"/>
  </rcc>
  <rcc rId="39032" sId="10">
    <oc r="A31" t="inlineStr">
      <is>
        <t>Metropolitan Washington Council of Governments (EA)</t>
      </is>
    </oc>
    <nc r="A31"/>
  </rcc>
  <rcc rId="39033" sId="10">
    <oc r="A32" t="inlineStr">
      <is>
        <t>Office of the Attorney General of the District of Columbia (CB)</t>
      </is>
    </oc>
    <nc r="A32"/>
  </rcc>
  <rcc rId="39034" sId="10">
    <oc r="A33" t="inlineStr">
      <is>
        <t>Office of the Inspector General (AD)</t>
      </is>
    </oc>
    <nc r="A33"/>
  </rcc>
  <rcc rId="39035" sId="10">
    <oc r="A34" t="inlineStr">
      <is>
        <t>Office of the Chief Financial Officer (AT)</t>
      </is>
    </oc>
    <nc r="A34"/>
  </rcc>
  <rcc rId="39036" sId="10">
    <oc r="A35" t="inlineStr">
      <is>
        <t xml:space="preserve">Subtotal: Governmental Direction &amp; Support </t>
      </is>
    </oc>
    <nc r="A35"/>
  </rcc>
  <rcc rId="39037" sId="10">
    <oc r="A37" t="inlineStr">
      <is>
        <t>Notes for Government Direction &amp; Support</t>
      </is>
    </oc>
    <nc r="A37"/>
  </rcc>
  <rcc rId="39038" sId="10">
    <oc r="A38" t="inlineStr">
      <is>
        <t>*This agency does not exist after 2007</t>
      </is>
    </oc>
    <nc r="A38"/>
  </rcc>
  <rcc rId="39039" sId="10">
    <oc r="A39" t="inlineStr">
      <is>
        <t>**This agency was first proposed n 2010</t>
      </is>
    </oc>
    <nc r="A39"/>
  </rcc>
  <rcc rId="39040" sId="10">
    <oc r="A40" t="inlineStr">
      <is>
        <t>***This line item first appears in 2008</t>
      </is>
    </oc>
    <nc r="A40"/>
  </rcc>
  <rcc rId="39041" sId="10">
    <oc r="A42" t="inlineStr">
      <is>
        <t xml:space="preserve">Economic Development &amp; Regulation  </t>
      </is>
    </oc>
    <nc r="A42"/>
  </rcc>
  <rcc rId="39042" sId="10">
    <oc r="A43" t="inlineStr">
      <is>
        <t>Deputy Mayor for Planning and Economic Development*</t>
      </is>
    </oc>
    <nc r="A43"/>
  </rcc>
  <rcc rId="39043" sId="10">
    <oc r="A44" t="inlineStr">
      <is>
        <t>Office of Planning</t>
      </is>
    </oc>
    <nc r="A44"/>
  </rcc>
  <rcc rId="39044" sId="10">
    <oc r="A45" t="inlineStr">
      <is>
        <t xml:space="preserve">Office of Small and Local Business Development*   </t>
      </is>
    </oc>
    <nc r="A45"/>
  </rcc>
  <rcc rId="39045" sId="10">
    <oc r="A46" t="inlineStr">
      <is>
        <t>Office of Motion Picture &amp; Television Development*</t>
      </is>
    </oc>
    <nc r="A46"/>
  </rcc>
  <rcc rId="39046" sId="10">
    <oc r="A47" t="inlineStr">
      <is>
        <t>Office of Zoning</t>
      </is>
    </oc>
    <nc r="A47"/>
  </rcc>
  <rcc rId="39047" sId="10">
    <oc r="A48" t="inlineStr">
      <is>
        <t xml:space="preserve">Department of Housing and Community Development  </t>
      </is>
    </oc>
    <nc r="A48"/>
  </rcc>
  <rcc rId="39048" sId="10">
    <oc r="A49" t="inlineStr">
      <is>
        <t>DC Housing Authority Subsidy</t>
      </is>
    </oc>
    <nc r="A49"/>
  </rcc>
  <rcc rId="39049" sId="10">
    <oc r="A50" t="inlineStr">
      <is>
        <t>Department of Employment Services</t>
      </is>
    </oc>
    <nc r="A50"/>
  </rcc>
  <rcc rId="39050" sId="10">
    <oc r="A51" t="inlineStr">
      <is>
        <t xml:space="preserve">Board of Real Property Assessments and Appeals </t>
      </is>
    </oc>
    <nc r="A51"/>
  </rcc>
  <rcc rId="39051" sId="10">
    <oc r="A52" t="inlineStr">
      <is>
        <t>Department of Consumer and Regulatory Affairs</t>
      </is>
    </oc>
    <nc r="A52"/>
  </rcc>
  <rcc rId="39052" sId="10">
    <oc r="A53" t="inlineStr">
      <is>
        <t>Office of the Tenant Advocate***</t>
      </is>
    </oc>
    <nc r="A53"/>
  </rcc>
  <rcc rId="39053" sId="10">
    <oc r="A54" t="inlineStr">
      <is>
        <t>Commission of the Arts and Humanities</t>
      </is>
    </oc>
    <nc r="A54"/>
  </rcc>
  <rcc rId="39054" sId="10">
    <oc r="A55" t="inlineStr">
      <is>
        <t>Alcoholic Beverage Regulation Administration</t>
      </is>
    </oc>
    <nc r="A55"/>
  </rcc>
  <rcc rId="39055" sId="10">
    <oc r="A56" t="inlineStr">
      <is>
        <t>Public Service Commission</t>
      </is>
    </oc>
    <nc r="A56"/>
  </rcc>
  <rcc rId="39056" sId="10">
    <oc r="A57" t="inlineStr">
      <is>
        <t>Office of the People's Counsel</t>
      </is>
    </oc>
    <nc r="A57"/>
  </rcc>
  <rcc rId="39057" sId="10">
    <oc r="A58" t="inlineStr">
      <is>
        <t>Department of Insurance, Securities and Banking</t>
      </is>
    </oc>
    <nc r="A58"/>
  </rcc>
  <rcc rId="39058" sId="10">
    <oc r="A59" t="inlineStr">
      <is>
        <t>Office of Cable Television and Telecommunications</t>
      </is>
    </oc>
    <nc r="A59"/>
  </rcc>
  <rcc rId="39059" sId="10">
    <oc r="A60" t="inlineStr">
      <is>
        <t>Housing Production Trust Fund****</t>
      </is>
    </oc>
    <nc r="A60"/>
  </rcc>
  <rcc rId="39060" sId="10">
    <oc r="A61" t="inlineStr">
      <is>
        <t>DC Sports Commission Subsidy</t>
      </is>
    </oc>
    <nc r="A61"/>
  </rcc>
  <rcc rId="39061" sId="10">
    <oc r="A62" t="inlineStr">
      <is>
        <t>Subtotal: Economic Development &amp; Regulation</t>
      </is>
    </oc>
    <nc r="A62"/>
  </rcc>
  <rcc rId="39062" sId="10">
    <oc r="A64" t="inlineStr">
      <is>
        <t>Notes for Economic Development &amp; Regulation:</t>
      </is>
    </oc>
    <nc r="A64"/>
  </rcc>
  <rcc rId="39063" sId="10">
    <oc r="A65" t="inlineStr">
      <is>
        <t>* Prior to FY 2003, these three agencies were budgeted together under the Deputy Mayor for Planning and Economic Development.</t>
      </is>
    </oc>
    <nc r="A65"/>
  </rcc>
  <rcc rId="39064" sId="10">
    <oc r="A66" t="inlineStr">
      <is>
        <t>** This agency was removed in 2005.</t>
      </is>
    </oc>
    <nc r="A66"/>
  </rcc>
  <rcc rId="39065" sId="10">
    <oc r="A67" t="inlineStr">
      <is>
        <t>*** This agency was established in the FY 2008 budget.</t>
      </is>
    </oc>
    <nc r="A67"/>
  </rcc>
  <rcc rId="39066" sId="10">
    <oc r="A68" t="inlineStr">
      <is>
        <t>**** Prior to FY 2007, HPTF was part of the budget of the Deputy Mayor for Planning and Economic Development.</t>
      </is>
    </oc>
    <nc r="A68"/>
  </rcc>
  <rcc rId="39067" sId="10">
    <oc r="A70" t="inlineStr">
      <is>
        <t>Public Safety &amp; Justice</t>
      </is>
    </oc>
    <nc r="A70"/>
  </rcc>
  <rcc rId="39068" sId="10">
    <oc r="A71" t="inlineStr">
      <is>
        <t>Metropolitan Police Department</t>
      </is>
    </oc>
    <nc r="A71"/>
  </rcc>
  <rcc rId="39069" sId="10">
    <oc r="A72" t="inlineStr">
      <is>
        <t>Fire and Emergency Medical Services Department</t>
      </is>
    </oc>
    <nc r="A72"/>
  </rcc>
  <rcc rId="39070" sId="10">
    <oc r="A73" t="inlineStr">
      <is>
        <t>Police Officers' and Fire Fighters' Retirement</t>
      </is>
    </oc>
    <nc r="A73"/>
  </rcc>
  <rcc rId="39071" sId="10">
    <oc r="A74" t="inlineStr">
      <is>
        <t>Department of Corrections</t>
      </is>
    </oc>
    <nc r="A74"/>
  </rcc>
  <rcc rId="39072" sId="10">
    <oc r="A75" t="inlineStr">
      <is>
        <t>National Guard</t>
      </is>
    </oc>
    <nc r="A75"/>
  </rcc>
  <rcc rId="39073" sId="10">
    <oc r="A76" t="inlineStr">
      <is>
        <t>Homeland Security and Emergency Management Agency</t>
      </is>
    </oc>
    <nc r="A76"/>
  </rcc>
  <rcc rId="39074" sId="10">
    <oc r="A77" t="inlineStr">
      <is>
        <t>Commission on Judicial Disabilities and Tenure</t>
      </is>
    </oc>
    <nc r="A77"/>
  </rcc>
  <rcc rId="39075" sId="10">
    <oc r="A78" t="inlineStr">
      <is>
        <t>Judicial Nomination Commission</t>
      </is>
    </oc>
    <nc r="A78"/>
  </rcc>
  <rcc rId="39076" sId="10">
    <oc r="A79" t="inlineStr">
      <is>
        <t>Office of Police Complaints*</t>
      </is>
    </oc>
    <nc r="A79"/>
  </rcc>
  <rcc rId="39077" sId="10">
    <oc r="A80" t="inlineStr">
      <is>
        <t>Sentencing and Criminal Code Revision Commision</t>
      </is>
    </oc>
    <nc r="A80"/>
  </rcc>
  <rcc rId="39078" sId="10">
    <oc r="A81" t="inlineStr">
      <is>
        <t>Office of the Chief Medical Examiner</t>
      </is>
    </oc>
    <nc r="A81"/>
  </rcc>
  <rcc rId="39079" sId="10">
    <oc r="A82" t="inlineStr">
      <is>
        <t>Office of Administrative Hearings</t>
      </is>
    </oc>
    <nc r="A82"/>
  </rcc>
  <rcc rId="39080" sId="10">
    <oc r="A83" t="inlineStr">
      <is>
        <t>Corrections Information Council</t>
      </is>
    </oc>
    <nc r="A83"/>
  </rcc>
  <rcc rId="39081" sId="10">
    <oc r="A84" t="inlineStr">
      <is>
        <t>Criminal Justice Coordinating Council</t>
      </is>
    </oc>
    <nc r="A84"/>
  </rcc>
  <rcc rId="39082" sId="10">
    <oc r="A85" t="inlineStr">
      <is>
        <t>Forensic Laboratory Technician Training Program**</t>
      </is>
    </oc>
    <nc r="A85"/>
  </rcc>
  <rcc rId="39083" sId="10">
    <oc r="A86" t="inlineStr">
      <is>
        <t>Office of Victim Services</t>
      </is>
    </oc>
    <nc r="A86"/>
  </rcc>
  <rcc rId="39084" sId="10">
    <oc r="A87" t="inlineStr">
      <is>
        <t>Justice Grants Administration</t>
      </is>
    </oc>
    <nc r="A87"/>
  </rcc>
  <rcc rId="39085" sId="10">
    <oc r="A88" t="inlineStr">
      <is>
        <t>Office of Unified Communications</t>
      </is>
    </oc>
    <nc r="A88"/>
  </rcc>
  <rcc rId="39086" sId="10">
    <oc r="A89" t="inlineStr">
      <is>
        <t>Motor Vehicle Theft Prevention Commission (FW)</t>
      </is>
    </oc>
    <nc r="A89"/>
  </rcc>
  <rcc rId="39087" sId="10">
    <oc r="A90" t="inlineStr">
      <is>
        <t>Subtotal: Public Safety &amp; Justice</t>
      </is>
    </oc>
    <nc r="A90"/>
  </rcc>
  <rcc rId="39088" sId="10">
    <oc r="A92" t="inlineStr">
      <is>
        <t>Notes for Public Safety &amp; Justice:</t>
      </is>
    </oc>
    <nc r="A92"/>
  </rcc>
  <rcc rId="39089" sId="10">
    <oc r="A93" t="inlineStr">
      <is>
        <t>* Formerly the Office of Citizen Complaints</t>
      </is>
    </oc>
    <nc r="A93"/>
  </rcc>
  <rcc rId="39090" sId="10">
    <oc r="A94" t="inlineStr">
      <is>
        <t>** Formerly the Forensic Health and Science Laboratory</t>
      </is>
    </oc>
    <nc r="A94"/>
  </rcc>
  <rcc rId="39091" sId="10">
    <oc r="A95" t="inlineStr">
      <is>
        <t>*** This agency was eliminated in 2006</t>
      </is>
    </oc>
    <nc r="A95"/>
  </rcc>
  <rcc rId="39092" sId="10">
    <oc r="A96" t="inlineStr">
      <is>
        <t>**** This line item added in 2008</t>
      </is>
    </oc>
    <nc r="A96"/>
  </rcc>
  <rcc rId="39093" sId="10">
    <oc r="A98" t="inlineStr">
      <is>
        <t>Public Education</t>
      </is>
    </oc>
    <nc r="A98"/>
  </rcc>
  <rcc rId="39094" sId="10">
    <oc r="A99" t="inlineStr">
      <is>
        <t>Deputy Mayor for Education*</t>
      </is>
    </oc>
    <nc r="A99"/>
  </rcc>
  <rcc rId="39095" sId="10">
    <oc r="A100" t="inlineStr">
      <is>
        <t>DC Public Schools**</t>
      </is>
    </oc>
    <nc r="A100"/>
  </rcc>
  <rcc rId="39096" sId="10">
    <oc r="A101" t="inlineStr">
      <is>
        <t>Teachers' Retirement System</t>
      </is>
    </oc>
    <nc r="A101"/>
  </rcc>
  <rcc rId="39097" sId="10">
    <oc r="A102" t="inlineStr">
      <is>
        <t>Office of the State Superintendent of Education***</t>
      </is>
    </oc>
    <nc r="A102"/>
  </rcc>
  <rcc rId="39098" sId="10">
    <oc r="A103" t="inlineStr">
      <is>
        <t xml:space="preserve">DC Public Charter Schools    </t>
      </is>
    </oc>
    <nc r="A103"/>
  </rcc>
  <rcc rId="39099" sId="10">
    <oc r="A104" t="inlineStr">
      <is>
        <t>University of the District of Columbia Subsidy Account</t>
      </is>
    </oc>
    <nc r="A104"/>
  </rcc>
  <rcc rId="39100" sId="10">
    <oc r="A105" t="inlineStr">
      <is>
        <t>Public Library</t>
      </is>
    </oc>
    <nc r="A105"/>
  </rcc>
  <rcc rId="39101" sId="10">
    <oc r="A106" t="inlineStr">
      <is>
        <t>DC Public Charter School Board</t>
      </is>
    </oc>
    <nc r="A106"/>
  </rcc>
  <rcc rId="39102" sId="10">
    <oc r="A107" t="inlineStr">
      <is>
        <t>Public education facilities modernization office****</t>
      </is>
    </oc>
    <nc r="A107"/>
  </rcc>
  <rcc rId="39103" sId="10">
    <oc r="A108" t="inlineStr">
      <is>
        <t>Non-public Tuition**</t>
      </is>
    </oc>
    <nc r="A108"/>
  </rcc>
  <rcc rId="39104" sId="10">
    <oc r="A109" t="inlineStr">
      <is>
        <t>Special Education Transportation**</t>
      </is>
    </oc>
    <nc r="A109"/>
  </rcc>
  <rcc rId="39105" sId="10">
    <oc r="A110" t="inlineStr">
      <is>
        <t>Subtotal: Public Education</t>
      </is>
    </oc>
    <nc r="A110"/>
  </rcc>
  <rcc rId="39106" sId="10">
    <oc r="A112" t="inlineStr">
      <is>
        <t>Notes for Public Education</t>
      </is>
    </oc>
    <nc r="A112"/>
  </rcc>
  <rcc rId="39107" sId="10">
    <oc r="A113" t="inlineStr">
      <is>
        <t>* Thisagency was first budgeted in FY 2008 called Department of Education.</t>
      </is>
    </oc>
    <nc r="A113"/>
  </rcc>
  <rcc rId="39108" sId="10">
    <oc r="A114" t="inlineStr">
      <is>
        <t>** In FY 2009, these functions were separated from DC Public Schools</t>
      </is>
    </oc>
    <nc r="A114"/>
  </rcc>
  <rcc rId="39109" sId="10">
    <oc r="A115" t="inlineStr">
      <is>
        <t>*** Formerly known as the State Education Office</t>
      </is>
    </oc>
    <nc r="A115"/>
  </rcc>
  <rcc rId="39110" sId="10">
    <oc r="A116" t="inlineStr">
      <is>
        <t>**** This agency was established in FY 2007</t>
      </is>
    </oc>
    <nc r="A116"/>
  </rcc>
  <rcc rId="39111" sId="10">
    <oc r="A117" t="inlineStr">
      <is>
        <t xml:space="preserve">     In FY 2009, maintenance functions in DCPS were transferred to this agency</t>
      </is>
    </oc>
    <nc r="A117"/>
  </rcc>
  <rcc rId="39112" sId="10">
    <oc r="A118" t="inlineStr">
      <is>
        <t>***** This line item added in 2008</t>
      </is>
    </oc>
    <nc r="A118"/>
  </rcc>
  <rcc rId="39113" sId="10">
    <oc r="A120" t="inlineStr">
      <is>
        <t>Human Support Services</t>
      </is>
    </oc>
    <nc r="A120"/>
  </rcc>
  <rcc rId="39114" sId="10">
    <oc r="A121" t="inlineStr">
      <is>
        <t xml:space="preserve">Department of Human Services    </t>
      </is>
    </oc>
    <nc r="A121"/>
  </rcc>
  <rcc rId="39115" sId="10">
    <oc r="A122" t="inlineStr">
      <is>
        <t xml:space="preserve">Child and Family Services   </t>
      </is>
    </oc>
    <nc r="A122"/>
  </rcc>
  <rcc rId="39116" sId="10">
    <oc r="A123" t="inlineStr">
      <is>
        <t xml:space="preserve">Department of Mental Health   </t>
      </is>
    </oc>
    <nc r="A123"/>
  </rcc>
  <rcc rId="39117" sId="10">
    <oc r="A124" t="inlineStr">
      <is>
        <t>Department of Health**</t>
      </is>
    </oc>
    <nc r="A124"/>
  </rcc>
  <rcc rId="39118" sId="10">
    <oc r="A125" t="inlineStr">
      <is>
        <t>Department of Parks and Recreation</t>
      </is>
    </oc>
    <nc r="A125"/>
  </rcc>
  <rcc rId="39119" sId="10">
    <oc r="A126" t="inlineStr">
      <is>
        <t>Office of Aging</t>
      </is>
    </oc>
    <nc r="A126"/>
  </rcc>
  <rcc rId="39120" sId="10">
    <oc r="A127" t="inlineStr">
      <is>
        <t>Unemployment Compensation</t>
      </is>
    </oc>
    <nc r="A127"/>
  </rcc>
  <rcc rId="39121" sId="10">
    <oc r="A128" t="inlineStr">
      <is>
        <t>Disability Compensation</t>
      </is>
    </oc>
    <nc r="A128"/>
  </rcc>
  <rcc rId="39122" sId="10">
    <oc r="A129" t="inlineStr">
      <is>
        <t>Office on Human Rights</t>
      </is>
    </oc>
    <nc r="A129"/>
  </rcc>
  <rcc rId="39123" sId="10">
    <oc r="A130" t="inlineStr">
      <is>
        <t>Office of Latino Affairs</t>
      </is>
    </oc>
    <nc r="A130"/>
  </rcc>
  <rcc rId="39124" sId="10">
    <oc r="A131" t="inlineStr">
      <is>
        <t>Children and Youth Investment Collaborative</t>
      </is>
    </oc>
    <nc r="A131"/>
  </rcc>
  <rcc rId="39125" sId="10">
    <oc r="A132" t="inlineStr">
      <is>
        <t>Asian and Pacific Islander Affairs</t>
      </is>
    </oc>
    <nc r="A132"/>
  </rcc>
  <rcc rId="39126" sId="10">
    <oc r="A133" t="inlineStr">
      <is>
        <t>Office of Veterans Affairs</t>
      </is>
    </oc>
    <nc r="A133"/>
  </rcc>
  <rcc rId="39127" sId="10">
    <oc r="A134" t="inlineStr">
      <is>
        <t>Department of Youth Rehabilitation Services****</t>
      </is>
    </oc>
    <nc r="A134"/>
  </rcc>
  <rcc rId="39128" sId="10">
    <oc r="A135" t="inlineStr">
      <is>
        <t>Department of Disability Services*****</t>
      </is>
    </oc>
    <nc r="A135"/>
  </rcc>
  <rcc rId="39129" sId="10">
    <oc r="A136" t="inlineStr">
      <is>
        <t>Department of Health Care Finance**</t>
      </is>
    </oc>
    <nc r="A136"/>
  </rcc>
  <rcc rId="39130" sId="10">
    <oc r="A137" t="inlineStr">
      <is>
        <t>Subtotal: Human Support Services</t>
      </is>
    </oc>
    <nc r="A137"/>
  </rcc>
  <rcc rId="39131" sId="10">
    <oc r="A139" t="inlineStr">
      <is>
        <t>Notes for Human Support Services:</t>
      </is>
    </oc>
    <nc r="A139"/>
  </rcc>
  <rcc rId="39132" sId="10">
    <oc r="A141" t="inlineStr">
      <is>
        <r>
          <t xml:space="preserve">* </t>
        </r>
        <r>
          <rPr>
            <i/>
            <sz val="10"/>
            <rFont val="Arial"/>
            <family val="2"/>
          </rPr>
          <t>Eliminated in 2004</t>
        </r>
      </is>
    </oc>
    <nc r="A141"/>
  </rcc>
  <rcc rId="39133" sId="10">
    <oc r="A142" t="inlineStr">
      <is>
        <t>** Before FY 2009, the Dept. of Health Care Finance was part of the Dept. of Health</t>
      </is>
    </oc>
    <nc r="A142"/>
  </rcc>
  <rcc rId="39134" sId="10">
    <oc r="A143" t="inlineStr">
      <is>
        <t>*** Before FY 2007, this agency was part of the Human Services Cluster.  As of FY 2007 it is part of the Department of the Environment, under the Public Works *cluster.</t>
      </is>
    </oc>
    <nc r="A143"/>
  </rcc>
  <rcc rId="39135" sId="10">
    <oc r="A144" t="inlineStr">
      <is>
        <t>**** Before FY 2007, this agency was part of the Department of Human Services.</t>
      </is>
    </oc>
    <nc r="A144"/>
  </rcc>
  <rcc rId="39136" sId="10">
    <oc r="A145" t="inlineStr">
      <is>
        <t>***** Before FY 2008, this agency was part of the Department of Human Services.</t>
      </is>
    </oc>
    <nc r="A145"/>
  </rcc>
  <rcc rId="39137" sId="10">
    <oc r="A147" t="inlineStr">
      <is>
        <t>Public Works</t>
      </is>
    </oc>
    <nc r="A147"/>
  </rcc>
  <rcc rId="39138" sId="10">
    <oc r="A148" t="inlineStr">
      <is>
        <t>Department of Public Works</t>
      </is>
    </oc>
    <nc r="A148"/>
  </rcc>
  <rcc rId="39139" sId="10">
    <oc r="A149" t="inlineStr">
      <is>
        <t>Department of Transportation*</t>
      </is>
    </oc>
    <nc r="A149"/>
  </rcc>
  <rcc rId="39140" sId="10">
    <oc r="A150" t="inlineStr">
      <is>
        <t>Department of Motor Vehicles</t>
      </is>
    </oc>
    <nc r="A150"/>
  </rcc>
  <rcc rId="39141" sId="10">
    <oc r="A151" t="inlineStr">
      <is>
        <t>District Department of the Environment**</t>
      </is>
    </oc>
    <nc r="A151"/>
  </rcc>
  <rcc rId="39142" sId="10">
    <oc r="A152" t="inlineStr">
      <is>
        <t>Taxicab Commission</t>
      </is>
    </oc>
    <nc r="A152"/>
  </rcc>
  <rcc rId="39143" sId="10">
    <oc r="A153" t="inlineStr">
      <is>
        <t>Washington Metropolitan Area Transit Commission</t>
      </is>
    </oc>
    <nc r="A153"/>
  </rcc>
  <rcc rId="39144" sId="10">
    <oc r="A154" t="inlineStr">
      <is>
        <t>Washington Metropolitan Area Transit Authority</t>
      </is>
    </oc>
    <nc r="A154"/>
  </rcc>
  <rcc rId="39145" sId="10">
    <oc r="A155" t="inlineStr">
      <is>
        <t>School Transit Subsidy</t>
      </is>
    </oc>
    <nc r="A155"/>
  </rcc>
  <rcc rId="39146" sId="10">
    <oc r="A156" t="inlineStr">
      <is>
        <t>Subtotal: Public Works</t>
      </is>
    </oc>
    <nc r="A156"/>
  </rcc>
  <rcc rId="39147" sId="10">
    <oc r="A158" t="inlineStr">
      <is>
        <t xml:space="preserve">Notes for Public Works: </t>
      </is>
    </oc>
    <nc r="A158"/>
  </rcc>
  <rcc rId="39148" sId="10">
    <oc r="A159" t="inlineStr">
      <is>
        <t>* The FY 2008 budget includes roughly $68 million in transportation funds that in prior year were reported in the DOT capital budget</t>
      </is>
    </oc>
    <nc r="A159"/>
  </rcc>
  <rcc rId="39149" sId="10">
    <oc r="A160" t="inlineStr">
      <is>
        <t>**This agency was established in FY 2007.</t>
      </is>
    </oc>
    <nc r="A160"/>
  </rcc>
  <rcc rId="39150" sId="10">
    <oc r="A162" t="inlineStr">
      <is>
        <t>Financing and Other</t>
      </is>
    </oc>
    <nc r="A162"/>
  </rcc>
  <rcc rId="39151" sId="10">
    <oc r="A163" t="inlineStr">
      <is>
        <t>TOTAL: Debt Services Agencies (includes DS0, ZA0, CP0, ZB0, SM0, DT0)</t>
      </is>
    </oc>
    <nc r="A163"/>
  </rcc>
  <rcc rId="39152" sId="10">
    <oc r="A164" t="inlineStr">
      <is>
        <t xml:space="preserve">Repayment of Loans and Interest </t>
      </is>
    </oc>
    <nc r="A164"/>
  </rcc>
  <rcc rId="39153" sId="10">
    <oc r="A165" t="inlineStr">
      <is>
        <t>Short-term Borrowing</t>
      </is>
    </oc>
    <nc r="A165"/>
  </rcc>
  <rcc rId="39154" sId="10">
    <oc r="A166" t="inlineStr">
      <is>
        <t>Certificate of Participation - One Judiciary Square</t>
      </is>
    </oc>
    <nc r="A166"/>
  </rcc>
  <rcc rId="39155" sId="10">
    <oc r="A167" t="inlineStr">
      <is>
        <t>Settlements and Judgements</t>
      </is>
    </oc>
    <nc r="A167"/>
  </rcc>
  <rcc rId="39156" sId="10">
    <oc r="A168" t="inlineStr">
      <is>
        <t>John A. Wilson Building Fund</t>
      </is>
    </oc>
    <nc r="A168"/>
  </rcc>
  <rcc rId="39157" sId="10">
    <oc r="A169" t="inlineStr">
      <is>
        <t>Workforce Investments</t>
      </is>
    </oc>
    <nc r="A169"/>
  </rcc>
  <rcc rId="39158" sId="10">
    <oc r="A170" t="inlineStr">
      <is>
        <t xml:space="preserve">Non-Departmental   </t>
      </is>
    </oc>
    <nc r="A170"/>
  </rcc>
  <rcc rId="39159" sId="10">
    <oc r="A171" t="inlineStr">
      <is>
        <t>Budget Reserve*</t>
      </is>
    </oc>
    <nc r="A171"/>
  </rcc>
  <rcc rId="39160" sId="10">
    <oc r="A172" t="inlineStr">
      <is>
        <t>Equipment Lease Operating</t>
      </is>
    </oc>
    <nc r="A172"/>
  </rcc>
  <rcc rId="39161" sId="10">
    <oc r="A173" t="inlineStr">
      <is>
        <t>School Modernization Fund</t>
      </is>
    </oc>
    <nc r="A173"/>
  </rcc>
  <rcc rId="39162" sId="10">
    <oc r="A174" t="inlineStr">
      <is>
        <t>Pay-As-You-Go Capital Fund</t>
      </is>
    </oc>
    <nc r="A174"/>
  </rcc>
  <rcc rId="39163" sId="10">
    <oc r="A175" t="inlineStr">
      <is>
        <t>Debt Service - Issuance Costs</t>
      </is>
    </oc>
    <nc r="A175"/>
  </rcc>
  <rcc rId="39164" sId="10">
    <oc r="A176" t="inlineStr">
      <is>
        <t>Tax Increment Financing</t>
      </is>
    </oc>
    <nc r="A176"/>
  </rcc>
  <rcc rId="39165" sId="10">
    <oc r="A177" t="inlineStr">
      <is>
        <t>Retiree Health Contribution</t>
      </is>
    </oc>
    <nc r="A177"/>
  </rcc>
  <rcc rId="39166" sId="10">
    <oc r="A178" t="inlineStr">
      <is>
        <t>Repayment of Revenue Bonds (HPTF Securitization)</t>
      </is>
    </oc>
    <nc r="A178"/>
  </rcc>
  <rcc rId="39167" sId="10">
    <oc r="A179" t="inlineStr">
      <is>
        <t>Baseball Dedicated Tax Transfer</t>
      </is>
    </oc>
    <nc r="A179"/>
  </rcc>
  <rcc rId="39168" sId="10">
    <oc r="A180" t="inlineStr">
      <is>
        <t>Emergency Planning and Security Fund (EP)</t>
      </is>
    </oc>
    <nc r="A180"/>
  </rcc>
  <rcc rId="39169" sId="10">
    <oc r="A181" t="inlineStr">
      <is>
        <t>Ballpark Revenue Fund (BK)</t>
      </is>
    </oc>
    <nc r="A181"/>
  </rcc>
  <rcc rId="39170" sId="10">
    <oc r="A182" t="inlineStr">
      <is>
        <t>TIF and PILOT Transfer - Dedicated Taxes</t>
      </is>
    </oc>
    <nc r="A182"/>
  </rcc>
  <rcc rId="39171" sId="10">
    <oc r="A183" t="inlineStr">
      <is>
        <t>Highway Trust Fund Transfer - Dedicated Taxes</t>
      </is>
    </oc>
    <nc r="A183"/>
  </rcc>
  <rcc rId="39172" sId="10">
    <oc r="A184" t="inlineStr">
      <is>
        <t>Convention Center Transfer - Dedicated Taxes</t>
      </is>
    </oc>
    <nc r="A184"/>
  </rcc>
  <rcc rId="39173" sId="10">
    <oc r="A185" t="inlineStr">
      <is>
        <t>Subtotal: Financing and Other Uses</t>
      </is>
    </oc>
    <nc r="A185"/>
  </rcc>
  <rcc rId="39174" sId="10">
    <oc r="A187" t="inlineStr">
      <is>
        <t>Notes for Financing and Other:</t>
      </is>
    </oc>
    <nc r="A187"/>
  </rcc>
  <rcc rId="39175" sId="10">
    <oc r="A188" t="inlineStr">
      <is>
        <t>* Prior to FY 2009, this was called the Cash Reserve</t>
      </is>
    </oc>
    <nc r="A188"/>
  </rcc>
  <rcc rId="39176" sId="10">
    <oc r="A190" t="inlineStr">
      <is>
        <t>TOTAL, GENERAL OPERATING FUNDS</t>
      </is>
    </oc>
    <nc r="A190"/>
  </rcc>
  <rcc rId="39177" sId="11">
    <oc r="A2" t="inlineStr">
      <is>
        <t>Changes Made in FY 2012 Budget</t>
      </is>
    </oc>
    <nc r="A2"/>
  </rcc>
  <rcc rId="39178" sId="11">
    <oc r="A4" t="inlineStr">
      <is>
        <t>Note: each agency that had money transferred to OCTO for IT had that money put back into the agency, see by agency tab (unadjusted) for each appropration amount</t>
      </is>
    </oc>
    <nc r="A4"/>
  </rcc>
  <rcc rId="39179" sId="11">
    <oc r="A6" t="inlineStr">
      <is>
        <t>Government Direction and Support</t>
      </is>
    </oc>
    <nc r="A6"/>
  </rcc>
  <rcc rId="39180" sId="11">
    <oc r="A7" t="inlineStr">
      <is>
        <t xml:space="preserve">  GSA agency [replaces Office of Property Management]</t>
      </is>
    </oc>
    <nc r="A7"/>
  </rcc>
  <rcc rId="39181" sId="11">
    <oc r="A8" t="inlineStr">
      <is>
        <t xml:space="preserve">   1) Backed out $500 from GSA and add to FEMS budget</t>
      </is>
    </oc>
    <nc r="A8"/>
  </rcc>
  <rcc rId="39182" sId="11">
    <oc r="A9" t="inlineStr">
      <is>
        <t xml:space="preserve">   2) Backed out $48,890 from GSA and move back to OPEFM</t>
      </is>
    </oc>
    <nc r="A9"/>
  </rcc>
  <rcc rId="39183" sId="11">
    <oc r="A10" t="inlineStr">
      <is>
        <t xml:space="preserve">   3) Backed out $10,016 from GSA and add to DPR</t>
      </is>
    </oc>
    <nc r="A10"/>
  </rcc>
  <rcc rId="39184" sId="11">
    <oc r="A11" t="inlineStr">
      <is>
        <t xml:space="preserve">   4) Backed out fixed costs that Olivia enters ($121,876m)</t>
      </is>
    </oc>
    <nc r="A11"/>
  </rcc>
  <rcc rId="39185" sId="11">
    <oc r="A13" t="inlineStr">
      <is>
        <r>
          <t xml:space="preserve"> </t>
        </r>
        <r>
          <rPr>
            <sz val="10"/>
            <rFont val="Arial"/>
            <family val="2"/>
          </rPr>
          <t xml:space="preserve"> Access to Justice and Poverty Loan Program </t>
        </r>
      </is>
    </oc>
    <nc r="A13"/>
  </rcc>
  <rcc rId="39186" sId="11">
    <oc r="A14" t="inlineStr">
      <is>
        <t xml:space="preserve">   1) Need to add back in $3.15 million to Govt. Direction and Support since these two programs were here in FY 2011</t>
      </is>
    </oc>
    <nc r="A14"/>
  </rcc>
  <rcc rId="39187" sId="11">
    <oc r="A16" t="inlineStr">
      <is>
        <t xml:space="preserve">  OCTO</t>
      </is>
    </oc>
    <nc r="A16"/>
  </rcc>
  <rcc rId="39188" sId="11">
    <oc r="A17" t="inlineStr">
      <is>
        <t xml:space="preserve">   1) Back out 4,846 that was shifted in from other agencies (see note above)</t>
      </is>
    </oc>
    <nc r="A17"/>
  </rcc>
  <rcc rId="39189" sId="11">
    <oc r="A19" t="inlineStr">
      <is>
        <t>Economic Development</t>
      </is>
    </oc>
    <nc r="A19"/>
  </rcc>
  <rcc rId="39190" sId="11">
    <oc r="A21" t="inlineStr">
      <is>
        <t>Public Safety</t>
      </is>
    </oc>
    <nc r="A21"/>
  </rcc>
  <rcc rId="39191" sId="11">
    <oc r="A22" t="inlineStr">
      <is>
        <t xml:space="preserve">  1) Add $500k to FEMS, that had been transferred to GSA</t>
      </is>
    </oc>
    <nc r="A22"/>
  </rcc>
  <rcc rId="39192" sId="11">
    <oc r="A23" t="inlineStr">
      <is>
        <t xml:space="preserve">  2) Take out $3.15 million from DMPS and add to Govt. Direction and Support for Access to Justice and Poverty Loan Program</t>
      </is>
    </oc>
    <nc r="A23"/>
  </rcc>
  <rcc rId="39193" sId="11">
    <oc r="A24" t="inlineStr">
      <is>
        <t xml:space="preserve">  </t>
      </is>
    </oc>
    <nc r="A24"/>
  </rcc>
  <rcc rId="39194" sId="11">
    <oc r="A25" t="inlineStr">
      <is>
        <t>Public Education</t>
      </is>
    </oc>
    <nc r="A25"/>
  </rcc>
  <rcc rId="39195" sId="11">
    <oc r="A26" t="inlineStr">
      <is>
        <t xml:space="preserve">  1) Add $48,890 to OPEFM, from GSA</t>
      </is>
    </oc>
    <nc r="A26"/>
  </rcc>
  <rcc rId="39196" sId="11">
    <oc r="A27" t="inlineStr">
      <is>
        <t xml:space="preserve">  2) Added $11m to DCPS in FY 2011 for loss of EduJobs money</t>
      </is>
    </oc>
    <nc r="A27"/>
  </rcc>
  <rcc rId="39197" sId="11">
    <oc r="A28" t="inlineStr">
      <is>
        <t xml:space="preserve">  3) Added $7m to Charters in FY 2011 for loss of EduJobs money</t>
      </is>
    </oc>
    <nc r="A28"/>
  </rcc>
  <rcc rId="39198" sId="11">
    <oc r="A30" t="inlineStr">
      <is>
        <t>Human Services</t>
      </is>
    </oc>
    <nc r="A30"/>
  </rcc>
  <rcc rId="39199" sId="11">
    <oc r="A31" t="inlineStr">
      <is>
        <t xml:space="preserve">  1) Add $10,016 to DPR that had been transferred to GSA</t>
      </is>
    </oc>
    <nc r="A31"/>
  </rcc>
  <rcc rId="39200" sId="11">
    <oc r="A32" t="inlineStr">
      <is>
        <t xml:space="preserve">  2) Added $80.7m in funds to DHCF's FY 2011 budget to account for expiring federal stimulus funds</t>
      </is>
    </oc>
    <nc r="A32"/>
  </rcc>
  <rcc rId="39201" sId="11">
    <oc r="A33" t="inlineStr">
      <is>
        <t xml:space="preserve">  3) Added $14m in funds to DHS's FY 2011 budget to account for loss of stimulus</t>
      </is>
    </oc>
    <nc r="A33"/>
  </rcc>
  <rcc rId="39202" sId="11">
    <oc r="A35" t="inlineStr">
      <is>
        <t>Public Works</t>
      </is>
    </oc>
    <nc r="A35"/>
  </rcc>
  <rcc rId="39203" sId="11">
    <oc r="A38" t="inlineStr">
      <is>
        <t>Financing and Other</t>
      </is>
    </oc>
    <nc r="A38"/>
  </rcc>
  <rcc rId="39204" sId="11">
    <oc r="A41" t="inlineStr">
      <is>
        <t>Capital Shifts</t>
      </is>
    </oc>
    <nc r="A41"/>
  </rcc>
  <rcc rId="39205" sId="11">
    <oc r="C41" t="inlineStr">
      <is>
        <t>Still in capital</t>
      </is>
    </oc>
    <nc r="C41"/>
  </rcc>
  <rcc rId="39206" sId="11">
    <oc r="A42" t="inlineStr">
      <is>
        <t xml:space="preserve">GSA: </t>
      </is>
    </oc>
    <nc r="A42"/>
  </rcc>
  <rcc rId="39207" sId="11" numFmtId="4">
    <oc r="B42">
      <v>2397</v>
    </oc>
    <nc r="B42"/>
  </rcc>
  <rcc rId="39208" sId="11" numFmtId="4">
    <oc r="C42">
      <v>5655</v>
    </oc>
    <nc r="C42"/>
  </rcc>
  <rcc rId="39209" sId="11">
    <oc r="A43" t="inlineStr">
      <is>
        <t xml:space="preserve">  (OPEFM)</t>
      </is>
    </oc>
    <nc r="A43"/>
  </rcc>
  <rcc rId="39210" sId="11" numFmtId="4">
    <oc r="B43">
      <v>19850</v>
    </oc>
    <nc r="B43"/>
  </rcc>
  <rcc rId="39211" sId="11">
    <oc r="A44" t="inlineStr">
      <is>
        <t>OFRM</t>
      </is>
    </oc>
    <nc r="A44"/>
  </rcc>
  <rcc rId="39212" sId="11" numFmtId="4">
    <oc r="B44">
      <v>746</v>
    </oc>
    <nc r="B44"/>
  </rcc>
  <rcc rId="39213" sId="11">
    <oc r="C44">
      <v>24</v>
    </oc>
    <nc r="C44"/>
  </rcc>
  <rcc rId="39214" sId="11">
    <oc r="A45" t="inlineStr">
      <is>
        <t>OCTO</t>
      </is>
    </oc>
    <nc r="A45"/>
  </rcc>
  <rcc rId="39215" sId="11" numFmtId="4">
    <oc r="B45">
      <v>2959</v>
    </oc>
    <nc r="B45"/>
  </rcc>
  <rcc rId="39216" sId="11" numFmtId="4">
    <oc r="C45">
      <v>3170</v>
    </oc>
    <nc r="C45"/>
  </rcc>
  <rcc rId="39217" sId="11">
    <oc r="A46" t="inlineStr">
      <is>
        <t>OP</t>
      </is>
    </oc>
    <nc r="A46"/>
  </rcc>
  <rcc rId="39218" sId="11">
    <oc r="B46">
      <v>314</v>
    </oc>
    <nc r="B46"/>
  </rcc>
  <rcc rId="39219" sId="11">
    <oc r="C46">
      <v>314</v>
    </oc>
    <nc r="C46"/>
  </rcc>
  <rcc rId="39220" sId="11">
    <oc r="A47" t="inlineStr">
      <is>
        <t>DCRA</t>
      </is>
    </oc>
    <nc r="A47"/>
  </rcc>
  <rcc rId="39221" sId="11">
    <oc r="B47">
      <v>828</v>
    </oc>
    <nc r="B47"/>
  </rcc>
  <rcc rId="39222" sId="11">
    <oc r="C47">
      <v>828</v>
    </oc>
    <nc r="C47"/>
  </rcc>
  <rcc rId="39223" sId="11">
    <oc r="A48" t="inlineStr">
      <is>
        <t>CAH</t>
      </is>
    </oc>
    <nc r="A48"/>
  </rcc>
  <rcc rId="39224" sId="11">
    <oc r="B48">
      <v>198</v>
    </oc>
    <nc r="B48"/>
  </rcc>
  <rcc rId="39225" sId="11">
    <oc r="C48">
      <v>198</v>
    </oc>
    <nc r="C48"/>
  </rcc>
  <rcc rId="39226" sId="11">
    <oc r="A49" t="inlineStr">
      <is>
        <t>DHCD</t>
      </is>
    </oc>
    <nc r="A49"/>
  </rcc>
  <rcc rId="39227" sId="11">
    <oc r="B49">
      <f>1500-D46</f>
    </oc>
    <nc r="B49"/>
  </rcc>
  <rcc rId="39228" sId="11">
    <oc r="C49">
      <v>144</v>
    </oc>
    <nc r="C49"/>
  </rcc>
  <rcc rId="39229" sId="11">
    <oc r="A50" t="inlineStr">
      <is>
        <t>DOC</t>
      </is>
    </oc>
    <nc r="A50"/>
  </rcc>
  <rcc rId="39230" sId="11">
    <oc r="B50">
      <v>907</v>
    </oc>
    <nc r="B50"/>
  </rcc>
  <rcc rId="39231" sId="11">
    <oc r="C50">
      <v>907</v>
    </oc>
    <nc r="C50"/>
  </rcc>
  <rcc rId="39232" sId="11">
    <oc r="A51" t="inlineStr">
      <is>
        <t>DCPL</t>
      </is>
    </oc>
    <nc r="A51"/>
  </rcc>
  <rcc rId="39233" sId="11">
    <oc r="B51">
      <v>233</v>
    </oc>
    <nc r="B51"/>
  </rcc>
  <rcc rId="39234" sId="11">
    <oc r="C51">
      <v>233</v>
    </oc>
    <nc r="C51"/>
  </rcc>
  <rcc rId="39235" sId="11">
    <oc r="A52" t="inlineStr">
      <is>
        <t>DPR</t>
      </is>
    </oc>
    <nc r="A52"/>
  </rcc>
  <rcc rId="39236" sId="11">
    <oc r="B52">
      <v>658</v>
    </oc>
    <nc r="B52"/>
  </rcc>
  <rcc rId="39237" sId="11">
    <oc r="A53" t="inlineStr">
      <is>
        <t>DDOT</t>
      </is>
    </oc>
    <nc r="A53"/>
  </rcc>
  <rcc rId="39238" sId="11" numFmtId="4">
    <oc r="B53">
      <v>15471</v>
    </oc>
    <nc r="B53"/>
  </rcc>
  <rcc rId="39239" sId="11" numFmtId="4">
    <oc r="C53">
      <v>9676</v>
    </oc>
    <nc r="C53"/>
  </rcc>
  <rcc rId="39240" sId="11">
    <oc r="A54" t="inlineStr">
      <is>
        <t>UDC</t>
      </is>
    </oc>
    <nc r="A54"/>
  </rcc>
  <rcc rId="39241" sId="11">
    <oc r="C54">
      <v>292</v>
    </oc>
    <nc r="C54"/>
  </rcc>
  <rcc rId="39242" sId="11">
    <oc r="A55" t="inlineStr">
      <is>
        <t>MPD</t>
      </is>
    </oc>
    <nc r="A55"/>
  </rcc>
  <rcc rId="39243" sId="11">
    <oc r="C55">
      <v>126</v>
    </oc>
    <nc r="C55"/>
  </rcc>
  <rcc rId="39244" sId="11" numFmtId="4">
    <oc r="B56">
      <v>26165</v>
    </oc>
    <nc r="B56"/>
  </rcc>
  <rcc rId="39245" sId="11">
    <oc r="C56">
      <f>SUM(C42:C55)</f>
    </oc>
    <nc r="C56"/>
  </rcc>
  <rrc rId="39246" sId="9" eol="1" ref="A15:XFD15" action="insertRow"/>
  <rcc rId="39247" sId="9">
    <nc r="D15">
      <v>2013</v>
    </nc>
  </rcc>
  <rcc rId="39248" sId="1">
    <oc r="A2" t="inlineStr">
      <is>
        <t>Fiscal Year 2012 Budget</t>
      </is>
    </oc>
    <nc r="A2" t="inlineStr">
      <is>
        <t>Fiscal Year 2013 Budget</t>
      </is>
    </nc>
  </rcc>
  <rcc rId="39249" sId="1">
    <oc r="A4" t="inlineStr">
      <is>
        <t>This guide explains the spreadsheets contained in this workbook.  Each spreadsheet tracks only local and special purpose revenue funds in the District's operating budget.  All figures are in thousands, meaning a number that reads $34,098 really means $34,098,000.  For fiscal years 2000 through 2010, numbers are "actual," meaning that the fiscal year is complete and the final figures have been released.  FY 2011 is not complete, so FY 2011 numbers are preliminary.</t>
      </is>
    </oc>
    <nc r="A4" t="inlineStr">
      <is>
        <t>This guide explains the spreadsheets contained in this workbook.  Each spreadsheet tracks only local and special purpose revenue funds in the District's operating budget.  All figures are in thousands, meaning a number that reads $34,098 really means $34,098,000.  For fiscal years 2000 through 2011, numbers are "actual," meaning that the fiscal year is complete and the final figures have been released.  FY 2012 is not complete, so FY 2012 numbers are preliminary.</t>
      </is>
    </nc>
  </rcc>
  <rcc rId="39250" sId="1">
    <oc r="A7" t="inlineStr">
      <is>
        <t>FY2012 by Approp Title</t>
      </is>
    </oc>
    <nc r="A7" t="inlineStr">
      <is>
        <t>FY2013 by Approp Title</t>
      </is>
    </nc>
  </rcc>
  <rcc rId="39251" sId="1">
    <oc r="B7" t="inlineStr">
      <is>
        <t>Tracks general fund budgets for for fiscal years 2000 through 2012 by Appropriations title without adjusting each years appropriations for inflation.</t>
      </is>
    </oc>
    <nc r="B7" t="inlineStr">
      <is>
        <t>Tracks general fund budgets for for fiscal years 2000 through 2013 by Appropriations title without adjusting each years appropriations for inflation.</t>
      </is>
    </nc>
  </rcc>
  <rcc rId="39252" sId="1">
    <oc r="A8" t="inlineStr">
      <is>
        <t>FY2012 by Approp Title-Adj</t>
      </is>
    </oc>
    <nc r="A8" t="inlineStr">
      <is>
        <t>FY2013 by Approp Title-Adj</t>
      </is>
    </nc>
  </rcc>
  <rcc rId="39253" sId="1">
    <oc r="B8" t="inlineStr">
      <is>
        <t>Tracks general fund budgets for for fiscal years 2000 through 2012 by Appropriations title and makes adjustments for inflation so that all figures are in terms of 2010 dollars.</t>
      </is>
    </oc>
    <nc r="B8" t="inlineStr">
      <is>
        <t>Tracks general fund budgets for for fiscal years 2000 through 2013 by Appropriations title and makes adjustments for inflation so that all figures are in terms of 2013 dollars.</t>
      </is>
    </nc>
  </rcc>
  <rcc rId="39254" sId="1">
    <oc r="A9" t="inlineStr">
      <is>
        <t>FY 2012 by Agency</t>
      </is>
    </oc>
    <nc r="A9" t="inlineStr">
      <is>
        <t>FY 2013 by Agency</t>
      </is>
    </nc>
  </rcc>
  <rcc rId="39255" sId="1">
    <oc r="B9" t="inlineStr">
      <is>
        <t>Tracks general fund budgets for for fiscal years 2000 through 2012 for each government agency without adjusting each years appropriations for inflation.</t>
      </is>
    </oc>
    <nc r="B9" t="inlineStr">
      <is>
        <t>Tracks general fund budgets for for fiscal years 2000 through 2013 for each government agency without adjusting each years appropriations for inflation.</t>
      </is>
    </nc>
  </rcc>
  <rcc rId="39256" sId="1">
    <oc r="A10" t="inlineStr">
      <is>
        <t>FY 2012 by Agency-Adj</t>
      </is>
    </oc>
    <nc r="A10" t="inlineStr">
      <is>
        <t>FY 2013 by Agency-Adj</t>
      </is>
    </nc>
  </rcc>
  <rcc rId="39257" sId="1">
    <oc r="B10" t="inlineStr">
      <is>
        <t>Tracks general fund budgets for for fiscal years 2000 through 2012 for each government agency without adjusting each years appropriations for inflation.</t>
      </is>
    </oc>
    <nc r="B10" t="inlineStr">
      <is>
        <t>Tracks general fund budgets for for fiscal years 2000 through 2013 for each government agency without adjusting each years appropriations for inflation.</t>
      </is>
    </nc>
  </rcc>
  <rrc rId="39258" sId="1" ref="A11:XFD11" action="deleteRow">
    <rfmt sheetId="1" xfDxf="1" sqref="A11:XFD11" start="0" length="0"/>
    <rcc rId="0" sId="1" dxf="1">
      <nc r="A11" t="inlineStr">
        <is>
          <t>FY2010 FTE's</t>
        </is>
      </nc>
      <ndxf>
        <font>
          <sz val="10"/>
          <color auto="1"/>
          <name val="Arial"/>
          <scheme val="none"/>
        </font>
      </ndxf>
    </rcc>
    <rcc rId="0" sId="1" dxf="1">
      <nc r="B11" t="inlineStr">
        <is>
          <t>Tracks the number of Full Time Equivalent (FTE) staff for each government agency from fiscal year 2008 through 2010.</t>
        </is>
      </nc>
      <ndxf>
        <font>
          <sz val="10"/>
          <color auto="1"/>
          <name val="Arial"/>
          <scheme val="none"/>
        </font>
        <alignment horizontal="left" vertical="center" wrapText="1" readingOrder="0"/>
      </ndxf>
    </rcc>
  </rrc>
  <rrc rId="39259" sId="1" ref="A11:XFD11" action="deleteRow">
    <rfmt sheetId="1" xfDxf="1" sqref="A11:XFD11" start="0" length="0"/>
    <rcc rId="0" sId="1" dxf="1">
      <nc r="A11" t="inlineStr">
        <is>
          <t>FY2010 Gross</t>
        </is>
      </nc>
      <ndxf>
        <font>
          <sz val="10"/>
          <color auto="1"/>
          <name val="Arial"/>
          <scheme val="none"/>
        </font>
      </ndxf>
    </rcc>
    <rcc rId="0" sId="1" dxf="1">
      <nc r="B11" t="inlineStr">
        <is>
          <t>Tracks gross general fund budgets from fiscal year 2008 through 2010.</t>
        </is>
      </nc>
      <ndxf>
        <font>
          <sz val="10"/>
          <color auto="1"/>
          <name val="Arial"/>
          <scheme val="none"/>
        </font>
        <alignment horizontal="left" vertical="center" wrapText="1" readingOrder="0"/>
      </ndxf>
    </rcc>
  </rrc>
  <rrc rId="39260" sId="1" ref="A11:XFD11" action="deleteRow">
    <rfmt sheetId="1" xfDxf="1" sqref="A11:XFD11" start="0" length="0"/>
    <rcc rId="0" sId="1" dxf="1">
      <nc r="A11" t="inlineStr">
        <is>
          <t>FY2010 Gross-Adj</t>
        </is>
      </nc>
      <ndxf>
        <font>
          <sz val="10"/>
          <color auto="1"/>
          <name val="Arial"/>
          <scheme val="none"/>
        </font>
      </ndxf>
    </rcc>
    <rcc rId="0" sId="1" dxf="1">
      <nc r="B11" t="inlineStr">
        <is>
          <t>Tracks gross general fund budgets from fiscal year 2008 through 2010 adjusted for inflation.</t>
        </is>
      </nc>
      <ndxf>
        <font>
          <sz val="10"/>
          <color auto="1"/>
          <name val="Arial"/>
          <scheme val="none"/>
        </font>
        <alignment horizontal="left" vertical="center" wrapText="1" readingOrder="0"/>
      </ndxf>
    </rcc>
  </rrc>
  <rfmt sheetId="5" sqref="BX4:BZ5" start="0" length="2147483647">
    <dxf>
      <font>
        <color rgb="FF009999"/>
      </font>
    </dxf>
  </rfmt>
  <rfmt sheetId="5" sqref="BX4:BZ5" start="0" length="2147483647">
    <dxf>
      <font/>
    </dxf>
  </rfmt>
  <rfmt sheetId="5" sqref="BX4:BZ5" start="0" length="2147483647">
    <dxf>
      <font>
        <color auto="1"/>
      </font>
    </dxf>
  </rfmt>
  <rfmt sheetId="5" sqref="BX4:BZ5">
    <dxf>
      <fill>
        <patternFill patternType="solid">
          <bgColor rgb="FF00BCB8"/>
        </patternFill>
      </fill>
    </dxf>
  </rfmt>
  <rfmt sheetId="5" sqref="BX4:BX5" start="0" length="0">
    <dxf>
      <border>
        <left style="thin">
          <color indexed="64"/>
        </left>
      </border>
    </dxf>
  </rfmt>
  <rfmt sheetId="5" sqref="BX4:BZ4" start="0" length="0">
    <dxf>
      <border>
        <top style="thin">
          <color indexed="64"/>
        </top>
      </border>
    </dxf>
  </rfmt>
  <rfmt sheetId="5" sqref="BZ4:BZ5" start="0" length="0">
    <dxf>
      <border>
        <right style="thin">
          <color indexed="64"/>
        </right>
      </border>
    </dxf>
  </rfmt>
  <rfmt sheetId="5" sqref="BX5:BZ5" start="0" length="0">
    <dxf>
      <border>
        <bottom style="thin">
          <color indexed="64"/>
        </bottom>
      </border>
    </dxf>
  </rfmt>
  <rfmt sheetId="5" sqref="BX4:BZ5">
    <dxf>
      <border>
        <left style="thin">
          <color indexed="64"/>
        </left>
        <right style="thin">
          <color indexed="64"/>
        </right>
        <top style="thin">
          <color indexed="64"/>
        </top>
        <bottom style="thin">
          <color indexed="64"/>
        </bottom>
        <vertical style="thin">
          <color indexed="64"/>
        </vertical>
        <horizontal style="thin">
          <color indexed="64"/>
        </horizontal>
      </border>
    </dxf>
  </rfmt>
  <rcc rId="39261" sId="5">
    <nc r="BX5" t="inlineStr">
      <is>
        <t>Proposed</t>
      </is>
    </nc>
  </rcc>
  <rcc rId="39262" sId="5">
    <nc r="BY5" t="inlineStr">
      <is>
        <t xml:space="preserve">    $</t>
      </is>
    </nc>
  </rcc>
  <rcc rId="39263" sId="5">
    <nc r="BZ5" t="inlineStr">
      <is>
        <t>%</t>
      </is>
    </nc>
  </rcc>
  <rcc rId="39264" sId="5">
    <nc r="BX4" t="inlineStr">
      <is>
        <t>FY 2013</t>
      </is>
    </nc>
  </rcc>
  <rcc rId="39265" sId="5">
    <nc r="BY4" t="inlineStr">
      <is>
        <t>Change FY '12 -FY 13</t>
      </is>
    </nc>
  </rcc>
  <rfmt sheetId="5" sqref="BX4:BZ5" start="0" length="2147483647">
    <dxf>
      <font>
        <b/>
      </font>
    </dxf>
  </rfmt>
  <rfmt sheetId="5" sqref="BX4:BZ5">
    <dxf>
      <alignment horizontal="center" readingOrder="0"/>
    </dxf>
  </rfmt>
  <rfmt sheetId="5" sqref="BY4">
    <dxf>
      <alignment horizontal="left" readingOrder="0"/>
    </dxf>
  </rfmt>
  <rcv guid="{78CA186D-B240-44D5-8A24-D241DE0B0FD9}" action="delete"/>
  <rdn rId="0" localSheetId="2" customView="1" name="Z_78CA186D_B240_44D5_8A24_D241DE0B0FD9_.wvu.Cols" hidden="1" oldHidden="1">
    <formula>'FY2013 by Approp Title'!$AA:$AA</formula>
    <oldFormula>'FY2013 by Approp Title'!$AA:$AA</oldFormula>
  </rdn>
  <rdn rId="0" localSheetId="3" customView="1" name="Z_78CA186D_B240_44D5_8A24_D241DE0B0FD9_.wvu.Cols" hidden="1" oldHidden="1">
    <formula>'FY2013 By Approp Title-Adj'!$AA:$AA</formula>
    <oldFormula>'FY2013 By Approp Title-Adj'!$AA:$AA</oldFormula>
  </rdn>
  <rdn rId="0" localSheetId="4" customView="1" name="Z_78CA186D_B240_44D5_8A24_D241DE0B0FD9_.wvu.Rows" hidden="1" oldHidden="1">
    <formula>'FY 2013 by Agency'!$1:$3,'FY 2013 by Agency'!$226:$240</formula>
    <oldFormula>'FY 2013 by Agency'!$1:$3,'FY 2013 by Agency'!$226:$240</oldFormula>
  </rdn>
  <rdn rId="0" localSheetId="4" customView="1" name="Z_78CA186D_B240_44D5_8A24_D241DE0B0FD9_.wvu.Cols" hidden="1" oldHidden="1">
    <formula>'FY 2013 by Agency'!$D:$E,'FY 2013 by Agency'!$G:$H,'FY 2013 by Agency'!$J:$K,'FY 2013 by Agency'!$M:$N,'FY 2013 by Agency'!$P:$Q,'FY 2013 by Agency'!$S:$T,'FY 2013 by Agency'!$V:$W,'FY 2013 by Agency'!$Y:$Z,'FY 2013 by Agency'!$AB:$AE,'FY 2013 by Agency'!$AG:$AO,'FY 2013 by Agency'!$AV:$AW,'FY 2013 by Agency'!$AY:$AZ,'FY 2013 by Agency'!$BF:$BG</formula>
    <oldFormula>'FY 2013 by Agency'!$D:$E,'FY 2013 by Agency'!$G:$H,'FY 2013 by Agency'!$J:$K,'FY 2013 by Agency'!$M:$N,'FY 2013 by Agency'!$P:$Q,'FY 2013 by Agency'!$S:$T,'FY 2013 by Agency'!$V:$W,'FY 2013 by Agency'!$Y:$Z,'FY 2013 by Agency'!$AB:$AE,'FY 2013 by Agency'!$AG:$AO,'FY 2013 by Agency'!$AV:$AW,'FY 2013 by Agency'!$AY:$AZ,'FY 2013 by Agency'!$BF:$BG</oldFormula>
  </rdn>
  <rdn rId="0" localSheetId="5" customView="1" name="Z_78CA186D_B240_44D5_8A24_D241DE0B0FD9_.wvu.Rows" hidden="1" oldHidden="1">
    <formula>'FY 2013 by Agency-Adj'!$1:$3,'FY 2013 by Agency-Adj'!$14:$14,'FY 2013 by Agency-Adj'!$19:$19,'FY 2013 by Agency-Adj'!$155:$155,'FY 2013 by Agency-Adj'!$162:$162,'FY 2013 by Agency-Adj'!$224:$238</formula>
    <oldFormula>'FY 2013 by Agency-Adj'!$1:$3,'FY 2013 by Agency-Adj'!$14:$14,'FY 2013 by Agency-Adj'!$19:$19,'FY 2013 by Agency-Adj'!$155:$155,'FY 2013 by Agency-Adj'!$162:$162,'FY 2013 by Agency-Adj'!$224:$238</oldFormula>
  </rdn>
  <rdn rId="0" localSheetId="5" customView="1" name="Z_78CA186D_B240_44D5_8A24_D241DE0B0FD9_.wvu.Cols" hidden="1" oldHidden="1">
    <formula>'FY 2013 by Agency-Adj'!$AD:$AE,'FY 2013 by Agency-Adj'!$AI:$BK,'FY 2013 by Agency-Adj'!$BO:$BT</formula>
    <oldFormula>'FY 2013 by Agency-Adj'!$AD:$AE,'FY 2013 by Agency-Adj'!$AI:$BK,'FY 2013 by Agency-Adj'!$BO:$BT</oldFormula>
  </rdn>
  <rdn rId="0" localSheetId="8" customView="1" name="Z_78CA186D_B240_44D5_8A24_D241DE0B0FD9_.wvu.Rows" hidden="1" oldHidden="1">
    <formula>'Sheet 4'!$1:$6</formula>
    <oldFormula>'Sheet 4'!$1:$6</oldFormula>
  </rdn>
  <rcv guid="{78CA186D-B240-44D5-8A24-D241DE0B0FD9}" action="add"/>
  <rsnm rId="39273" sheetId="10" oldName="[FY2013 General Fund Budget.xlsx]Sheet1" newName="[FY2013 General Fund Budget.xlsx]Sheet 3"/>
  <rsnm rId="39274" sheetId="8" oldName="[FY2013 General Fund Budget.xlsx]FY2010 Gross-Adj" newName="[FY2013 General Fund Budget.xlsx]Sheet 4"/>
  <rsnm rId="39275" sheetId="7" oldName="[FY2013 General Fund Budget.xlsx]FY2010 Gross" newName="[FY2013 General Fund Budget.xlsx]Sheet 6"/>
</revisions>
</file>

<file path=xl/revisions/revisionLog114.xml><?xml version="1.0" encoding="utf-8"?>
<revisions xmlns="http://schemas.openxmlformats.org/spreadsheetml/2006/main" xmlns:r="http://schemas.openxmlformats.org/officeDocument/2006/relationships">
  <rcc rId="41325" sId="4">
    <nc r="BP51">
      <v>4108</v>
    </nc>
  </rcc>
  <rfmt sheetId="4" sqref="BP1:BP1048576">
    <dxf>
      <numFmt numFmtId="165" formatCode="&quot;$&quot;#,##0"/>
    </dxf>
  </rfmt>
  <rcc rId="41326" sId="4" numFmtId="11">
    <nc r="BP52">
      <v>1339</v>
    </nc>
  </rcc>
  <rcc rId="41327" sId="4" numFmtId="11">
    <nc r="BP55">
      <v>174</v>
    </nc>
  </rcc>
  <rcc rId="41328" sId="4" numFmtId="11">
    <nc r="BP63">
      <v>833</v>
    </nc>
  </rcc>
  <rcc rId="41329" sId="4" numFmtId="11">
    <nc r="BP58">
      <v>5167</v>
    </nc>
  </rcc>
  <rcc rId="41330" sId="4" numFmtId="11">
    <nc r="BP62">
      <v>155</v>
    </nc>
  </rcc>
  <rcc rId="41331" sId="4" numFmtId="11">
    <nc r="BP61">
      <v>6693</v>
    </nc>
  </rcc>
  <rcc rId="41332" sId="4" numFmtId="11">
    <nc r="BP69">
      <v>196</v>
    </nc>
  </rcc>
  <rcc rId="41333" sId="4" numFmtId="11">
    <nc r="BP60">
      <v>69</v>
    </nc>
  </rcc>
  <rcc rId="41334" sId="4" numFmtId="11">
    <nc r="BP56">
      <v>3377</v>
    </nc>
  </rcc>
  <rcc rId="41335" sId="4" numFmtId="11">
    <nc r="BP66">
      <v>1702</v>
    </nc>
  </rcc>
  <rcc rId="41336" sId="4" numFmtId="11">
    <nc r="BP67">
      <v>1038</v>
    </nc>
  </rcc>
  <rcc rId="41337" sId="4" numFmtId="11">
    <nc r="BP53">
      <v>86</v>
    </nc>
  </rcc>
  <rcc rId="41338" sId="4" numFmtId="11">
    <nc r="BP64">
      <v>409</v>
    </nc>
  </rcc>
  <rcc rId="41339" sId="4" numFmtId="11">
    <nc r="BP68">
      <v>1900</v>
    </nc>
  </rcc>
  <rcc rId="41340" sId="4" numFmtId="11">
    <nc r="BP54">
      <v>146</v>
    </nc>
  </rcc>
  <rcv guid="{9D4F0482-B164-4671-805A-E0D2D4DD4720}" action="delete"/>
  <rdn rId="0" localSheetId="2" customView="1" name="Z_9D4F0482_B164_4671_805A_E0D2D4DD4720_.wvu.Cols" hidden="1" oldHidden="1">
    <formula>'FY2013 by Approp Title'!$AA:$AA</formula>
    <oldFormula>'FY2013 by Approp Title'!$AA:$AA</oldFormula>
  </rdn>
  <rdn rId="0" localSheetId="3" customView="1" name="Z_9D4F0482_B164_4671_805A_E0D2D4DD4720_.wvu.Cols" hidden="1" oldHidden="1">
    <formula>'FY2013 By Approp Title-Adj'!$AA:$AA</formula>
    <oldFormula>'FY2013 By Approp Title-Adj'!$AA:$AA</oldFormula>
  </rdn>
  <rdn rId="0" localSheetId="4" customView="1" name="Z_9D4F0482_B164_4671_805A_E0D2D4DD4720_.wvu.Rows" hidden="1" oldHidden="1">
    <formula>'FY 2013 by Agency'!$1:$3,'FY 2013 by Agency'!$226:$240</formula>
    <oldFormula>'FY 2013 by Agency'!$1:$3,'FY 2013 by Agency'!$226:$240</oldFormula>
  </rdn>
  <rdn rId="0" localSheetId="4" customView="1" name="Z_9D4F0482_B164_4671_805A_E0D2D4DD4720_.wvu.Cols" hidden="1" oldHidden="1">
    <formula>'FY 2013 by Agency'!$AI:$AW</formula>
    <oldFormula>'FY 2013 by Agency'!$AI:$AW</oldFormula>
  </rdn>
  <rdn rId="0" localSheetId="5" customView="1" name="Z_9D4F0482_B164_4671_805A_E0D2D4DD4720_.wvu.Rows" hidden="1" oldHidden="1">
    <formula>'FY 2013 by Agency-Adj'!$1:$3,'FY 2013 by Agency-Adj'!$14:$14,'FY 2013 by Agency-Adj'!$19:$19,'FY 2013 by Agency-Adj'!$148:$148,'FY 2013 by Agency-Adj'!$156:$156,'FY 2013 by Agency-Adj'!$163:$163,'FY 2013 by Agency-Adj'!$227:$241</formula>
    <oldFormula>'FY 2013 by Agency-Adj'!$1:$3,'FY 2013 by Agency-Adj'!$14:$14,'FY 2013 by Agency-Adj'!$19:$19,'FY 2013 by Agency-Adj'!$148:$148,'FY 2013 by Agency-Adj'!$156:$156,'FY 2013 by Agency-Adj'!$163:$163,'FY 2013 by Agency-Adj'!$227:$241</oldFormula>
  </rdn>
  <rdn rId="0" localSheetId="5" customView="1" name="Z_9D4F0482_B164_4671_805A_E0D2D4DD4720_.wvu.Cols" hidden="1" oldHidden="1">
    <formula>'FY 2013 by Agency-Adj'!$AD:$AE,'FY 2013 by Agency-Adj'!$AI:$BJ</formula>
    <oldFormula>'FY 2013 by Agency-Adj'!$AD:$AE,'FY 2013 by Agency-Adj'!$AI:$BJ</oldFormula>
  </rdn>
  <rdn rId="0" localSheetId="8" customView="1" name="Z_9D4F0482_B164_4671_805A_E0D2D4DD4720_.wvu.Rows" hidden="1" oldHidden="1">
    <formula>'Sheet 4'!$1:$6</formula>
    <oldFormula>'Sheet 4'!$1:$6</oldFormula>
  </rdn>
  <rcv guid="{9D4F0482-B164-4671-805A-E0D2D4DD4720}" action="add"/>
</revisions>
</file>

<file path=xl/revisions/revisionLog115.xml><?xml version="1.0" encoding="utf-8"?>
<revisions xmlns="http://schemas.openxmlformats.org/spreadsheetml/2006/main" xmlns:r="http://schemas.openxmlformats.org/officeDocument/2006/relationships">
  <rcc rId="41400" sId="4" numFmtId="11">
    <oc r="BP120">
      <v>44880</v>
    </oc>
    <nc r="BP120">
      <v>44881</v>
    </nc>
  </rcc>
  <rcc rId="41401" sId="4" numFmtId="11">
    <oc r="BP122">
      <v>4249</v>
    </oc>
    <nc r="BP122">
      <v>4250</v>
    </nc>
  </rcc>
  <rcc rId="41402" sId="4" numFmtId="11">
    <oc r="BP128">
      <v>391</v>
    </oc>
    <nc r="BP128">
      <v>392</v>
    </nc>
  </rcc>
  <rcc rId="41403" sId="4" numFmtId="11">
    <oc r="BP127">
      <v>832</v>
    </oc>
    <nc r="BP127">
      <v>833</v>
    </nc>
  </rcc>
  <rcc rId="41404" sId="4">
    <oc r="BS122">
      <v>128</v>
    </oc>
    <nc r="BS122">
      <v>129</v>
    </nc>
  </rcc>
  <rcc rId="41405" sId="4">
    <oc r="BS125">
      <v>2</v>
    </oc>
    <nc r="BS125">
      <v>2.6</v>
    </nc>
  </rcc>
  <rcc rId="41406" sId="4">
    <oc r="BS128">
      <v>2</v>
    </oc>
    <nc r="BS128">
      <v>2.1</v>
    </nc>
  </rcc>
  <rcv guid="{50528D02-548E-47E0-94D7-D1E79CD3569C}" action="delete"/>
  <rdn rId="0" localSheetId="2" customView="1" name="Z_50528D02_548E_47E0_94D7_D1E79CD3569C_.wvu.Cols" hidden="1" oldHidden="1">
    <formula>'FY2013 by Approp Title'!$AA:$AA</formula>
    <oldFormula>'FY2013 by Approp Title'!$AA:$AA</oldFormula>
  </rdn>
  <rdn rId="0" localSheetId="3" customView="1" name="Z_50528D02_548E_47E0_94D7_D1E79CD3569C_.wvu.Cols" hidden="1" oldHidden="1">
    <formula>'FY2013 By Approp Title-Adj'!$AA:$AA</formula>
    <oldFormula>'FY2013 By Approp Title-Adj'!$AA:$AA</oldFormula>
  </rdn>
  <rdn rId="0" localSheetId="4" customView="1" name="Z_50528D02_548E_47E0_94D7_D1E79CD3569C_.wvu.Rows" hidden="1" oldHidden="1">
    <formula>'FY 2013 by Agency'!$1:$3,'FY 2013 by Agency'!$226:$240</formula>
    <oldFormula>'FY 2013 by Agency'!$1:$3,'FY 2013 by Agency'!$226:$240</oldFormula>
  </rdn>
  <rdn rId="0" localSheetId="4" customView="1" name="Z_50528D02_548E_47E0_94D7_D1E79CD3569C_.wvu.Cols" hidden="1" oldHidden="1">
    <formula>'FY 2013 by Agency'!$D:$E,'FY 2013 by Agency'!$G:$H,'FY 2013 by Agency'!$J:$K,'FY 2013 by Agency'!$M:$N,'FY 2013 by Agency'!$P:$Q,'FY 2013 by Agency'!$S:$T,'FY 2013 by Agency'!$V:$W,'FY 2013 by Agency'!$Y:$Z,'FY 2013 by Agency'!$AB:$AE,'FY 2013 by Agency'!$AG:$AO,'FY 2013 by Agency'!$AV:$AW,'FY 2013 by Agency'!$AY:$AZ,'FY 2013 by Agency'!$BF:$BG</formula>
    <oldFormula>'FY 2013 by Agency'!$D:$E,'FY 2013 by Agency'!$G:$H,'FY 2013 by Agency'!$J:$K,'FY 2013 by Agency'!$M:$N,'FY 2013 by Agency'!$P:$Q,'FY 2013 by Agency'!$S:$T,'FY 2013 by Agency'!$V:$W,'FY 2013 by Agency'!$Y:$Z,'FY 2013 by Agency'!$AB:$AE,'FY 2013 by Agency'!$AG:$AO,'FY 2013 by Agency'!$AV:$AW,'FY 2013 by Agency'!$AY:$AZ,'FY 2013 by Agency'!$BF:$BG</oldFormula>
  </rdn>
  <rdn rId="0" localSheetId="5" customView="1" name="Z_50528D02_548E_47E0_94D7_D1E79CD3569C_.wvu.Rows" hidden="1" oldHidden="1">
    <formula>'FY 2013 by Agency-Adj'!$1:$3,'FY 2013 by Agency-Adj'!$14:$14,'FY 2013 by Agency-Adj'!$19:$19,'FY 2013 by Agency-Adj'!$156:$156,'FY 2013 by Agency-Adj'!$163:$163,'FY 2013 by Agency-Adj'!$227:$241</formula>
    <oldFormula>'FY 2013 by Agency-Adj'!$1:$3,'FY 2013 by Agency-Adj'!$14:$14,'FY 2013 by Agency-Adj'!$19:$19,'FY 2013 by Agency-Adj'!$156:$156,'FY 2013 by Agency-Adj'!$163:$163,'FY 2013 by Agency-Adj'!$227:$241</oldFormula>
  </rdn>
  <rdn rId="0" localSheetId="5" customView="1" name="Z_50528D02_548E_47E0_94D7_D1E79CD3569C_.wvu.Cols" hidden="1" oldHidden="1">
    <formula>'FY 2013 by Agency-Adj'!$AD:$AE,'FY 2013 by Agency-Adj'!$AI:$BK,'FY 2013 by Agency-Adj'!$BO:$BT</formula>
    <oldFormula>'FY 2013 by Agency-Adj'!$AD:$AE,'FY 2013 by Agency-Adj'!$AI:$BK,'FY 2013 by Agency-Adj'!$BO:$BT</oldFormula>
  </rdn>
  <rdn rId="0" localSheetId="8" customView="1" name="Z_50528D02_548E_47E0_94D7_D1E79CD3569C_.wvu.Rows" hidden="1" oldHidden="1">
    <formula>'Sheet 4'!$1:$6</formula>
    <oldFormula>'Sheet 4'!$1:$6</oldFormula>
  </rdn>
  <rcv guid="{50528D02-548E-47E0-94D7-D1E79CD3569C}" action="add"/>
</revisions>
</file>

<file path=xl/revisions/revisionLog116.xml><?xml version="1.0" encoding="utf-8"?>
<revisions xmlns="http://schemas.openxmlformats.org/spreadsheetml/2006/main" xmlns:r="http://schemas.openxmlformats.org/officeDocument/2006/relationships">
  <rcc rId="41519" sId="4" numFmtId="11">
    <oc r="BE37">
      <v>2951</v>
    </oc>
    <nc r="BE37">
      <v>0</v>
    </nc>
  </rcc>
  <rfmt sheetId="4" sqref="BE37">
    <dxf>
      <fill>
        <patternFill patternType="none">
          <bgColor auto="1"/>
        </patternFill>
      </fill>
    </dxf>
  </rfmt>
  <rcc rId="41520" sId="4">
    <oc r="BE106">
      <f>(8161+3883)-(199+2951)</f>
    </oc>
    <nc r="BE106">
      <f>(8161+3883)</f>
    </nc>
  </rcc>
  <rcmt sheetId="4" cell="BE37" guid="{EF45F922-4B3B-4188-98FC-55F65ED1D03C}" author="Ed Lazere" newLength="55"/>
  <rcv guid="{AEFEB150-9213-45F5-A178-7AC71E46DB11}" action="delete"/>
  <rdn rId="0" localSheetId="2" customView="1" name="Z_AEFEB150_9213_45F5_A178_7AC71E46DB11_.wvu.Cols" hidden="1" oldHidden="1">
    <formula>'FY2013 by Approp Title'!$AA:$AA</formula>
    <oldFormula>'FY2013 by Approp Title'!$AA:$AA</oldFormula>
  </rdn>
  <rdn rId="0" localSheetId="3" customView="1" name="Z_AEFEB150_9213_45F5_A178_7AC71E46DB11_.wvu.Cols" hidden="1" oldHidden="1">
    <formula>'FY2013 By Approp Title-Adj'!$AA:$AA</formula>
    <oldFormula>'FY2013 By Approp Title-Adj'!$AA:$AA</oldFormula>
  </rdn>
  <rdn rId="0" localSheetId="4" customView="1" name="Z_AEFEB150_9213_45F5_A178_7AC71E46DB11_.wvu.Rows" hidden="1" oldHidden="1">
    <formula>'FY 2013 by Agency'!$1:$3,'FY 2013 by Agency'!$226:$240</formula>
    <oldFormula>'FY 2013 by Agency'!$1:$3,'FY 2013 by Agency'!$226:$240</oldFormula>
  </rdn>
  <rdn rId="0" localSheetId="5" customView="1" name="Z_AEFEB150_9213_45F5_A178_7AC71E46DB11_.wvu.Rows" hidden="1" oldHidden="1">
    <formula>'FY 2013 by Agency-Adj'!$1:$3,'FY 2013 by Agency-Adj'!$227:$241</formula>
    <oldFormula>'FY 2013 by Agency-Adj'!$1:$3,'FY 2013 by Agency-Adj'!$227:$241</oldFormula>
  </rdn>
  <rdn rId="0" localSheetId="5" customView="1" name="Z_AEFEB150_9213_45F5_A178_7AC71E46DB11_.wvu.Cols" hidden="1" oldHidden="1">
    <formula>'FY 2013 by Agency-Adj'!$AJ:$AM</formula>
    <oldFormula>'FY 2013 by Agency-Adj'!$AJ:$AM</oldFormula>
  </rdn>
  <rdn rId="0" localSheetId="8" customView="1" name="Z_AEFEB150_9213_45F5_A178_7AC71E46DB11_.wvu.Rows" hidden="1" oldHidden="1">
    <formula>'Sheet 4'!$1:$6</formula>
    <oldFormula>'Sheet 4'!$1:$6</oldFormula>
  </rdn>
  <rcv guid="{AEFEB150-9213-45F5-A178-7AC71E46DB11}" action="add"/>
</revisions>
</file>

<file path=xl/revisions/revisionLog1161.xml><?xml version="1.0" encoding="utf-8"?>
<revisions xmlns="http://schemas.openxmlformats.org/spreadsheetml/2006/main" xmlns:r="http://schemas.openxmlformats.org/officeDocument/2006/relationships">
  <rcv guid="{567C3053-2D8E-4705-8DC7-18896C5303CA}" action="delete"/>
  <rdn rId="0" localSheetId="2" customView="1" name="Z_567C3053_2D8E_4705_8DC7_18896C5303CA_.wvu.Cols" hidden="1" oldHidden="1">
    <formula>'FY2013 by Approp Title'!$AA:$AA</formula>
    <oldFormula>'FY2013 by Approp Title'!$AA:$AA</oldFormula>
  </rdn>
  <rdn rId="0" localSheetId="3" customView="1" name="Z_567C3053_2D8E_4705_8DC7_18896C5303CA_.wvu.Cols" hidden="1" oldHidden="1">
    <formula>'FY2013 By Approp Title-Adj'!$AA:$AA</formula>
    <oldFormula>'FY2013 By Approp Title-Adj'!$AA:$AA</oldFormula>
  </rdn>
  <rdn rId="0" localSheetId="4" customView="1" name="Z_567C3053_2D8E_4705_8DC7_18896C5303CA_.wvu.Rows" hidden="1" oldHidden="1">
    <formula>'FY 2013 by Agency'!$1:$3,'FY 2013 by Agency'!$226:$240</formula>
    <oldFormula>'FY 2013 by Agency'!$1:$3,'FY 2013 by Agency'!$226:$240</oldFormula>
  </rdn>
  <rdn rId="0" localSheetId="5" customView="1" name="Z_567C3053_2D8E_4705_8DC7_18896C5303CA_.wvu.Rows" hidden="1" oldHidden="1">
    <formula>'FY 2013 by Agency-Adj'!$1:$3,'FY 2013 by Agency-Adj'!$227:$241</formula>
    <oldFormula>'FY 2013 by Agency-Adj'!$1:$3,'FY 2013 by Agency-Adj'!$227:$241</oldFormula>
  </rdn>
  <rdn rId="0" localSheetId="5" customView="1" name="Z_567C3053_2D8E_4705_8DC7_18896C5303CA_.wvu.Cols" hidden="1" oldHidden="1">
    <formula>'FY 2013 by Agency-Adj'!$V:$AB,'FY 2013 by Agency-Adj'!$AJ:$AM,'FY 2013 by Agency-Adj'!$AP:$AS</formula>
    <oldFormula>'FY 2013 by Agency-Adj'!$V:$AB,'FY 2013 by Agency-Adj'!$AJ:$AM,'FY 2013 by Agency-Adj'!$AP:$AS</oldFormula>
  </rdn>
  <rdn rId="0" localSheetId="8" customView="1" name="Z_567C3053_2D8E_4705_8DC7_18896C5303CA_.wvu.Rows" hidden="1" oldHidden="1">
    <formula>'Sheet 4'!$1:$6</formula>
    <oldFormula>'Sheet 4'!$1:$6</oldFormula>
  </rdn>
  <rcv guid="{567C3053-2D8E-4705-8DC7-18896C5303CA}" action="add"/>
</revisions>
</file>

<file path=xl/revisions/revisionLog117.xml><?xml version="1.0" encoding="utf-8"?>
<revisions xmlns="http://schemas.openxmlformats.org/spreadsheetml/2006/main" xmlns:r="http://schemas.openxmlformats.org/officeDocument/2006/relationships">
  <rcv guid="{567C3053-2D8E-4705-8DC7-18896C5303CA}" action="delete"/>
  <rdn rId="0" localSheetId="2" customView="1" name="Z_567C3053_2D8E_4705_8DC7_18896C5303CA_.wvu.Cols" hidden="1" oldHidden="1">
    <formula>'FY2013 by Approp Title'!$AA:$AA</formula>
    <oldFormula>'FY2013 by Approp Title'!$AA:$AA</oldFormula>
  </rdn>
  <rdn rId="0" localSheetId="3" customView="1" name="Z_567C3053_2D8E_4705_8DC7_18896C5303CA_.wvu.Cols" hidden="1" oldHidden="1">
    <formula>'FY2013 By Approp Title-Adj'!$AA:$AA</formula>
    <oldFormula>'FY2013 By Approp Title-Adj'!$AA:$AA</oldFormula>
  </rdn>
  <rdn rId="0" localSheetId="4" customView="1" name="Z_567C3053_2D8E_4705_8DC7_18896C5303CA_.wvu.Rows" hidden="1" oldHidden="1">
    <formula>'FY 2013 by Agency'!$1:$3,'FY 2013 by Agency'!$227:$241</formula>
    <oldFormula>'FY 2013 by Agency'!$1:$3,'FY 2013 by Agency'!$227:$241</oldFormula>
  </rdn>
  <rdn rId="0" localSheetId="5" customView="1" name="Z_567C3053_2D8E_4705_8DC7_18896C5303CA_.wvu.Rows" hidden="1" oldHidden="1">
    <formula>'FY 2013 by Agency-Adj'!$1:$3,'FY 2013 by Agency-Adj'!$228:$242</formula>
    <oldFormula>'FY 2013 by Agency-Adj'!$1:$3,'FY 2013 by Agency-Adj'!$228:$242</oldFormula>
  </rdn>
  <rdn rId="0" localSheetId="5" customView="1" name="Z_567C3053_2D8E_4705_8DC7_18896C5303CA_.wvu.Cols" hidden="1" oldHidden="1">
    <formula>'FY 2013 by Agency-Adj'!$V:$AB,'FY 2013 by Agency-Adj'!$AJ:$AM,'FY 2013 by Agency-Adj'!$AP:$AS</formula>
    <oldFormula>'FY 2013 by Agency-Adj'!$V:$AB,'FY 2013 by Agency-Adj'!$AJ:$AM,'FY 2013 by Agency-Adj'!$AP:$AS</oldFormula>
  </rdn>
  <rdn rId="0" localSheetId="8" customView="1" name="Z_567C3053_2D8E_4705_8DC7_18896C5303CA_.wvu.Rows" hidden="1" oldHidden="1">
    <formula>'Sheet 4'!$1:$6</formula>
    <oldFormula>'Sheet 4'!$1:$6</oldFormula>
  </rdn>
  <rcv guid="{567C3053-2D8E-4705-8DC7-18896C5303CA}" action="add"/>
</revisions>
</file>

<file path=xl/revisions/revisionLog1171.xml><?xml version="1.0" encoding="utf-8"?>
<revisions xmlns="http://schemas.openxmlformats.org/spreadsheetml/2006/main" xmlns:r="http://schemas.openxmlformats.org/officeDocument/2006/relationships">
  <rcc rId="41775" sId="4">
    <nc r="BS148">
      <v>186</v>
    </nc>
  </rcc>
  <rcc rId="41776" sId="4">
    <oc r="BT151">
      <f>BO151+BP151+BQ151+BR151+BS151</f>
    </oc>
    <nc r="BT151">
      <f>BO151+BP151+BQ151+BR151+BS151</f>
    </nc>
  </rcc>
  <rcc rId="41777" sId="4">
    <nc r="BS146">
      <v>110</v>
    </nc>
  </rcc>
  <rcc rId="41778" sId="4">
    <nc r="BS162">
      <v>1</v>
    </nc>
  </rcc>
  <rcc rId="41779" sId="4">
    <nc r="BS163">
      <v>3</v>
    </nc>
  </rcc>
  <rcc rId="41780" sId="4">
    <nc r="BS161">
      <v>5</v>
    </nc>
  </rcc>
  <rcc rId="41781" sId="4">
    <nc r="BS147">
      <v>3</v>
    </nc>
  </rcc>
  <rcc rId="41782" sId="4">
    <nc r="BS160">
      <v>0</v>
    </nc>
  </rcc>
  <rcc rId="41783" sId="4">
    <nc r="BS159">
      <v>0</v>
    </nc>
  </rcc>
  <rcc rId="41784" sId="4">
    <nc r="BS150">
      <v>7</v>
    </nc>
  </rcc>
  <rfmt sheetId="4" sqref="BS150">
    <dxf>
      <font>
        <b val="0"/>
        <i val="0"/>
        <strike val="0"/>
        <condense val="0"/>
        <extend val="0"/>
        <outline val="0"/>
        <shadow val="0"/>
        <u val="none"/>
        <vertAlign val="baseline"/>
        <sz val="10"/>
        <color auto="1"/>
        <name val="Arial"/>
        <scheme val="none"/>
      </font>
    </dxf>
  </rfmt>
  <rcc rId="41785" sId="4">
    <nc r="BS151">
      <v>5</v>
    </nc>
  </rcc>
  <rfmt sheetId="4" sqref="BS151">
    <dxf>
      <font>
        <b val="0"/>
        <i val="0"/>
        <strike val="0"/>
        <condense val="0"/>
        <extend val="0"/>
        <outline val="0"/>
        <shadow val="0"/>
        <u val="none"/>
        <vertAlign val="baseline"/>
        <sz val="10"/>
        <color auto="1"/>
        <name val="Arial"/>
        <scheme val="none"/>
      </font>
    </dxf>
  </rfmt>
  <rcc rId="41786" sId="4">
    <nc r="BS152">
      <v>0</v>
    </nc>
  </rcc>
  <rfmt sheetId="4" sqref="BS152">
    <dxf>
      <font>
        <b val="0"/>
        <i val="0"/>
        <strike val="0"/>
        <condense val="0"/>
        <extend val="0"/>
        <outline val="0"/>
        <shadow val="0"/>
        <u val="none"/>
        <vertAlign val="baseline"/>
        <sz val="10"/>
        <color auto="1"/>
        <name val="Arial"/>
        <scheme val="none"/>
      </font>
      <fill>
        <patternFill patternType="none">
          <fgColor indexed="64"/>
          <bgColor indexed="65"/>
        </patternFill>
      </fill>
    </dxf>
  </rfmt>
  <rcc rId="41787" sId="4">
    <nc r="BS155">
      <v>1</v>
    </nc>
  </rcc>
  <rfmt sheetId="4" sqref="BS155">
    <dxf>
      <font>
        <b val="0"/>
        <i val="0"/>
        <strike val="0"/>
        <condense val="0"/>
        <extend val="0"/>
        <outline val="0"/>
        <shadow val="0"/>
        <u val="none"/>
        <vertAlign val="baseline"/>
        <sz val="10"/>
        <color auto="1"/>
        <name val="Arial"/>
        <scheme val="none"/>
      </font>
    </dxf>
  </rfmt>
  <rcc rId="41788" sId="4">
    <nc r="BS156">
      <v>0</v>
    </nc>
  </rcc>
  <rfmt sheetId="4" sqref="BS156">
    <dxf>
      <font>
        <b val="0"/>
        <i val="0"/>
        <strike val="0"/>
        <condense val="0"/>
        <extend val="0"/>
        <outline val="0"/>
        <shadow val="0"/>
        <u val="none"/>
        <vertAlign val="baseline"/>
        <sz val="10"/>
        <color auto="1"/>
        <name val="Arial"/>
        <scheme val="none"/>
      </font>
      <fill>
        <patternFill patternType="none">
          <fgColor indexed="64"/>
          <bgColor indexed="65"/>
        </patternFill>
      </fill>
    </dxf>
  </rfmt>
  <rcv guid="{A2518DB3-3A80-4035-9307-EC50A7C923F2}" action="delete"/>
  <rdn rId="0" localSheetId="2" customView="1" name="Z_A2518DB3_3A80_4035_9307_EC50A7C923F2_.wvu.Cols" hidden="1" oldHidden="1">
    <formula>'FY2013 by Approp Title'!$AA:$AA</formula>
    <oldFormula>'FY2013 by Approp Title'!$AA:$AA</oldFormula>
  </rdn>
  <rdn rId="0" localSheetId="3" customView="1" name="Z_A2518DB3_3A80_4035_9307_EC50A7C923F2_.wvu.Cols" hidden="1" oldHidden="1">
    <formula>'FY2013 By Approp Title-Adj'!$AA:$AA</formula>
    <oldFormula>'FY2013 By Approp Title-Adj'!$AA:$AA</oldFormula>
  </rdn>
  <rdn rId="0" localSheetId="4" customView="1" name="Z_A2518DB3_3A80_4035_9307_EC50A7C923F2_.wvu.Rows" hidden="1" oldHidden="1">
    <formula>'FY 2013 by Agency'!$1:$3,'FY 2013 by Agency'!$227:$241</formula>
    <oldFormula>'FY 2013 by Agency'!$1:$3,'FY 2013 by Agency'!$227:$241</oldFormula>
  </rdn>
  <rdn rId="0" localSheetId="4" customView="1" name="Z_A2518DB3_3A80_4035_9307_EC50A7C923F2_.wvu.Cols" hidden="1" oldHidden="1">
    <formula>'FY 2013 by Agency'!$D:$E,'FY 2013 by Agency'!$G:$H,'FY 2013 by Agency'!$J:$K,'FY 2013 by Agency'!$M:$N,'FY 2013 by Agency'!$P:$Q,'FY 2013 by Agency'!$S:$T,'FY 2013 by Agency'!$V:$W,'FY 2013 by Agency'!$Y:$Z,'FY 2013 by Agency'!$AB:$AE,'FY 2013 by Agency'!$AG:$AO,'FY 2013 by Agency'!$AV:$AW,'FY 2013 by Agency'!$AY:$AZ,'FY 2013 by Agency'!$BF:$BG</formula>
    <oldFormula>'FY 2013 by Agency'!$D:$E,'FY 2013 by Agency'!$G:$H,'FY 2013 by Agency'!$J:$K,'FY 2013 by Agency'!$M:$N,'FY 2013 by Agency'!$P:$Q,'FY 2013 by Agency'!$S:$T,'FY 2013 by Agency'!$V:$W,'FY 2013 by Agency'!$Y:$Z,'FY 2013 by Agency'!$AB:$AE,'FY 2013 by Agency'!$AG:$AO,'FY 2013 by Agency'!$AV:$AW,'FY 2013 by Agency'!$AY:$AZ,'FY 2013 by Agency'!$BF:$BG</oldFormula>
  </rdn>
  <rdn rId="0" localSheetId="5" customView="1" name="Z_A2518DB3_3A80_4035_9307_EC50A7C923F2_.wvu.Rows" hidden="1" oldHidden="1">
    <formula>'FY 2013 by Agency-Adj'!$1:$3,'FY 2013 by Agency-Adj'!$14:$14,'FY 2013 by Agency-Adj'!$19:$19,'FY 2013 by Agency-Adj'!$157:$157,'FY 2013 by Agency-Adj'!$164:$164,'FY 2013 by Agency-Adj'!$228:$242</formula>
    <oldFormula>'FY 2013 by Agency-Adj'!$1:$3,'FY 2013 by Agency-Adj'!$14:$14,'FY 2013 by Agency-Adj'!$19:$19,'FY 2013 by Agency-Adj'!$157:$157,'FY 2013 by Agency-Adj'!$164:$164,'FY 2013 by Agency-Adj'!$228:$242</oldFormula>
  </rdn>
  <rdn rId="0" localSheetId="5" customView="1" name="Z_A2518DB3_3A80_4035_9307_EC50A7C923F2_.wvu.Cols" hidden="1" oldHidden="1">
    <formula>'FY 2013 by Agency-Adj'!$AD:$AE,'FY 2013 by Agency-Adj'!$AI:$BK,'FY 2013 by Agency-Adj'!$BO:$BT</formula>
    <oldFormula>'FY 2013 by Agency-Adj'!$AD:$AE,'FY 2013 by Agency-Adj'!$AI:$BK,'FY 2013 by Agency-Adj'!$BO:$BT</oldFormula>
  </rdn>
  <rdn rId="0" localSheetId="8" customView="1" name="Z_A2518DB3_3A80_4035_9307_EC50A7C923F2_.wvu.Rows" hidden="1" oldHidden="1">
    <formula>'Sheet 4'!$1:$6</formula>
    <oldFormula>'Sheet 4'!$1:$6</oldFormula>
  </rdn>
  <rcv guid="{A2518DB3-3A80-4035-9307-EC50A7C923F2}" action="add"/>
</revisions>
</file>

<file path=xl/revisions/revisionLog11711.xml><?xml version="1.0" encoding="utf-8"?>
<revisions xmlns="http://schemas.openxmlformats.org/spreadsheetml/2006/main" xmlns:r="http://schemas.openxmlformats.org/officeDocument/2006/relationships">
  <rcc rId="41558" sId="4" numFmtId="11">
    <oc r="BO128">
      <v>0</v>
    </oc>
    <nc r="BO128">
      <v>47782</v>
    </nc>
  </rcc>
  <rcc rId="41559" sId="4">
    <oc r="BO25">
      <v>251379</v>
    </oc>
    <nc r="BO25">
      <f>251379-47782</f>
    </nc>
  </rcc>
  <rfmt sheetId="10" sqref="A20" start="0" length="0">
    <dxf>
      <font>
        <b/>
        <sz val="10"/>
        <color auto="1"/>
        <name val="Arial"/>
        <scheme val="none"/>
      </font>
      <alignment horizontal="general" vertical="bottom" readingOrder="0"/>
    </dxf>
  </rfmt>
  <rfmt sheetId="10" sqref="A21" start="0" length="0">
    <dxf>
      <font>
        <sz val="10"/>
        <color auto="1"/>
        <name val="Arial"/>
        <scheme val="none"/>
      </font>
    </dxf>
  </rfmt>
  <rfmt sheetId="10" sqref="A22" start="0" length="0">
    <dxf>
      <font>
        <sz val="10"/>
        <color auto="1"/>
        <name val="Arial"/>
        <scheme val="none"/>
      </font>
    </dxf>
  </rfmt>
  <rcc rId="41560" sId="10">
    <nc r="A20" t="inlineStr">
      <is>
        <t>PARKS AND REC</t>
      </is>
    </nc>
  </rcc>
  <rcc rId="41561" sId="10">
    <nc r="A21" t="inlineStr">
      <is>
        <t>The facilities (non-capital) portion of the DPR budget was n the DPR budget  in 2011 but was moved to being part of DGS in 2012.  We have</t>
      </is>
    </nc>
  </rcc>
  <rcc rId="41562" sId="10">
    <nc r="A22" t="inlineStr">
      <is>
        <t>taken the DGS lines that refer to DPR starting in 2012 and added it back  to  the DPR budget</t>
      </is>
    </nc>
  </rcc>
  <rcc rId="41563" sId="10">
    <oc r="A17" t="inlineStr">
      <is>
        <t>This was moved from its own line in Educ in 2011 to being part of DGS in 2012.  because this is so associated with education, we have</t>
      </is>
    </oc>
    <nc r="A17" t="inlineStr">
      <is>
        <t>This was its own line in Educ in 2011 but was moved to being part of DGS in 2012.  because this is so associated with education, we have</t>
      </is>
    </nc>
  </rcc>
  <rcmt sheetId="4" cell="BE25" guid="{95F388C9-A991-43DD-A81F-E3B12F95F37A}" author="Ed Lazere" newLength="52"/>
  <rcmt sheetId="4" cell="BO25" guid="{F9782E22-2584-4EB6-92E9-71B4170DF583}" author="Ed Lazere" newLength="33"/>
  <rcmt sheetId="4" cell="BE128" guid="{BE5500AE-980E-449B-B039-ECC44CA18547}" author="Ed Lazere" newLength="33"/>
  <rcmt sheetId="4" cell="BO128" guid="{BFDA44D3-BD07-4964-892E-53D0373A6EA2}" author="Ed Lazere" newLength="33"/>
  <rcv guid="{AEFEB150-9213-45F5-A178-7AC71E46DB11}" action="delete"/>
  <rdn rId="0" localSheetId="2" customView="1" name="Z_AEFEB150_9213_45F5_A178_7AC71E46DB11_.wvu.Cols" hidden="1" oldHidden="1">
    <formula>'FY2013 by Approp Title'!$AA:$AA</formula>
    <oldFormula>'FY2013 by Approp Title'!$AA:$AA</oldFormula>
  </rdn>
  <rdn rId="0" localSheetId="3" customView="1" name="Z_AEFEB150_9213_45F5_A178_7AC71E46DB11_.wvu.Cols" hidden="1" oldHidden="1">
    <formula>'FY2013 By Approp Title-Adj'!$AA:$AA</formula>
    <oldFormula>'FY2013 By Approp Title-Adj'!$AA:$AA</oldFormula>
  </rdn>
  <rdn rId="0" localSheetId="4" customView="1" name="Z_AEFEB150_9213_45F5_A178_7AC71E46DB11_.wvu.Rows" hidden="1" oldHidden="1">
    <formula>'FY 2013 by Agency'!$1:$3,'FY 2013 by Agency'!$226:$240</formula>
    <oldFormula>'FY 2013 by Agency'!$1:$3,'FY 2013 by Agency'!$226:$240</oldFormula>
  </rdn>
  <rdn rId="0" localSheetId="5" customView="1" name="Z_AEFEB150_9213_45F5_A178_7AC71E46DB11_.wvu.Rows" hidden="1" oldHidden="1">
    <formula>'FY 2013 by Agency-Adj'!$1:$3,'FY 2013 by Agency-Adj'!$227:$241</formula>
    <oldFormula>'FY 2013 by Agency-Adj'!$1:$3,'FY 2013 by Agency-Adj'!$227:$241</oldFormula>
  </rdn>
  <rdn rId="0" localSheetId="5" customView="1" name="Z_AEFEB150_9213_45F5_A178_7AC71E46DB11_.wvu.Cols" hidden="1" oldHidden="1">
    <formula>'FY 2013 by Agency-Adj'!$AJ:$AM</formula>
    <oldFormula>'FY 2013 by Agency-Adj'!$AJ:$AM</oldFormula>
  </rdn>
  <rdn rId="0" localSheetId="8" customView="1" name="Z_AEFEB150_9213_45F5_A178_7AC71E46DB11_.wvu.Rows" hidden="1" oldHidden="1">
    <formula>'Sheet 4'!$1:$6</formula>
    <oldFormula>'Sheet 4'!$1:$6</oldFormula>
  </rdn>
  <rcv guid="{AEFEB150-9213-45F5-A178-7AC71E46DB11}" action="add"/>
</revisions>
</file>

<file path=xl/revisions/revisionLog118.xml><?xml version="1.0" encoding="utf-8"?>
<revisions xmlns="http://schemas.openxmlformats.org/spreadsheetml/2006/main" xmlns:r="http://schemas.openxmlformats.org/officeDocument/2006/relationships">
  <rcv guid="{78CA186D-B240-44D5-8A24-D241DE0B0FD9}" action="delete"/>
  <rdn rId="0" localSheetId="2" customView="1" name="Z_78CA186D_B240_44D5_8A24_D241DE0B0FD9_.wvu.Cols" hidden="1" oldHidden="1">
    <formula>'FY2013 by Approp Title'!$AA:$AA</formula>
    <oldFormula>'FY2013 by Approp Title'!$AA:$AA</oldFormula>
  </rdn>
  <rdn rId="0" localSheetId="3" customView="1" name="Z_78CA186D_B240_44D5_8A24_D241DE0B0FD9_.wvu.Cols" hidden="1" oldHidden="1">
    <formula>'FY2013 By Approp Title-Adj'!$AA:$AA</formula>
    <oldFormula>'FY2013 By Approp Title-Adj'!$AA:$AA</oldFormula>
  </rdn>
  <rdn rId="0" localSheetId="4" customView="1" name="Z_78CA186D_B240_44D5_8A24_D241DE0B0FD9_.wvu.Rows" hidden="1" oldHidden="1">
    <formula>'FY 2013 by Agency'!$1:$3,'FY 2013 by Agency'!$227:$241</formula>
    <oldFormula>'FY 2013 by Agency'!$1:$3,'FY 2013 by Agency'!$227:$241</oldFormula>
  </rdn>
  <rdn rId="0" localSheetId="4" customView="1" name="Z_78CA186D_B240_44D5_8A24_D241DE0B0FD9_.wvu.Cols" hidden="1" oldHidden="1">
    <formula>'FY 2013 by Agency'!$D:$E,'FY 2013 by Agency'!$G:$H,'FY 2013 by Agency'!$J:$K,'FY 2013 by Agency'!$M:$N,'FY 2013 by Agency'!$P:$Q,'FY 2013 by Agency'!$S:$T,'FY 2013 by Agency'!$V:$W,'FY 2013 by Agency'!$Y:$Z,'FY 2013 by Agency'!$AB:$AE,'FY 2013 by Agency'!$AV:$AW,'FY 2013 by Agency'!$AY:$AZ,'FY 2013 by Agency'!$BF:$BG,'FY 2013 by Agency'!$BM:$BN</formula>
    <oldFormula>'FY 2013 by Agency'!$D:$E,'FY 2013 by Agency'!$G:$H,'FY 2013 by Agency'!$J:$K,'FY 2013 by Agency'!$M:$N,'FY 2013 by Agency'!$P:$Q,'FY 2013 by Agency'!$S:$T,'FY 2013 by Agency'!$V:$W,'FY 2013 by Agency'!$Y:$Z,'FY 2013 by Agency'!$AB:$AE,'FY 2013 by Agency'!$AV:$AW,'FY 2013 by Agency'!$AY:$AZ,'FY 2013 by Agency'!$BF:$BG,'FY 2013 by Agency'!$BM:$BN</oldFormula>
  </rdn>
  <rdn rId="0" localSheetId="5" customView="1" name="Z_78CA186D_B240_44D5_8A24_D241DE0B0FD9_.wvu.Rows" hidden="1" oldHidden="1">
    <formula>'FY 2013 by Agency-Adj'!$1:$3,'FY 2013 by Agency-Adj'!$14:$14,'FY 2013 by Agency-Adj'!$19:$19,'FY 2013 by Agency-Adj'!$157:$157,'FY 2013 by Agency-Adj'!$164:$164,'FY 2013 by Agency-Adj'!$228:$242</formula>
    <oldFormula>'FY 2013 by Agency-Adj'!$1:$3,'FY 2013 by Agency-Adj'!$14:$14,'FY 2013 by Agency-Adj'!$19:$19,'FY 2013 by Agency-Adj'!$157:$157,'FY 2013 by Agency-Adj'!$164:$164,'FY 2013 by Agency-Adj'!$228:$242</oldFormula>
  </rdn>
  <rdn rId="0" localSheetId="5" customView="1" name="Z_78CA186D_B240_44D5_8A24_D241DE0B0FD9_.wvu.Cols" hidden="1" oldHidden="1">
    <formula>'FY 2013 by Agency-Adj'!$AD:$AE,'FY 2013 by Agency-Adj'!$AI:$BK,'FY 2013 by Agency-Adj'!$BO:$BT</formula>
    <oldFormula>'FY 2013 by Agency-Adj'!$AD:$AE,'FY 2013 by Agency-Adj'!$AI:$BK,'FY 2013 by Agency-Adj'!$BO:$BT</oldFormula>
  </rdn>
  <rdn rId="0" localSheetId="8" customView="1" name="Z_78CA186D_B240_44D5_8A24_D241DE0B0FD9_.wvu.Rows" hidden="1" oldHidden="1">
    <formula>'Sheet 4'!$1:$6</formula>
    <oldFormula>'Sheet 4'!$1:$6</oldFormula>
  </rdn>
  <rcv guid="{78CA186D-B240-44D5-8A24-D241DE0B0FD9}" action="add"/>
</revisions>
</file>

<file path=xl/revisions/revisionLog1181.xml><?xml version="1.0" encoding="utf-8"?>
<revisions xmlns="http://schemas.openxmlformats.org/spreadsheetml/2006/main" xmlns:r="http://schemas.openxmlformats.org/officeDocument/2006/relationships">
  <rcv guid="{455630F5-40FC-47DB-8AD4-712C20B8FB91}" action="delete"/>
  <rdn rId="0" localSheetId="2" customView="1" name="Z_455630F5_40FC_47DB_8AD4_712C20B8FB91_.wvu.Cols" hidden="1" oldHidden="1">
    <formula>'FY2013 by Approp Title'!$AA:$AA</formula>
    <oldFormula>'FY2013 by Approp Title'!$AA:$AA</oldFormula>
  </rdn>
  <rdn rId="0" localSheetId="3" customView="1" name="Z_455630F5_40FC_47DB_8AD4_712C20B8FB91_.wvu.Cols" hidden="1" oldHidden="1">
    <formula>'FY2013 By Approp Title-Adj'!$AA:$AA</formula>
    <oldFormula>'FY2013 By Approp Title-Adj'!$AA:$AA</oldFormula>
  </rdn>
  <rdn rId="0" localSheetId="4" customView="1" name="Z_455630F5_40FC_47DB_8AD4_712C20B8FB91_.wvu.Rows" hidden="1" oldHidden="1">
    <formula>'FY 2013 by Agency'!$1:$3,'FY 2013 by Agency'!$226:$240</formula>
    <oldFormula>'FY 2013 by Agency'!$1:$3,'FY 2013 by Agency'!$226:$240</oldFormula>
  </rdn>
  <rdn rId="0" localSheetId="4" customView="1" name="Z_455630F5_40FC_47DB_8AD4_712C20B8FB91_.wvu.Cols" hidden="1" oldHidden="1">
    <formula>'FY 2013 by Agency'!$D:$E,'FY 2013 by Agency'!$G:$H,'FY 2013 by Agency'!$J:$K,'FY 2013 by Agency'!$M:$N,'FY 2013 by Agency'!$P:$Q,'FY 2013 by Agency'!$S:$T,'FY 2013 by Agency'!$V:$W,'FY 2013 by Agency'!$Y:$Z,'FY 2013 by Agency'!$AB:$AE,'FY 2013 by Agency'!$AG:$AO,'FY 2013 by Agency'!$AV:$AW,'FY 2013 by Agency'!$AY:$AZ,'FY 2013 by Agency'!$BF:$BG</formula>
    <oldFormula>'FY 2013 by Agency'!$D:$E,'FY 2013 by Agency'!$G:$H,'FY 2013 by Agency'!$J:$K,'FY 2013 by Agency'!$M:$N,'FY 2013 by Agency'!$P:$Q,'FY 2013 by Agency'!$S:$T,'FY 2013 by Agency'!$V:$W,'FY 2013 by Agency'!$Y:$Z,'FY 2013 by Agency'!$AB:$AE,'FY 2013 by Agency'!$AG:$AO,'FY 2013 by Agency'!$AV:$AW,'FY 2013 by Agency'!$AY:$AZ,'FY 2013 by Agency'!$BF:$BG</oldFormula>
  </rdn>
  <rdn rId="0" localSheetId="5" customView="1" name="Z_455630F5_40FC_47DB_8AD4_712C20B8FB91_.wvu.Rows" hidden="1" oldHidden="1">
    <formula>'FY 2013 by Agency-Adj'!$1:$3,'FY 2013 by Agency-Adj'!$14:$14,'FY 2013 by Agency-Adj'!$19:$19,'FY 2013 by Agency-Adj'!$156:$156,'FY 2013 by Agency-Adj'!$163:$163,'FY 2013 by Agency-Adj'!$227:$241</formula>
    <oldFormula>'FY 2013 by Agency-Adj'!$1:$3,'FY 2013 by Agency-Adj'!$14:$14,'FY 2013 by Agency-Adj'!$19:$19,'FY 2013 by Agency-Adj'!$156:$156,'FY 2013 by Agency-Adj'!$163:$163,'FY 2013 by Agency-Adj'!$227:$241</oldFormula>
  </rdn>
  <rdn rId="0" localSheetId="5" customView="1" name="Z_455630F5_40FC_47DB_8AD4_712C20B8FB91_.wvu.Cols" hidden="1" oldHidden="1">
    <formula>'FY 2013 by Agency-Adj'!$AD:$AE,'FY 2013 by Agency-Adj'!$AI:$BK,'FY 2013 by Agency-Adj'!$BO:$BT</formula>
    <oldFormula>'FY 2013 by Agency-Adj'!$AD:$AE,'FY 2013 by Agency-Adj'!$AI:$BK,'FY 2013 by Agency-Adj'!$BO:$BT</oldFormula>
  </rdn>
  <rdn rId="0" localSheetId="8" customView="1" name="Z_455630F5_40FC_47DB_8AD4_712C20B8FB91_.wvu.Rows" hidden="1" oldHidden="1">
    <formula>'Sheet 4'!$1:$6</formula>
    <oldFormula>'Sheet 4'!$1:$6</oldFormula>
  </rdn>
  <rcv guid="{455630F5-40FC-47DB-8AD4-712C20B8FB91}" action="add"/>
</revisions>
</file>

<file path=xl/revisions/revisionLog119.xml><?xml version="1.0" encoding="utf-8"?>
<revisions xmlns="http://schemas.openxmlformats.org/spreadsheetml/2006/main" xmlns:r="http://schemas.openxmlformats.org/officeDocument/2006/relationships">
  <rcv guid="{567C3053-2D8E-4705-8DC7-18896C5303CA}" action="delete"/>
  <rdn rId="0" localSheetId="2" customView="1" name="Z_567C3053_2D8E_4705_8DC7_18896C5303CA_.wvu.Cols" hidden="1" oldHidden="1">
    <formula>'FY2013 by Approp Title'!$AA:$AA</formula>
    <oldFormula>'FY2013 by Approp Title'!$AA:$AA</oldFormula>
  </rdn>
  <rdn rId="0" localSheetId="3" customView="1" name="Z_567C3053_2D8E_4705_8DC7_18896C5303CA_.wvu.Cols" hidden="1" oldHidden="1">
    <formula>'FY2013 By Approp Title-Adj'!$AA:$AA</formula>
    <oldFormula>'FY2013 By Approp Title-Adj'!$AA:$AA</oldFormula>
  </rdn>
  <rdn rId="0" localSheetId="4" customView="1" name="Z_567C3053_2D8E_4705_8DC7_18896C5303CA_.wvu.Rows" hidden="1" oldHidden="1">
    <formula>'FY 2013 by Agency'!$1:$3,'FY 2013 by Agency'!$227:$241</formula>
    <oldFormula>'FY 2013 by Agency'!$1:$3,'FY 2013 by Agency'!$227:$241</oldFormula>
  </rdn>
  <rdn rId="0" localSheetId="5" customView="1" name="Z_567C3053_2D8E_4705_8DC7_18896C5303CA_.wvu.Rows" hidden="1" oldHidden="1">
    <formula>'FY 2013 by Agency-Adj'!$1:$3,'FY 2013 by Agency-Adj'!$228:$242</formula>
    <oldFormula>'FY 2013 by Agency-Adj'!$1:$3,'FY 2013 by Agency-Adj'!$228:$242</oldFormula>
  </rdn>
  <rdn rId="0" localSheetId="5" customView="1" name="Z_567C3053_2D8E_4705_8DC7_18896C5303CA_.wvu.Cols" hidden="1" oldHidden="1">
    <formula>'FY 2013 by Agency-Adj'!$V:$AB,'FY 2013 by Agency-Adj'!$AJ:$AM,'FY 2013 by Agency-Adj'!$AP:$AS,'FY 2013 by Agency-Adj'!$BP:$BQ,'FY 2013 by Agency-Adj'!$BS:$BZ</formula>
    <oldFormula>'FY 2013 by Agency-Adj'!$V:$AB,'FY 2013 by Agency-Adj'!$AJ:$AM,'FY 2013 by Agency-Adj'!$AP:$AS,'FY 2013 by Agency-Adj'!$BP:$BQ,'FY 2013 by Agency-Adj'!$BS:$BZ</oldFormula>
  </rdn>
  <rdn rId="0" localSheetId="8" customView="1" name="Z_567C3053_2D8E_4705_8DC7_18896C5303CA_.wvu.Rows" hidden="1" oldHidden="1">
    <formula>'Sheet 4'!$1:$6</formula>
    <oldFormula>'Sheet 4'!$1:$6</oldFormula>
  </rdn>
  <rcv guid="{567C3053-2D8E-4705-8DC7-18896C5303CA}" action="add"/>
</revisions>
</file>

<file path=xl/revisions/revisionLog1191.xml><?xml version="1.0" encoding="utf-8"?>
<revisions xmlns="http://schemas.openxmlformats.org/spreadsheetml/2006/main" xmlns:r="http://schemas.openxmlformats.org/officeDocument/2006/relationships">
  <rcv guid="{78CA186D-B240-44D5-8A24-D241DE0B0FD9}" action="delete"/>
  <rdn rId="0" localSheetId="2" customView="1" name="Z_78CA186D_B240_44D5_8A24_D241DE0B0FD9_.wvu.Cols" hidden="1" oldHidden="1">
    <formula>'FY2013 by Approp Title'!$AA:$AA</formula>
    <oldFormula>'FY2013 by Approp Title'!$AA:$AA</oldFormula>
  </rdn>
  <rdn rId="0" localSheetId="3" customView="1" name="Z_78CA186D_B240_44D5_8A24_D241DE0B0FD9_.wvu.Cols" hidden="1" oldHidden="1">
    <formula>'FY2013 By Approp Title-Adj'!$AA:$AA</formula>
    <oldFormula>'FY2013 By Approp Title-Adj'!$AA:$AA</oldFormula>
  </rdn>
  <rdn rId="0" localSheetId="4" customView="1" name="Z_78CA186D_B240_44D5_8A24_D241DE0B0FD9_.wvu.Rows" hidden="1" oldHidden="1">
    <formula>'FY 2013 by Agency'!$1:$3,'FY 2013 by Agency'!$227:$241</formula>
    <oldFormula>'FY 2013 by Agency'!$1:$3,'FY 2013 by Agency'!$227:$241</oldFormula>
  </rdn>
  <rdn rId="0" localSheetId="4" customView="1" name="Z_78CA186D_B240_44D5_8A24_D241DE0B0FD9_.wvu.Cols" hidden="1" oldHidden="1">
    <formula>'FY 2013 by Agency'!$D:$E,'FY 2013 by Agency'!$G:$H,'FY 2013 by Agency'!$J:$K,'FY 2013 by Agency'!$M:$N,'FY 2013 by Agency'!$P:$Q,'FY 2013 by Agency'!$S:$T,'FY 2013 by Agency'!$V:$W,'FY 2013 by Agency'!$Y:$Z,'FY 2013 by Agency'!$AB:$AE,'FY 2013 by Agency'!$AV:$AW,'FY 2013 by Agency'!$AY:$AZ,'FY 2013 by Agency'!$BF:$BG,'FY 2013 by Agency'!$BM:$BN</formula>
    <oldFormula>'FY 2013 by Agency'!$D:$E,'FY 2013 by Agency'!$G:$H,'FY 2013 by Agency'!$J:$K,'FY 2013 by Agency'!$M:$N,'FY 2013 by Agency'!$P:$Q,'FY 2013 by Agency'!$S:$T,'FY 2013 by Agency'!$V:$W,'FY 2013 by Agency'!$Y:$Z,'FY 2013 by Agency'!$AB:$AE,'FY 2013 by Agency'!$AV:$AW,'FY 2013 by Agency'!$AY:$AZ,'FY 2013 by Agency'!$BF:$BG,'FY 2013 by Agency'!$BM:$BN</oldFormula>
  </rdn>
  <rdn rId="0" localSheetId="5" customView="1" name="Z_78CA186D_B240_44D5_8A24_D241DE0B0FD9_.wvu.Rows" hidden="1" oldHidden="1">
    <formula>'FY 2013 by Agency-Adj'!$1:$3,'FY 2013 by Agency-Adj'!$14:$14,'FY 2013 by Agency-Adj'!$19:$19,'FY 2013 by Agency-Adj'!$157:$157,'FY 2013 by Agency-Adj'!$164:$164,'FY 2013 by Agency-Adj'!$228:$242</formula>
    <oldFormula>'FY 2013 by Agency-Adj'!$1:$3,'FY 2013 by Agency-Adj'!$14:$14,'FY 2013 by Agency-Adj'!$19:$19,'FY 2013 by Agency-Adj'!$157:$157,'FY 2013 by Agency-Adj'!$164:$164,'FY 2013 by Agency-Adj'!$228:$242</oldFormula>
  </rdn>
  <rdn rId="0" localSheetId="5" customView="1" name="Z_78CA186D_B240_44D5_8A24_D241DE0B0FD9_.wvu.Cols" hidden="1" oldHidden="1">
    <formula>'FY 2013 by Agency-Adj'!$AD:$AE,'FY 2013 by Agency-Adj'!$AI:$BK,'FY 2013 by Agency-Adj'!$BO:$BT</formula>
    <oldFormula>'FY 2013 by Agency-Adj'!$AD:$AE,'FY 2013 by Agency-Adj'!$AI:$BK,'FY 2013 by Agency-Adj'!$BO:$BT</oldFormula>
  </rdn>
  <rdn rId="0" localSheetId="8" customView="1" name="Z_78CA186D_B240_44D5_8A24_D241DE0B0FD9_.wvu.Rows" hidden="1" oldHidden="1">
    <formula>'Sheet 4'!$1:$6</formula>
    <oldFormula>'Sheet 4'!$1:$6</oldFormula>
  </rdn>
  <rcv guid="{78CA186D-B240-44D5-8A24-D241DE0B0FD9}" action="add"/>
</revisions>
</file>

<file path=xl/revisions/revisionLog11911.xml><?xml version="1.0" encoding="utf-8"?>
<revisions xmlns="http://schemas.openxmlformats.org/spreadsheetml/2006/main" xmlns:r="http://schemas.openxmlformats.org/officeDocument/2006/relationships">
  <rrc rId="41748" sId="4" ref="A107:XFD107" action="insertRow">
    <undo index="2" exp="area" ref3D="1" dr="$A$226:$XFD$240" dn="Z_F784130D_F647_4ABA_8943_C79CA5B0FDC4_.wvu.Rows" sId="4"/>
    <undo index="2" exp="area" ref3D="1" dr="$A$226:$XFD$240" dn="Z_E81D05A4_5B21_42D3_A8D3_906ABCABC0F4_.wvu.Rows" sId="4"/>
    <undo index="24" exp="area" ref3D="1" dr="$BM$1:$BN$1048576" dn="Z_E81D05A4_5B21_42D3_A8D3_906ABCABC0F4_.wvu.Cols" sId="4"/>
    <undo index="22" exp="area" ref3D="1" dr="$BF$1:$BG$1048576" dn="Z_E81D05A4_5B21_42D3_A8D3_906ABCABC0F4_.wvu.Cols" sId="4"/>
    <undo index="20" exp="area" ref3D="1" dr="$AY$1:$AZ$1048576" dn="Z_E81D05A4_5B21_42D3_A8D3_906ABCABC0F4_.wvu.Cols" sId="4"/>
    <undo index="18" exp="area" ref3D="1" dr="$AV$1:$AW$1048576" dn="Z_E81D05A4_5B21_42D3_A8D3_906ABCABC0F4_.wvu.Cols" sId="4"/>
    <undo index="16" exp="area" ref3D="1" dr="$AB$1:$AE$1048576" dn="Z_E81D05A4_5B21_42D3_A8D3_906ABCABC0F4_.wvu.Cols" sId="4"/>
    <undo index="14" exp="area" ref3D="1" dr="$Y$1:$Z$1048576" dn="Z_E81D05A4_5B21_42D3_A8D3_906ABCABC0F4_.wvu.Cols" sId="4"/>
    <undo index="12" exp="area" ref3D="1" dr="$V$1:$W$1048576" dn="Z_E81D05A4_5B21_42D3_A8D3_906ABCABC0F4_.wvu.Cols" sId="4"/>
    <undo index="10" exp="area" ref3D="1" dr="$S$1:$T$1048576" dn="Z_E81D05A4_5B21_42D3_A8D3_906ABCABC0F4_.wvu.Cols" sId="4"/>
    <undo index="8" exp="area" ref3D="1" dr="$P$1:$Q$1048576" dn="Z_E81D05A4_5B21_42D3_A8D3_906ABCABC0F4_.wvu.Cols" sId="4"/>
    <undo index="6" exp="area" ref3D="1" dr="$M$1:$N$1048576" dn="Z_E81D05A4_5B21_42D3_A8D3_906ABCABC0F4_.wvu.Cols" sId="4"/>
    <undo index="4" exp="area" ref3D="1" dr="$J$1:$K$1048576" dn="Z_E81D05A4_5B21_42D3_A8D3_906ABCABC0F4_.wvu.Cols" sId="4"/>
    <undo index="2" exp="area" ref3D="1" dr="$G$1:$H$1048576" dn="Z_E81D05A4_5B21_42D3_A8D3_906ABCABC0F4_.wvu.Cols" sId="4"/>
    <undo index="1" exp="area" ref3D="1" dr="$D$1:$E$1048576" dn="Z_E81D05A4_5B21_42D3_A8D3_906ABCABC0F4_.wvu.Cols" sId="4"/>
    <undo index="2" exp="area" ref3D="1" dr="$A$226:$XFD$240" dn="Z_E44F5FE1_54FC_4AB3_84F9_7D65ACF2DDE7_.wvu.Rows" sId="4"/>
    <undo index="0" exp="area" ref3D="1" dr="$AV$1:$AW$1048576" dn="Z_E44F5FE1_54FC_4AB3_84F9_7D65ACF2DDE7_.wvu.Cols" sId="4"/>
    <undo index="2" exp="area" ref3D="1" dr="$A$226:$XFD$240" dn="Z_AEFEB150_9213_45F5_A178_7AC71E46DB11_.wvu.Rows" sId="4"/>
    <undo index="2" exp="area" ref3D="1" dr="$A$226:$XFD$240" dn="Z_A2518DB3_3A80_4035_9307_EC50A7C923F2_.wvu.Rows" sId="4"/>
    <undo index="24" exp="area" ref3D="1" dr="$BF$1:$BG$1048576" dn="Z_A2518DB3_3A80_4035_9307_EC50A7C923F2_.wvu.Cols" sId="4"/>
    <undo index="22" exp="area" ref3D="1" dr="$AY$1:$AZ$1048576" dn="Z_A2518DB3_3A80_4035_9307_EC50A7C923F2_.wvu.Cols" sId="4"/>
    <undo index="20" exp="area" ref3D="1" dr="$AV$1:$AW$1048576" dn="Z_A2518DB3_3A80_4035_9307_EC50A7C923F2_.wvu.Cols" sId="4"/>
    <undo index="18" exp="area" ref3D="1" dr="$AG$1:$AO$1048576" dn="Z_A2518DB3_3A80_4035_9307_EC50A7C923F2_.wvu.Cols" sId="4"/>
    <undo index="16" exp="area" ref3D="1" dr="$AB$1:$AE$1048576" dn="Z_A2518DB3_3A80_4035_9307_EC50A7C923F2_.wvu.Cols" sId="4"/>
    <undo index="14" exp="area" ref3D="1" dr="$Y$1:$Z$1048576" dn="Z_A2518DB3_3A80_4035_9307_EC50A7C923F2_.wvu.Cols" sId="4"/>
    <undo index="12" exp="area" ref3D="1" dr="$V$1:$W$1048576" dn="Z_A2518DB3_3A80_4035_9307_EC50A7C923F2_.wvu.Cols" sId="4"/>
    <undo index="10" exp="area" ref3D="1" dr="$S$1:$T$1048576" dn="Z_A2518DB3_3A80_4035_9307_EC50A7C923F2_.wvu.Cols" sId="4"/>
    <undo index="8" exp="area" ref3D="1" dr="$P$1:$Q$1048576" dn="Z_A2518DB3_3A80_4035_9307_EC50A7C923F2_.wvu.Cols" sId="4"/>
    <undo index="6" exp="area" ref3D="1" dr="$M$1:$N$1048576" dn="Z_A2518DB3_3A80_4035_9307_EC50A7C923F2_.wvu.Cols" sId="4"/>
    <undo index="4" exp="area" ref3D="1" dr="$J$1:$K$1048576" dn="Z_A2518DB3_3A80_4035_9307_EC50A7C923F2_.wvu.Cols" sId="4"/>
    <undo index="2" exp="area" ref3D="1" dr="$G$1:$H$1048576" dn="Z_A2518DB3_3A80_4035_9307_EC50A7C923F2_.wvu.Cols" sId="4"/>
    <undo index="1" exp="area" ref3D="1" dr="$D$1:$E$1048576" dn="Z_A2518DB3_3A80_4035_9307_EC50A7C923F2_.wvu.Cols" sId="4"/>
    <undo index="2" exp="area" ref3D="1" dr="$A$226:$XFD$240" dn="Z_9D4F0482_B164_4671_805A_E0D2D4DD4720_.wvu.Rows" sId="4"/>
    <undo index="0" exp="area" ref3D="1" dr="$AI$1:$AW$1048576" dn="Z_9D4F0482_B164_4671_805A_E0D2D4DD4720_.wvu.Cols" sId="4"/>
    <undo index="2" exp="area" ref3D="1" dr="$A$226:$XFD$240" dn="Z_94DA13B6_7351_40F3_8CF7_A4211EC439DA_.wvu.Rows" sId="4"/>
    <undo index="2" exp="area" ref3D="1" dr="$A$226:$XFD$240" dn="Z_8F508F4D_4777_42BE_9707_8CB9355F7BDB_.wvu.Rows" sId="4"/>
    <undo index="2" exp="area" ref3D="1" dr="$A$226:$XFD$240" dn="Z_78CA186D_B240_44D5_8A24_D241DE0B0FD9_.wvu.Rows" sId="4"/>
    <undo index="24" exp="area" ref3D="1" dr="$BM$1:$BN$1048576" dn="Z_78CA186D_B240_44D5_8A24_D241DE0B0FD9_.wvu.Cols" sId="4"/>
    <undo index="22" exp="area" ref3D="1" dr="$BF$1:$BG$1048576" dn="Z_78CA186D_B240_44D5_8A24_D241DE0B0FD9_.wvu.Cols" sId="4"/>
    <undo index="20" exp="area" ref3D="1" dr="$AY$1:$AZ$1048576" dn="Z_78CA186D_B240_44D5_8A24_D241DE0B0FD9_.wvu.Cols" sId="4"/>
    <undo index="18" exp="area" ref3D="1" dr="$AV$1:$AW$1048576" dn="Z_78CA186D_B240_44D5_8A24_D241DE0B0FD9_.wvu.Cols" sId="4"/>
    <undo index="16" exp="area" ref3D="1" dr="$AB$1:$AE$1048576" dn="Z_78CA186D_B240_44D5_8A24_D241DE0B0FD9_.wvu.Cols" sId="4"/>
    <undo index="14" exp="area" ref3D="1" dr="$Y$1:$Z$1048576" dn="Z_78CA186D_B240_44D5_8A24_D241DE0B0FD9_.wvu.Cols" sId="4"/>
    <undo index="12" exp="area" ref3D="1" dr="$V$1:$W$1048576" dn="Z_78CA186D_B240_44D5_8A24_D241DE0B0FD9_.wvu.Cols" sId="4"/>
    <undo index="10" exp="area" ref3D="1" dr="$S$1:$T$1048576" dn="Z_78CA186D_B240_44D5_8A24_D241DE0B0FD9_.wvu.Cols" sId="4"/>
    <undo index="8" exp="area" ref3D="1" dr="$P$1:$Q$1048576" dn="Z_78CA186D_B240_44D5_8A24_D241DE0B0FD9_.wvu.Cols" sId="4"/>
    <undo index="6" exp="area" ref3D="1" dr="$M$1:$N$1048576" dn="Z_78CA186D_B240_44D5_8A24_D241DE0B0FD9_.wvu.Cols" sId="4"/>
    <undo index="4" exp="area" ref3D="1" dr="$J$1:$K$1048576" dn="Z_78CA186D_B240_44D5_8A24_D241DE0B0FD9_.wvu.Cols" sId="4"/>
    <undo index="2" exp="area" ref3D="1" dr="$G$1:$H$1048576" dn="Z_78CA186D_B240_44D5_8A24_D241DE0B0FD9_.wvu.Cols" sId="4"/>
    <undo index="1" exp="area" ref3D="1" dr="$D$1:$E$1048576" dn="Z_78CA186D_B240_44D5_8A24_D241DE0B0FD9_.wvu.Cols" sId="4"/>
    <undo index="2" exp="area" ref3D="1" dr="$A$226:$XFD$240" dn="Z_567C3053_2D8E_4705_8DC7_18896C5303CA_.wvu.Rows" sId="4"/>
    <undo index="2" exp="area" ref3D="1" dr="$A$226:$XFD$240" dn="Z_50528D02_548E_47E0_94D7_D1E79CD3569C_.wvu.Rows" sId="4"/>
    <undo index="24" exp="area" ref3D="1" dr="$BF$1:$BG$1048576" dn="Z_50528D02_548E_47E0_94D7_D1E79CD3569C_.wvu.Cols" sId="4"/>
    <undo index="22" exp="area" ref3D="1" dr="$AY$1:$AZ$1048576" dn="Z_50528D02_548E_47E0_94D7_D1E79CD3569C_.wvu.Cols" sId="4"/>
    <undo index="20" exp="area" ref3D="1" dr="$AV$1:$AW$1048576" dn="Z_50528D02_548E_47E0_94D7_D1E79CD3569C_.wvu.Cols" sId="4"/>
    <undo index="18" exp="area" ref3D="1" dr="$AG$1:$AO$1048576" dn="Z_50528D02_548E_47E0_94D7_D1E79CD3569C_.wvu.Cols" sId="4"/>
    <undo index="16" exp="area" ref3D="1" dr="$AB$1:$AE$1048576" dn="Z_50528D02_548E_47E0_94D7_D1E79CD3569C_.wvu.Cols" sId="4"/>
    <undo index="14" exp="area" ref3D="1" dr="$Y$1:$Z$1048576" dn="Z_50528D02_548E_47E0_94D7_D1E79CD3569C_.wvu.Cols" sId="4"/>
    <undo index="12" exp="area" ref3D="1" dr="$V$1:$W$1048576" dn="Z_50528D02_548E_47E0_94D7_D1E79CD3569C_.wvu.Cols" sId="4"/>
    <undo index="10" exp="area" ref3D="1" dr="$S$1:$T$1048576" dn="Z_50528D02_548E_47E0_94D7_D1E79CD3569C_.wvu.Cols" sId="4"/>
    <undo index="8" exp="area" ref3D="1" dr="$P$1:$Q$1048576" dn="Z_50528D02_548E_47E0_94D7_D1E79CD3569C_.wvu.Cols" sId="4"/>
    <undo index="6" exp="area" ref3D="1" dr="$M$1:$N$1048576" dn="Z_50528D02_548E_47E0_94D7_D1E79CD3569C_.wvu.Cols" sId="4"/>
    <undo index="4" exp="area" ref3D="1" dr="$J$1:$K$1048576" dn="Z_50528D02_548E_47E0_94D7_D1E79CD3569C_.wvu.Cols" sId="4"/>
    <undo index="2" exp="area" ref3D="1" dr="$G$1:$H$1048576" dn="Z_50528D02_548E_47E0_94D7_D1E79CD3569C_.wvu.Cols" sId="4"/>
    <undo index="1" exp="area" ref3D="1" dr="$D$1:$E$1048576" dn="Z_50528D02_548E_47E0_94D7_D1E79CD3569C_.wvu.Cols" sId="4"/>
    <undo index="2" exp="area" ref3D="1" dr="$A$226:$XFD$240" dn="Z_455630F5_40FC_47DB_8AD4_712C20B8FB91_.wvu.Rows" sId="4"/>
    <undo index="24" exp="area" ref3D="1" dr="$BF$1:$BG$1048576" dn="Z_455630F5_40FC_47DB_8AD4_712C20B8FB91_.wvu.Cols" sId="4"/>
    <undo index="22" exp="area" ref3D="1" dr="$AY$1:$AZ$1048576" dn="Z_455630F5_40FC_47DB_8AD4_712C20B8FB91_.wvu.Cols" sId="4"/>
    <undo index="20" exp="area" ref3D="1" dr="$AV$1:$AW$1048576" dn="Z_455630F5_40FC_47DB_8AD4_712C20B8FB91_.wvu.Cols" sId="4"/>
    <undo index="18" exp="area" ref3D="1" dr="$AG$1:$AO$1048576" dn="Z_455630F5_40FC_47DB_8AD4_712C20B8FB91_.wvu.Cols" sId="4"/>
    <undo index="16" exp="area" ref3D="1" dr="$AB$1:$AE$1048576" dn="Z_455630F5_40FC_47DB_8AD4_712C20B8FB91_.wvu.Cols" sId="4"/>
    <undo index="14" exp="area" ref3D="1" dr="$Y$1:$Z$1048576" dn="Z_455630F5_40FC_47DB_8AD4_712C20B8FB91_.wvu.Cols" sId="4"/>
    <undo index="12" exp="area" ref3D="1" dr="$V$1:$W$1048576" dn="Z_455630F5_40FC_47DB_8AD4_712C20B8FB91_.wvu.Cols" sId="4"/>
    <undo index="10" exp="area" ref3D="1" dr="$S$1:$T$1048576" dn="Z_455630F5_40FC_47DB_8AD4_712C20B8FB91_.wvu.Cols" sId="4"/>
    <undo index="8" exp="area" ref3D="1" dr="$P$1:$Q$1048576" dn="Z_455630F5_40FC_47DB_8AD4_712C20B8FB91_.wvu.Cols" sId="4"/>
    <undo index="6" exp="area" ref3D="1" dr="$M$1:$N$1048576" dn="Z_455630F5_40FC_47DB_8AD4_712C20B8FB91_.wvu.Cols" sId="4"/>
    <undo index="4" exp="area" ref3D="1" dr="$J$1:$K$1048576" dn="Z_455630F5_40FC_47DB_8AD4_712C20B8FB91_.wvu.Cols" sId="4"/>
    <undo index="2" exp="area" ref3D="1" dr="$G$1:$H$1048576" dn="Z_455630F5_40FC_47DB_8AD4_712C20B8FB91_.wvu.Cols" sId="4"/>
    <undo index="1" exp="area" ref3D="1" dr="$D$1:$E$1048576" dn="Z_455630F5_40FC_47DB_8AD4_712C20B8FB91_.wvu.Cols" sId="4"/>
    <undo index="2" exp="area" ref3D="1" dr="$A$226:$XFD$240" dn="Z_1E5198E1_BA46_4CE0_8628_4F695B0D7A3B_.wvu.Rows" sId="4"/>
  </rrc>
  <rcc rId="41749" sId="4">
    <nc r="A107" t="inlineStr">
      <is>
        <t>Office of Forensic</t>
      </is>
    </nc>
  </rcc>
  <rfmt sheetId="4" sqref="A107">
    <dxf>
      <font>
        <b val="0"/>
        <i val="0"/>
        <strike val="0"/>
        <condense val="0"/>
        <extend val="0"/>
        <outline val="0"/>
        <shadow val="0"/>
        <u val="none"/>
        <vertAlign val="baseline"/>
        <sz val="10"/>
        <color auto="1"/>
        <name val="Arial"/>
        <scheme val="none"/>
      </font>
      <fill>
        <patternFill patternType="none">
          <fgColor indexed="64"/>
          <bgColor indexed="65"/>
        </patternFill>
      </fill>
      <border diagonalUp="0" diagonalDown="0" outline="0">
        <left/>
        <right/>
        <top/>
        <bottom/>
      </border>
    </dxf>
  </rfmt>
  <rrc rId="41750" sId="5" ref="A107:XFD107" action="insertRow">
    <undo index="4" exp="area" ref3D="1" dr="$A$227:$XFD$241" dn="Z_F784130D_F647_4ABA_8943_C79CA5B0FDC4_.wvu.Rows" sId="5"/>
    <undo index="2" exp="area" ref3D="1" dr="$A$163:$XFD$163" dn="Z_F784130D_F647_4ABA_8943_C79CA5B0FDC4_.wvu.Rows" sId="5"/>
    <undo index="2" exp="area" ref3D="1" dr="$AZ$1:$BH$1048576" dn="Z_F784130D_F647_4ABA_8943_C79CA5B0FDC4_.wvu.Cols" sId="5"/>
    <undo index="1" exp="area" ref3D="1" dr="$AJ$1:$AM$1048576" dn="Z_F784130D_F647_4ABA_8943_C79CA5B0FDC4_.wvu.Cols" sId="5"/>
    <undo index="10" exp="area" ref3D="1" dr="$A$227:$XFD$241" dn="Z_E81D05A4_5B21_42D3_A8D3_906ABCABC0F4_.wvu.Rows" sId="5"/>
    <undo index="8" exp="area" ref3D="1" dr="$A$163:$XFD$163" dn="Z_E81D05A4_5B21_42D3_A8D3_906ABCABC0F4_.wvu.Rows" sId="5"/>
    <undo index="6" exp="area" ref3D="1" dr="$A$156:$XFD$156" dn="Z_E81D05A4_5B21_42D3_A8D3_906ABCABC0F4_.wvu.Rows" sId="5"/>
    <undo index="4" exp="area" ref3D="1" dr="$BO$1:$BT$1048576" dn="Z_E81D05A4_5B21_42D3_A8D3_906ABCABC0F4_.wvu.Cols" sId="5"/>
    <undo index="2" exp="area" ref3D="1" dr="$AI$1:$BK$1048576" dn="Z_E81D05A4_5B21_42D3_A8D3_906ABCABC0F4_.wvu.Cols" sId="5"/>
    <undo index="1" exp="area" ref3D="1" dr="$AD$1:$AE$1048576" dn="Z_E81D05A4_5B21_42D3_A8D3_906ABCABC0F4_.wvu.Cols" sId="5"/>
    <undo index="2" exp="area" ref3D="1" dr="$A$227:$XFD$241" dn="Z_E44F5FE1_54FC_4AB3_84F9_7D65ACF2DDE7_.wvu.Rows" sId="5"/>
    <undo index="2" exp="area" ref3D="1" dr="$BO$1:$BT$1048576" dn="Z_E44F5FE1_54FC_4AB3_84F9_7D65ACF2DDE7_.wvu.Cols" sId="5"/>
    <undo index="1" exp="area" ref3D="1" dr="$AI$1:$BK$1048576" dn="Z_E44F5FE1_54FC_4AB3_84F9_7D65ACF2DDE7_.wvu.Cols" sId="5"/>
    <undo index="2" exp="area" ref3D="1" dr="$A$227:$XFD$241" dn="Z_AEFEB150_9213_45F5_A178_7AC71E46DB11_.wvu.Rows" sId="5"/>
    <undo index="0" exp="area" ref3D="1" dr="$AJ$1:$AM$1048576" dn="Z_AEFEB150_9213_45F5_A178_7AC71E46DB11_.wvu.Cols" sId="5"/>
    <undo index="10" exp="area" ref3D="1" dr="$A$227:$XFD$241" dn="Z_A2518DB3_3A80_4035_9307_EC50A7C923F2_.wvu.Rows" sId="5"/>
    <undo index="8" exp="area" ref3D="1" dr="$A$163:$XFD$163" dn="Z_A2518DB3_3A80_4035_9307_EC50A7C923F2_.wvu.Rows" sId="5"/>
    <undo index="6" exp="area" ref3D="1" dr="$A$156:$XFD$156" dn="Z_A2518DB3_3A80_4035_9307_EC50A7C923F2_.wvu.Rows" sId="5"/>
    <undo index="4" exp="area" ref3D="1" dr="$BO$1:$BT$1048576" dn="Z_A2518DB3_3A80_4035_9307_EC50A7C923F2_.wvu.Cols" sId="5"/>
    <undo index="2" exp="area" ref3D="1" dr="$AI$1:$BK$1048576" dn="Z_A2518DB3_3A80_4035_9307_EC50A7C923F2_.wvu.Cols" sId="5"/>
    <undo index="1" exp="area" ref3D="1" dr="$AD$1:$AE$1048576" dn="Z_A2518DB3_3A80_4035_9307_EC50A7C923F2_.wvu.Cols" sId="5"/>
    <undo index="12" exp="area" ref3D="1" dr="$A$227:$XFD$241" dn="Z_9D4F0482_B164_4671_805A_E0D2D4DD4720_.wvu.Rows" sId="5"/>
    <undo index="10" exp="area" ref3D="1" dr="$A$163:$XFD$163" dn="Z_9D4F0482_B164_4671_805A_E0D2D4DD4720_.wvu.Rows" sId="5"/>
    <undo index="8" exp="area" ref3D="1" dr="$A$156:$XFD$156" dn="Z_9D4F0482_B164_4671_805A_E0D2D4DD4720_.wvu.Rows" sId="5"/>
    <undo index="6" exp="area" ref3D="1" dr="$A$148:$XFD$148" dn="Z_9D4F0482_B164_4671_805A_E0D2D4DD4720_.wvu.Rows" sId="5"/>
    <undo index="2" exp="area" ref3D="1" dr="$AI$1:$BJ$1048576" dn="Z_9D4F0482_B164_4671_805A_E0D2D4DD4720_.wvu.Cols" sId="5"/>
    <undo index="1" exp="area" ref3D="1" dr="$AD$1:$AE$1048576" dn="Z_9D4F0482_B164_4671_805A_E0D2D4DD4720_.wvu.Cols" sId="5"/>
    <undo index="2" exp="area" ref3D="1" dr="$A$227:$XFD$241" dn="Z_94DA13B6_7351_40F3_8CF7_A4211EC439DA_.wvu.Rows" sId="5"/>
    <undo index="4" exp="area" ref3D="1" dr="$AP$1:$AS$1048576" dn="Z_94DA13B6_7351_40F3_8CF7_A4211EC439DA_.wvu.Cols" sId="5"/>
    <undo index="2" exp="area" ref3D="1" dr="$AJ$1:$AM$1048576" dn="Z_94DA13B6_7351_40F3_8CF7_A4211EC439DA_.wvu.Cols" sId="5"/>
    <undo index="1" exp="area" ref3D="1" dr="$V$1:$AB$1048576" dn="Z_94DA13B6_7351_40F3_8CF7_A4211EC439DA_.wvu.Cols" sId="5"/>
    <undo index="2" exp="area" ref3D="1" dr="$A$227:$XFD$241" dn="Z_8F508F4D_4777_42BE_9707_8CB9355F7BDB_.wvu.Rows" sId="5"/>
    <undo index="2" exp="area" ref3D="1" dr="$AJ$1:$AM$1048576" dn="Z_8F508F4D_4777_42BE_9707_8CB9355F7BDB_.wvu.Cols" sId="5"/>
    <undo index="1" exp="area" ref3D="1" dr="$V$1:$AB$1048576" dn="Z_8F508F4D_4777_42BE_9707_8CB9355F7BDB_.wvu.Cols" sId="5"/>
    <undo index="10" exp="area" ref3D="1" dr="$A$227:$XFD$241" dn="Z_78CA186D_B240_44D5_8A24_D241DE0B0FD9_.wvu.Rows" sId="5"/>
    <undo index="8" exp="area" ref3D="1" dr="$A$163:$XFD$163" dn="Z_78CA186D_B240_44D5_8A24_D241DE0B0FD9_.wvu.Rows" sId="5"/>
    <undo index="6" exp="area" ref3D="1" dr="$A$156:$XFD$156" dn="Z_78CA186D_B240_44D5_8A24_D241DE0B0FD9_.wvu.Rows" sId="5"/>
    <undo index="4" exp="area" ref3D="1" dr="$BO$1:$BT$1048576" dn="Z_78CA186D_B240_44D5_8A24_D241DE0B0FD9_.wvu.Cols" sId="5"/>
    <undo index="2" exp="area" ref3D="1" dr="$AI$1:$BK$1048576" dn="Z_78CA186D_B240_44D5_8A24_D241DE0B0FD9_.wvu.Cols" sId="5"/>
    <undo index="1" exp="area" ref3D="1" dr="$AD$1:$AE$1048576" dn="Z_78CA186D_B240_44D5_8A24_D241DE0B0FD9_.wvu.Cols" sId="5"/>
    <undo index="2" exp="area" ref3D="1" dr="$A$227:$XFD$241" dn="Z_567C3053_2D8E_4705_8DC7_18896C5303CA_.wvu.Rows" sId="5"/>
    <undo index="4" exp="area" ref3D="1" dr="$AP$1:$AS$1048576" dn="Z_567C3053_2D8E_4705_8DC7_18896C5303CA_.wvu.Cols" sId="5"/>
    <undo index="2" exp="area" ref3D="1" dr="$AJ$1:$AM$1048576" dn="Z_567C3053_2D8E_4705_8DC7_18896C5303CA_.wvu.Cols" sId="5"/>
    <undo index="1" exp="area" ref3D="1" dr="$V$1:$AB$1048576" dn="Z_567C3053_2D8E_4705_8DC7_18896C5303CA_.wvu.Cols" sId="5"/>
    <undo index="10" exp="area" ref3D="1" dr="$A$227:$XFD$241" dn="Z_50528D02_548E_47E0_94D7_D1E79CD3569C_.wvu.Rows" sId="5"/>
    <undo index="8" exp="area" ref3D="1" dr="$A$163:$XFD$163" dn="Z_50528D02_548E_47E0_94D7_D1E79CD3569C_.wvu.Rows" sId="5"/>
    <undo index="6" exp="area" ref3D="1" dr="$A$156:$XFD$156" dn="Z_50528D02_548E_47E0_94D7_D1E79CD3569C_.wvu.Rows" sId="5"/>
    <undo index="4" exp="area" ref3D="1" dr="$BO$1:$BT$1048576" dn="Z_50528D02_548E_47E0_94D7_D1E79CD3569C_.wvu.Cols" sId="5"/>
    <undo index="2" exp="area" ref3D="1" dr="$AI$1:$BK$1048576" dn="Z_50528D02_548E_47E0_94D7_D1E79CD3569C_.wvu.Cols" sId="5"/>
    <undo index="1" exp="area" ref3D="1" dr="$AD$1:$AE$1048576" dn="Z_50528D02_548E_47E0_94D7_D1E79CD3569C_.wvu.Cols" sId="5"/>
    <undo index="10" exp="area" ref3D="1" dr="$A$227:$XFD$241" dn="Z_455630F5_40FC_47DB_8AD4_712C20B8FB91_.wvu.Rows" sId="5"/>
    <undo index="8" exp="area" ref3D="1" dr="$A$163:$XFD$163" dn="Z_455630F5_40FC_47DB_8AD4_712C20B8FB91_.wvu.Rows" sId="5"/>
    <undo index="6" exp="area" ref3D="1" dr="$A$156:$XFD$156" dn="Z_455630F5_40FC_47DB_8AD4_712C20B8FB91_.wvu.Rows" sId="5"/>
    <undo index="4" exp="area" ref3D="1" dr="$BO$1:$BT$1048576" dn="Z_455630F5_40FC_47DB_8AD4_712C20B8FB91_.wvu.Cols" sId="5"/>
    <undo index="2" exp="area" ref3D="1" dr="$AI$1:$BK$1048576" dn="Z_455630F5_40FC_47DB_8AD4_712C20B8FB91_.wvu.Cols" sId="5"/>
    <undo index="1" exp="area" ref3D="1" dr="$AD$1:$AE$1048576" dn="Z_455630F5_40FC_47DB_8AD4_712C20B8FB91_.wvu.Cols" sId="5"/>
    <undo index="2" exp="area" ref3D="1" dr="$A$227:$XFD$241" dn="Z_1E5198E1_BA46_4CE0_8628_4F695B0D7A3B_.wvu.Rows" sId="5"/>
  </rrc>
  <rcc rId="41751" sId="5">
    <nc r="A107" t="inlineStr">
      <is>
        <t>Office of Forensic Technology</t>
      </is>
    </nc>
  </rcc>
  <rfmt sheetId="5" sqref="A107">
    <dxf>
      <font>
        <b val="0"/>
        <i val="0"/>
        <strike val="0"/>
        <condense val="0"/>
        <extend val="0"/>
        <outline val="0"/>
        <shadow val="0"/>
        <u val="none"/>
        <vertAlign val="baseline"/>
        <sz val="10"/>
        <color auto="1"/>
        <name val="Arial"/>
        <scheme val="none"/>
      </font>
      <fill>
        <patternFill patternType="none">
          <fgColor indexed="64"/>
          <bgColor indexed="65"/>
        </patternFill>
      </fill>
      <border diagonalUp="0" diagonalDown="0" outline="0">
        <left/>
        <right/>
        <top/>
        <bottom/>
      </border>
    </dxf>
  </rfmt>
  <rcc rId="41752" sId="4" numFmtId="11">
    <nc r="BO107">
      <v>8294</v>
    </nc>
  </rcc>
  <rcc rId="41753" sId="4">
    <nc r="BU107">
      <f>BT107-BL107</f>
    </nc>
  </rcc>
  <rcc rId="41754" sId="4">
    <nc r="BV107">
      <f>BU107/BL107</f>
    </nc>
  </rcc>
  <rcc rId="41755" sId="4">
    <nc r="BT107">
      <f>BO107+BP107+BQ107+BR107+BS107</f>
    </nc>
  </rcc>
  <rcv guid="{E81D05A4-5B21-42D3-A8D3-906ABCABC0F4}" action="delete"/>
  <rdn rId="0" localSheetId="2" customView="1" name="Z_E81D05A4_5B21_42D3_A8D3_906ABCABC0F4_.wvu.Cols" hidden="1" oldHidden="1">
    <formula>'FY2013 by Approp Title'!$AA:$AA</formula>
    <oldFormula>'FY2013 by Approp Title'!$AA:$AA</oldFormula>
  </rdn>
  <rdn rId="0" localSheetId="3" customView="1" name="Z_E81D05A4_5B21_42D3_A8D3_906ABCABC0F4_.wvu.Cols" hidden="1" oldHidden="1">
    <formula>'FY2013 By Approp Title-Adj'!$AA:$AA</formula>
    <oldFormula>'FY2013 By Approp Title-Adj'!$AA:$AA</oldFormula>
  </rdn>
  <rdn rId="0" localSheetId="4" customView="1" name="Z_E81D05A4_5B21_42D3_A8D3_906ABCABC0F4_.wvu.Rows" hidden="1" oldHidden="1">
    <formula>'FY 2013 by Agency'!$1:$3,'FY 2013 by Agency'!$227:$241</formula>
    <oldFormula>'FY 2013 by Agency'!$1:$3,'FY 2013 by Agency'!$227:$241</oldFormula>
  </rdn>
  <rdn rId="0" localSheetId="4" customView="1" name="Z_E81D05A4_5B21_42D3_A8D3_906ABCABC0F4_.wvu.Cols" hidden="1" oldHidden="1">
    <formula>'FY 2013 by Agency'!$D:$E,'FY 2013 by Agency'!$G:$H,'FY 2013 by Agency'!$J:$K,'FY 2013 by Agency'!$M:$N,'FY 2013 by Agency'!$P:$Q,'FY 2013 by Agency'!$S:$T,'FY 2013 by Agency'!$V:$W,'FY 2013 by Agency'!$Y:$Z,'FY 2013 by Agency'!$AB:$AE,'FY 2013 by Agency'!$AV:$AW,'FY 2013 by Agency'!$AY:$AZ,'FY 2013 by Agency'!$BF:$BG,'FY 2013 by Agency'!$BM:$BN</formula>
    <oldFormula>'FY 2013 by Agency'!$D:$E,'FY 2013 by Agency'!$G:$H,'FY 2013 by Agency'!$J:$K,'FY 2013 by Agency'!$M:$N,'FY 2013 by Agency'!$P:$Q,'FY 2013 by Agency'!$S:$T,'FY 2013 by Agency'!$V:$W,'FY 2013 by Agency'!$Y:$Z,'FY 2013 by Agency'!$AB:$AE,'FY 2013 by Agency'!$AV:$AW,'FY 2013 by Agency'!$AY:$AZ,'FY 2013 by Agency'!$BF:$BG,'FY 2013 by Agency'!$BM:$BN</oldFormula>
  </rdn>
  <rdn rId="0" localSheetId="5" customView="1" name="Z_E81D05A4_5B21_42D3_A8D3_906ABCABC0F4_.wvu.Rows" hidden="1" oldHidden="1">
    <formula>'FY 2013 by Agency-Adj'!$1:$3,'FY 2013 by Agency-Adj'!$14:$14,'FY 2013 by Agency-Adj'!$19:$19,'FY 2013 by Agency-Adj'!$157:$157,'FY 2013 by Agency-Adj'!$164:$164,'FY 2013 by Agency-Adj'!$228:$242</formula>
    <oldFormula>'FY 2013 by Agency-Adj'!$1:$3,'FY 2013 by Agency-Adj'!$14:$14,'FY 2013 by Agency-Adj'!$19:$19,'FY 2013 by Agency-Adj'!$157:$157,'FY 2013 by Agency-Adj'!$164:$164,'FY 2013 by Agency-Adj'!$228:$242</oldFormula>
  </rdn>
  <rdn rId="0" localSheetId="5" customView="1" name="Z_E81D05A4_5B21_42D3_A8D3_906ABCABC0F4_.wvu.Cols" hidden="1" oldHidden="1">
    <formula>'FY 2013 by Agency-Adj'!$AD:$AE,'FY 2013 by Agency-Adj'!$AI:$BK,'FY 2013 by Agency-Adj'!$BO:$BT</formula>
    <oldFormula>'FY 2013 by Agency-Adj'!$AD:$AE,'FY 2013 by Agency-Adj'!$AI:$BK,'FY 2013 by Agency-Adj'!$BO:$BT</oldFormula>
  </rdn>
  <rdn rId="0" localSheetId="8" customView="1" name="Z_E81D05A4_5B21_42D3_A8D3_906ABCABC0F4_.wvu.Rows" hidden="1" oldHidden="1">
    <formula>'Sheet 4'!$1:$6</formula>
    <oldFormula>'Sheet 4'!$1:$6</oldFormula>
  </rdn>
  <rcv guid="{E81D05A4-5B21-42D3-A8D3-906ABCABC0F4}" action="add"/>
</revisions>
</file>

<file path=xl/revisions/revisionLog12.xml><?xml version="1.0" encoding="utf-8"?>
<revisions xmlns="http://schemas.openxmlformats.org/spreadsheetml/2006/main" xmlns:r="http://schemas.openxmlformats.org/officeDocument/2006/relationships">
  <rcc rId="41587" sId="5">
    <oc r="A109" t="inlineStr">
      <is>
        <t>adjustments</t>
      </is>
    </oc>
    <nc r="A109" t="inlineStr">
      <is>
        <t>Adjusted for 2012-2013 comparisons (see Fy2013 notes tab)</t>
      </is>
    </nc>
  </rcc>
  <rcc rId="41588" sId="5">
    <oc r="A110" t="inlineStr">
      <is>
        <t>net of adjustments</t>
      </is>
    </oc>
    <nc r="A110" t="inlineStr">
      <is>
        <t>Adjusted for 2008-2013 comparisons (see Fy2013 notes tab)</t>
      </is>
    </nc>
  </rcc>
  <rfmt sheetId="5" sqref="BR109" start="0" length="0">
    <dxf>
      <font>
        <b/>
      </font>
    </dxf>
  </rfmt>
  <rfmt sheetId="5" sqref="BR110" start="0" length="0">
    <dxf>
      <font>
        <b/>
      </font>
    </dxf>
  </rfmt>
  <rcc rId="41589" sId="5">
    <oc r="BR110">
      <f>BR108+BR109</f>
    </oc>
    <nc r="BR110"/>
  </rcc>
  <rcc rId="41590" sId="5">
    <oc r="BR109">
      <f>-(2951+199)</f>
    </oc>
    <nc r="BR109"/>
  </rcc>
  <rcc rId="41591" sId="5" odxf="1" dxf="1">
    <nc r="BX109">
      <f>'FY 2013 by Agency'!BT109*Inflator!E17</f>
    </nc>
    <odxf>
      <font>
        <b/>
      </font>
      <numFmt numFmtId="0" formatCode="General"/>
    </odxf>
    <ndxf>
      <font>
        <b val="0"/>
      </font>
      <numFmt numFmtId="165" formatCode="&quot;$&quot;#,##0"/>
    </ndxf>
  </rcc>
  <rcc rId="41592" sId="5" odxf="1" dxf="1">
    <nc r="BX110">
      <f>'FY 2013 by Agency'!BT110*Inflator!E18</f>
    </nc>
    <odxf>
      <font>
        <b/>
      </font>
      <numFmt numFmtId="0" formatCode="General"/>
    </odxf>
    <ndxf>
      <font>
        <b val="0"/>
      </font>
      <numFmt numFmtId="165" formatCode="&quot;$&quot;#,##0"/>
    </ndxf>
  </rcc>
  <rcv guid="{AEFEB150-9213-45F5-A178-7AC71E46DB11}" action="delete"/>
  <rdn rId="0" localSheetId="2" customView="1" name="Z_AEFEB150_9213_45F5_A178_7AC71E46DB11_.wvu.Cols" hidden="1" oldHidden="1">
    <formula>'FY2013 by Approp Title'!$AA:$AA</formula>
    <oldFormula>'FY2013 by Approp Title'!$AA:$AA</oldFormula>
  </rdn>
  <rdn rId="0" localSheetId="3" customView="1" name="Z_AEFEB150_9213_45F5_A178_7AC71E46DB11_.wvu.Cols" hidden="1" oldHidden="1">
    <formula>'FY2013 By Approp Title-Adj'!$AA:$AA</formula>
    <oldFormula>'FY2013 By Approp Title-Adj'!$AA:$AA</oldFormula>
  </rdn>
  <rdn rId="0" localSheetId="4" customView="1" name="Z_AEFEB150_9213_45F5_A178_7AC71E46DB11_.wvu.Rows" hidden="1" oldHidden="1">
    <formula>'FY 2013 by Agency'!$1:$3,'FY 2013 by Agency'!$226:$240</formula>
    <oldFormula>'FY 2013 by Agency'!$1:$3,'FY 2013 by Agency'!$226:$240</oldFormula>
  </rdn>
  <rdn rId="0" localSheetId="5" customView="1" name="Z_AEFEB150_9213_45F5_A178_7AC71E46DB11_.wvu.Rows" hidden="1" oldHidden="1">
    <formula>'FY 2013 by Agency-Adj'!$1:$3,'FY 2013 by Agency-Adj'!$227:$241</formula>
    <oldFormula>'FY 2013 by Agency-Adj'!$1:$3,'FY 2013 by Agency-Adj'!$227:$241</oldFormula>
  </rdn>
  <rdn rId="0" localSheetId="5" customView="1" name="Z_AEFEB150_9213_45F5_A178_7AC71E46DB11_.wvu.Cols" hidden="1" oldHidden="1">
    <formula>'FY 2013 by Agency-Adj'!$AJ:$AM</formula>
    <oldFormula>'FY 2013 by Agency-Adj'!$AJ:$AM</oldFormula>
  </rdn>
  <rdn rId="0" localSheetId="8" customView="1" name="Z_AEFEB150_9213_45F5_A178_7AC71E46DB11_.wvu.Rows" hidden="1" oldHidden="1">
    <formula>'Sheet 4'!$1:$6</formula>
    <oldFormula>'Sheet 4'!$1:$6</oldFormula>
  </rdn>
  <rcv guid="{AEFEB150-9213-45F5-A178-7AC71E46DB11}" action="add"/>
</revisions>
</file>

<file path=xl/revisions/revisionLog120.xml><?xml version="1.0" encoding="utf-8"?>
<revisions xmlns="http://schemas.openxmlformats.org/spreadsheetml/2006/main" xmlns:r="http://schemas.openxmlformats.org/officeDocument/2006/relationships">
  <rcv guid="{567C3053-2D8E-4705-8DC7-18896C5303CA}" action="delete"/>
  <rdn rId="0" localSheetId="2" customView="1" name="Z_567C3053_2D8E_4705_8DC7_18896C5303CA_.wvu.Cols" hidden="1" oldHidden="1">
    <formula>'FY2013 by Approp Title'!$AA:$AA</formula>
    <oldFormula>'FY2013 by Approp Title'!$AA:$AA</oldFormula>
  </rdn>
  <rdn rId="0" localSheetId="3" customView="1" name="Z_567C3053_2D8E_4705_8DC7_18896C5303CA_.wvu.Cols" hidden="1" oldHidden="1">
    <formula>'FY2013 By Approp Title-Adj'!$AA:$AA</formula>
    <oldFormula>'FY2013 By Approp Title-Adj'!$AA:$AA</oldFormula>
  </rdn>
  <rdn rId="0" localSheetId="4" customView="1" name="Z_567C3053_2D8E_4705_8DC7_18896C5303CA_.wvu.Rows" hidden="1" oldHidden="1">
    <formula>'FY 2013 by Agency'!$1:$3,'FY 2013 by Agency'!$227:$241</formula>
    <oldFormula>'FY 2013 by Agency'!$1:$3,'FY 2013 by Agency'!$227:$241</oldFormula>
  </rdn>
  <rdn rId="0" localSheetId="4" customView="1" name="Z_567C3053_2D8E_4705_8DC7_18896C5303CA_.wvu.Cols" hidden="1" oldHidden="1">
    <formula>'FY 2013 by Agency'!$BC:$BD,'FY 2013 by Agency'!$BF:$BM,'FY 2013 by Agency'!$BP:$BP</formula>
    <oldFormula>'FY 2013 by Agency'!$BC:$BD,'FY 2013 by Agency'!$BF:$BM,'FY 2013 by Agency'!$BP:$BP</oldFormula>
  </rdn>
  <rdn rId="0" localSheetId="5" customView="1" name="Z_567C3053_2D8E_4705_8DC7_18896C5303CA_.wvu.Rows" hidden="1" oldHidden="1">
    <formula>'FY 2013 by Agency-Adj'!$1:$3,'FY 2013 by Agency-Adj'!$228:$242</formula>
    <oldFormula>'FY 2013 by Agency-Adj'!$1:$3,'FY 2013 by Agency-Adj'!$228:$242</oldFormula>
  </rdn>
  <rdn rId="0" localSheetId="5" customView="1" name="Z_567C3053_2D8E_4705_8DC7_18896C5303CA_.wvu.Cols" hidden="1" oldHidden="1">
    <formula>'FY 2013 by Agency-Adj'!$V:$AB,'FY 2013 by Agency-Adj'!$AJ:$AM,'FY 2013 by Agency-Adj'!$AP:$AS,'FY 2013 by Agency-Adj'!$BX:$BX</formula>
    <oldFormula>'FY 2013 by Agency-Adj'!$V:$AB,'FY 2013 by Agency-Adj'!$AJ:$AM,'FY 2013 by Agency-Adj'!$AP:$AS,'FY 2013 by Agency-Adj'!$BX:$BX</oldFormula>
  </rdn>
  <rdn rId="0" localSheetId="8" customView="1" name="Z_567C3053_2D8E_4705_8DC7_18896C5303CA_.wvu.Rows" hidden="1" oldHidden="1">
    <formula>'Sheet 4'!$1:$6</formula>
    <oldFormula>'Sheet 4'!$1:$6</oldFormula>
  </rdn>
  <rcv guid="{567C3053-2D8E-4705-8DC7-18896C5303CA}" action="add"/>
</revisions>
</file>

<file path=xl/revisions/revisionLog1201.xml><?xml version="1.0" encoding="utf-8"?>
<revisions xmlns="http://schemas.openxmlformats.org/spreadsheetml/2006/main" xmlns:r="http://schemas.openxmlformats.org/officeDocument/2006/relationships">
  <rcc rId="41839" sId="4">
    <oc r="BT109">
      <f>BO109+BP109+BQ109+BR109+BS109</f>
    </oc>
    <nc r="BT109">
      <f>BT85+BT86+BT87+BT88+BT89+BT90+BT91+BT92+BT93+BT94+BT95+BT96+BT97+BT98+BT99+BT100+BT101+BT102+BT103+BT104+BT105+BT106+BT107+BT108</f>
    </nc>
  </rcc>
  <rcc rId="41840" sId="4">
    <oc r="BT133">
      <f>BO133+BP133+BQ133+BR133+BS133</f>
    </oc>
    <nc r="BT133">
      <f>BT120+BT121+BT122+BT123+BT124+BT125+BT126+BT127+BT128+BT129+BT130+BT131+BT132</f>
    </nc>
  </rcc>
  <rcc rId="41841" sId="4">
    <oc r="BT166">
      <f>BO166+BP166+BQ166+BR166+BS166</f>
    </oc>
    <nc r="BT166">
      <f>BT146+BT147+BT148+BT149+BT150+BT151+BT152+BT153+BT154+BT155+BT156+BT157+BT158+BT159+BT160+BT161+BT162+BT163+BT164+BT165</f>
    </nc>
  </rcc>
  <rfmt sheetId="4" sqref="BT158" start="0" length="0">
    <dxf>
      <font/>
    </dxf>
  </rfmt>
  <rcc rId="41842" sId="4" numFmtId="11">
    <oc r="B158">
      <v>0</v>
    </oc>
    <nc r="B158"/>
  </rcc>
  <rcc rId="41843" sId="4" numFmtId="4">
    <oc r="BT158">
      <f>#REF!+BP158+BQ158+BR158+BS158</f>
    </oc>
    <nc r="BT158">
      <v>3000</v>
    </nc>
  </rcc>
  <rcc rId="41844" sId="4">
    <oc r="BT188">
      <f>BO188+BP188+BQ188+BR188+BS188</f>
    </oc>
    <nc r="BT188">
      <f>BT179+BT180+BT181+BT182+BT183+BT184+BT185</f>
    </nc>
  </rcc>
  <rcc rId="41845" sId="4">
    <nc r="BT245">
      <f>7050420-6762028</f>
    </nc>
  </rcc>
  <rcv guid="{567C3053-2D8E-4705-8DC7-18896C5303CA}" action="delete"/>
  <rdn rId="0" localSheetId="2" customView="1" name="Z_567C3053_2D8E_4705_8DC7_18896C5303CA_.wvu.Cols" hidden="1" oldHidden="1">
    <formula>'FY2013 by Approp Title'!$AA:$AA</formula>
    <oldFormula>'FY2013 by Approp Title'!$AA:$AA</oldFormula>
  </rdn>
  <rdn rId="0" localSheetId="3" customView="1" name="Z_567C3053_2D8E_4705_8DC7_18896C5303CA_.wvu.Cols" hidden="1" oldHidden="1">
    <formula>'FY2013 By Approp Title-Adj'!$AA:$AA</formula>
    <oldFormula>'FY2013 By Approp Title-Adj'!$AA:$AA</oldFormula>
  </rdn>
  <rdn rId="0" localSheetId="4" customView="1" name="Z_567C3053_2D8E_4705_8DC7_18896C5303CA_.wvu.Rows" hidden="1" oldHidden="1">
    <formula>'FY 2013 by Agency'!$1:$3,'FY 2013 by Agency'!$227:$241</formula>
    <oldFormula>'FY 2013 by Agency'!$1:$3,'FY 2013 by Agency'!$227:$241</oldFormula>
  </rdn>
  <rdn rId="0" localSheetId="5" customView="1" name="Z_567C3053_2D8E_4705_8DC7_18896C5303CA_.wvu.Rows" hidden="1" oldHidden="1">
    <formula>'FY 2013 by Agency-Adj'!$1:$3,'FY 2013 by Agency-Adj'!$228:$242</formula>
    <oldFormula>'FY 2013 by Agency-Adj'!$1:$3,'FY 2013 by Agency-Adj'!$228:$242</oldFormula>
  </rdn>
  <rdn rId="0" localSheetId="5" customView="1" name="Z_567C3053_2D8E_4705_8DC7_18896C5303CA_.wvu.Cols" hidden="1" oldHidden="1">
    <formula>'FY 2013 by Agency-Adj'!$V:$AB,'FY 2013 by Agency-Adj'!$AJ:$AM,'FY 2013 by Agency-Adj'!$AP:$AS</formula>
    <oldFormula>'FY 2013 by Agency-Adj'!$V:$AB,'FY 2013 by Agency-Adj'!$AJ:$AM,'FY 2013 by Agency-Adj'!$AP:$AS</oldFormula>
  </rdn>
  <rdn rId="0" localSheetId="8" customView="1" name="Z_567C3053_2D8E_4705_8DC7_18896C5303CA_.wvu.Rows" hidden="1" oldHidden="1">
    <formula>'Sheet 4'!$1:$6</formula>
    <oldFormula>'Sheet 4'!$1:$6</oldFormula>
  </rdn>
  <rcv guid="{567C3053-2D8E-4705-8DC7-18896C5303CA}" action="add"/>
</revisions>
</file>

<file path=xl/revisions/revisionLog121.xml><?xml version="1.0" encoding="utf-8"?>
<revisions xmlns="http://schemas.openxmlformats.org/spreadsheetml/2006/main" xmlns:r="http://schemas.openxmlformats.org/officeDocument/2006/relationships">
  <rcc rId="43743" sId="10" odxf="1" dxf="1">
    <nc r="A31" t="inlineStr">
      <is>
        <t>FINANCE</t>
      </is>
    </nc>
    <odxf/>
    <ndxf/>
  </rcc>
  <rfmt sheetId="10" sqref="A31">
    <dxf>
      <font>
        <b val="0"/>
        <i val="0"/>
        <strike val="0"/>
        <condense val="0"/>
        <extend val="0"/>
        <outline val="0"/>
        <shadow val="0"/>
        <u val="none"/>
        <vertAlign val="baseline"/>
        <sz val="10"/>
        <color auto="1"/>
        <name val="Arial"/>
        <scheme val="none"/>
      </font>
      <fill>
        <patternFill patternType="none">
          <fgColor indexed="64"/>
          <bgColor indexed="65"/>
        </patternFill>
      </fill>
      <border diagonalUp="0" diagonalDown="0" outline="0">
        <left/>
        <right/>
        <top/>
        <bottom/>
      </border>
    </dxf>
  </rfmt>
  <rcc rId="43744" sId="10" odxf="1" dxf="1">
    <nc r="A32" t="inlineStr">
      <is>
        <t>TIF AND PILOT, baseball transfer and highway trust fund moved back from enterprise to make comparisons to prior years.</t>
      </is>
    </nc>
    <odxf/>
    <ndxf/>
  </rcc>
  <rfmt sheetId="10" sqref="A32">
    <dxf>
      <font>
        <b val="0"/>
        <i val="0"/>
        <strike val="0"/>
        <condense val="0"/>
        <extend val="0"/>
        <outline val="0"/>
        <shadow val="0"/>
        <u val="none"/>
        <vertAlign val="baseline"/>
        <sz val="10"/>
        <color auto="1"/>
        <name val="Arial"/>
        <scheme val="none"/>
      </font>
      <fill>
        <patternFill patternType="none">
          <fgColor indexed="64"/>
          <bgColor indexed="65"/>
        </patternFill>
      </fill>
      <border diagonalUp="0" diagonalDown="0" outline="0">
        <left/>
        <right/>
        <top/>
        <bottom/>
      </border>
    </dxf>
  </rfmt>
  <rfmt sheetId="10" sqref="A31" start="0" length="2147483647">
    <dxf>
      <font>
        <b/>
      </font>
    </dxf>
  </rfmt>
  <rcv guid="{567C3053-2D8E-4705-8DC7-18896C5303CA}" action="delete"/>
  <rdn rId="0" localSheetId="2" customView="1" name="Z_567C3053_2D8E_4705_8DC7_18896C5303CA_.wvu.Cols" hidden="1" oldHidden="1">
    <formula>'FY2013 by Approp Title'!$AA:$AA</formula>
    <oldFormula>'FY2013 by Approp Title'!$AA:$AA</oldFormula>
  </rdn>
  <rdn rId="0" localSheetId="3" customView="1" name="Z_567C3053_2D8E_4705_8DC7_18896C5303CA_.wvu.Cols" hidden="1" oldHidden="1">
    <formula>'FY2013 By Approp Title-Adj'!$AA:$AA</formula>
    <oldFormula>'FY2013 By Approp Title-Adj'!$AA:$AA</oldFormula>
  </rdn>
  <rdn rId="0" localSheetId="4" customView="1" name="Z_567C3053_2D8E_4705_8DC7_18896C5303CA_.wvu.Rows" hidden="1" oldHidden="1">
    <formula>'FY 2013 by Agency'!$1:$3,'FY 2013 by Agency'!$227:$241</formula>
    <oldFormula>'FY 2013 by Agency'!$1:$3,'FY 2013 by Agency'!$227:$241</oldFormula>
  </rdn>
  <rdn rId="0" localSheetId="4" customView="1" name="Z_567C3053_2D8E_4705_8DC7_18896C5303CA_.wvu.Cols" hidden="1" oldHidden="1">
    <formula>'FY 2013 by Agency'!$BP:$BP</formula>
    <oldFormula>'FY 2013 by Agency'!$BC:$BD,'FY 2013 by Agency'!$BF:$BM,'FY 2013 by Agency'!$BP:$BP</oldFormula>
  </rdn>
  <rdn rId="0" localSheetId="5" customView="1" name="Z_567C3053_2D8E_4705_8DC7_18896C5303CA_.wvu.Rows" hidden="1" oldHidden="1">
    <formula>'FY 2013 by Agency-Adj'!$1:$3,'FY 2013 by Agency-Adj'!$228:$242</formula>
    <oldFormula>'FY 2013 by Agency-Adj'!$1:$3,'FY 2013 by Agency-Adj'!$228:$242</oldFormula>
  </rdn>
  <rdn rId="0" localSheetId="5" customView="1" name="Z_567C3053_2D8E_4705_8DC7_18896C5303CA_.wvu.Cols" hidden="1" oldHidden="1">
    <formula>'FY 2013 by Agency-Adj'!$AJ:$AM,'FY 2013 by Agency-Adj'!$AP:$AS,'FY 2013 by Agency-Adj'!$BX:$BX</formula>
    <oldFormula>'FY 2013 by Agency-Adj'!$AJ:$AM,'FY 2013 by Agency-Adj'!$AP:$AS,'FY 2013 by Agency-Adj'!$BX:$BX</oldFormula>
  </rdn>
  <rdn rId="0" localSheetId="8" customView="1" name="Z_567C3053_2D8E_4705_8DC7_18896C5303CA_.wvu.Rows" hidden="1" oldHidden="1">
    <formula>'Sheet 4'!$1:$6</formula>
    <oldFormula>'Sheet 4'!$1:$6</oldFormula>
  </rdn>
  <rcv guid="{567C3053-2D8E-4705-8DC7-18896C5303CA}" action="add"/>
</revisions>
</file>

<file path=xl/revisions/revisionLog1211.xml><?xml version="1.0" encoding="utf-8"?>
<revisions xmlns="http://schemas.openxmlformats.org/spreadsheetml/2006/main" xmlns:r="http://schemas.openxmlformats.org/officeDocument/2006/relationships">
  <rcv guid="{567C3053-2D8E-4705-8DC7-18896C5303CA}" action="delete"/>
  <rdn rId="0" localSheetId="2" customView="1" name="Z_567C3053_2D8E_4705_8DC7_18896C5303CA_.wvu.Cols" hidden="1" oldHidden="1">
    <formula>'FY2013 by Approp Title'!$AA:$AA</formula>
    <oldFormula>'FY2013 by Approp Title'!$AA:$AA</oldFormula>
  </rdn>
  <rdn rId="0" localSheetId="3" customView="1" name="Z_567C3053_2D8E_4705_8DC7_18896C5303CA_.wvu.Cols" hidden="1" oldHidden="1">
    <formula>'FY2013 By Approp Title-Adj'!$AA:$AA</formula>
    <oldFormula>'FY2013 By Approp Title-Adj'!$AA:$AA</oldFormula>
  </rdn>
  <rdn rId="0" localSheetId="4" customView="1" name="Z_567C3053_2D8E_4705_8DC7_18896C5303CA_.wvu.Rows" hidden="1" oldHidden="1">
    <formula>'FY 2013 by Agency'!$1:$3,'FY 2013 by Agency'!$227:$241</formula>
    <oldFormula>'FY 2013 by Agency'!$1:$3,'FY 2013 by Agency'!$227:$241</oldFormula>
  </rdn>
  <rdn rId="0" localSheetId="4" customView="1" name="Z_567C3053_2D8E_4705_8DC7_18896C5303CA_.wvu.Cols" hidden="1" oldHidden="1">
    <formula>'FY 2013 by Agency'!$BC:$BD,'FY 2013 by Agency'!$BF:$BM,'FY 2013 by Agency'!$BP:$BP</formula>
    <oldFormula>'FY 2013 by Agency'!$BC:$BD,'FY 2013 by Agency'!$BF:$BM,'FY 2013 by Agency'!$BP:$BP</oldFormula>
  </rdn>
  <rdn rId="0" localSheetId="5" customView="1" name="Z_567C3053_2D8E_4705_8DC7_18896C5303CA_.wvu.Rows" hidden="1" oldHidden="1">
    <formula>'FY 2013 by Agency-Adj'!$1:$3,'FY 2013 by Agency-Adj'!$228:$242</formula>
    <oldFormula>'FY 2013 by Agency-Adj'!$1:$3,'FY 2013 by Agency-Adj'!$228:$242</oldFormula>
  </rdn>
  <rdn rId="0" localSheetId="5" customView="1" name="Z_567C3053_2D8E_4705_8DC7_18896C5303CA_.wvu.Cols" hidden="1" oldHidden="1">
    <formula>'FY 2013 by Agency-Adj'!$AJ:$AM,'FY 2013 by Agency-Adj'!$AP:$AS,'FY 2013 by Agency-Adj'!$BX:$BX</formula>
    <oldFormula>'FY 2013 by Agency-Adj'!$AJ:$AM,'FY 2013 by Agency-Adj'!$AP:$AS,'FY 2013 by Agency-Adj'!$BX:$BX</oldFormula>
  </rdn>
  <rdn rId="0" localSheetId="8" customView="1" name="Z_567C3053_2D8E_4705_8DC7_18896C5303CA_.wvu.Rows" hidden="1" oldHidden="1">
    <formula>'Sheet 4'!$1:$6</formula>
    <oldFormula>'Sheet 4'!$1:$6</oldFormula>
  </rdn>
  <rcv guid="{567C3053-2D8E-4705-8DC7-18896C5303CA}" action="add"/>
</revisions>
</file>

<file path=xl/revisions/revisionLog12111.xml><?xml version="1.0" encoding="utf-8"?>
<revisions xmlns="http://schemas.openxmlformats.org/spreadsheetml/2006/main" xmlns:r="http://schemas.openxmlformats.org/officeDocument/2006/relationships">
  <rcv guid="{9D4F0482-B164-4671-805A-E0D2D4DD4720}" action="delete"/>
  <rdn rId="0" localSheetId="2" customView="1" name="Z_9D4F0482_B164_4671_805A_E0D2D4DD4720_.wvu.Cols" hidden="1" oldHidden="1">
    <formula>'FY2013 by Approp Title'!$AA:$AA</formula>
    <oldFormula>'FY2013 by Approp Title'!$AA:$AA</oldFormula>
  </rdn>
  <rdn rId="0" localSheetId="3" customView="1" name="Z_9D4F0482_B164_4671_805A_E0D2D4DD4720_.wvu.Cols" hidden="1" oldHidden="1">
    <formula>'FY2013 By Approp Title-Adj'!$AA:$AA</formula>
    <oldFormula>'FY2013 By Approp Title-Adj'!$AA:$AA</oldFormula>
  </rdn>
  <rdn rId="0" localSheetId="4" customView="1" name="Z_9D4F0482_B164_4671_805A_E0D2D4DD4720_.wvu.Rows" hidden="1" oldHidden="1">
    <formula>'FY 2013 by Agency'!$1:$3,'FY 2013 by Agency'!$227:$241</formula>
    <oldFormula>'FY 2013 by Agency'!$1:$3,'FY 2013 by Agency'!$227:$241</oldFormula>
  </rdn>
  <rdn rId="0" localSheetId="4" customView="1" name="Z_9D4F0482_B164_4671_805A_E0D2D4DD4720_.wvu.Cols" hidden="1" oldHidden="1">
    <formula>'FY 2013 by Agency'!$AI:$AW</formula>
    <oldFormula>'FY 2013 by Agency'!$AI:$AW</oldFormula>
  </rdn>
  <rdn rId="0" localSheetId="5" customView="1" name="Z_9D4F0482_B164_4671_805A_E0D2D4DD4720_.wvu.Rows" hidden="1" oldHidden="1">
    <formula>'FY 2013 by Agency-Adj'!$1:$3,'FY 2013 by Agency-Adj'!$14:$14,'FY 2013 by Agency-Adj'!$19:$19,'FY 2013 by Agency-Adj'!$149:$149,'FY 2013 by Agency-Adj'!$157:$157,'FY 2013 by Agency-Adj'!$164:$164,'FY 2013 by Agency-Adj'!$228:$242</formula>
    <oldFormula>'FY 2013 by Agency-Adj'!$1:$3,'FY 2013 by Agency-Adj'!$14:$14,'FY 2013 by Agency-Adj'!$19:$19,'FY 2013 by Agency-Adj'!$149:$149,'FY 2013 by Agency-Adj'!$157:$157,'FY 2013 by Agency-Adj'!$164:$164,'FY 2013 by Agency-Adj'!$228:$242</oldFormula>
  </rdn>
  <rdn rId="0" localSheetId="5" customView="1" name="Z_9D4F0482_B164_4671_805A_E0D2D4DD4720_.wvu.Cols" hidden="1" oldHidden="1">
    <formula>'FY 2013 by Agency-Adj'!$AD:$AE,'FY 2013 by Agency-Adj'!$AI:$BJ</formula>
    <oldFormula>'FY 2013 by Agency-Adj'!$AD:$AE,'FY 2013 by Agency-Adj'!$AI:$BJ</oldFormula>
  </rdn>
  <rdn rId="0" localSheetId="8" customView="1" name="Z_9D4F0482_B164_4671_805A_E0D2D4DD4720_.wvu.Rows" hidden="1" oldHidden="1">
    <formula>'Sheet 4'!$1:$6</formula>
    <oldFormula>'Sheet 4'!$1:$6</oldFormula>
  </rdn>
  <rcv guid="{9D4F0482-B164-4671-805A-E0D2D4DD4720}" action="add"/>
</revisions>
</file>

<file path=xl/revisions/revisionLog122.xml><?xml version="1.0" encoding="utf-8"?>
<revisions xmlns="http://schemas.openxmlformats.org/spreadsheetml/2006/main" xmlns:r="http://schemas.openxmlformats.org/officeDocument/2006/relationships">
  <rcv guid="{78CA186D-B240-44D5-8A24-D241DE0B0FD9}" action="delete"/>
  <rdn rId="0" localSheetId="2" customView="1" name="Z_78CA186D_B240_44D5_8A24_D241DE0B0FD9_.wvu.Cols" hidden="1" oldHidden="1">
    <formula>'FY2013 by Approp Title'!$AA:$AA</formula>
    <oldFormula>'FY2013 by Approp Title'!$AA:$AA</oldFormula>
  </rdn>
  <rdn rId="0" localSheetId="3" customView="1" name="Z_78CA186D_B240_44D5_8A24_D241DE0B0FD9_.wvu.Cols" hidden="1" oldHidden="1">
    <formula>'FY2013 By Approp Title-Adj'!$AA:$AA</formula>
    <oldFormula>'FY2013 By Approp Title-Adj'!$AA:$AA</oldFormula>
  </rdn>
  <rdn rId="0" localSheetId="4" customView="1" name="Z_78CA186D_B240_44D5_8A24_D241DE0B0FD9_.wvu.Rows" hidden="1" oldHidden="1">
    <formula>'FY 2013 by Agency'!$1:$3,'FY 2013 by Agency'!$226:$240</formula>
    <oldFormula>'FY 2013 by Agency'!$1:$3,'FY 2013 by Agency'!$226:$240</oldFormula>
  </rdn>
  <rdn rId="0" localSheetId="4" customView="1" name="Z_78CA186D_B240_44D5_8A24_D241DE0B0FD9_.wvu.Cols" hidden="1" oldHidden="1">
    <formula>'FY 2013 by Agency'!$D:$E,'FY 2013 by Agency'!$G:$H,'FY 2013 by Agency'!$J:$K,'FY 2013 by Agency'!$M:$N,'FY 2013 by Agency'!$P:$Q,'FY 2013 by Agency'!$S:$T,'FY 2013 by Agency'!$V:$W,'FY 2013 by Agency'!$Y:$Z,'FY 2013 by Agency'!$AB:$AE,'FY 2013 by Agency'!$AV:$AW,'FY 2013 by Agency'!$AY:$AZ,'FY 2013 by Agency'!$BF:$BG,'FY 2013 by Agency'!$BM:$BN</formula>
    <oldFormula>'FY 2013 by Agency'!$D:$E,'FY 2013 by Agency'!$G:$H,'FY 2013 by Agency'!$J:$K,'FY 2013 by Agency'!$M:$N,'FY 2013 by Agency'!$P:$Q,'FY 2013 by Agency'!$S:$T,'FY 2013 by Agency'!$V:$W,'FY 2013 by Agency'!$Y:$Z,'FY 2013 by Agency'!$AB:$AE,'FY 2013 by Agency'!$AV:$AW,'FY 2013 by Agency'!$AY:$AZ,'FY 2013 by Agency'!$BF:$BG,'FY 2013 by Agency'!$BM:$BN</oldFormula>
  </rdn>
  <rdn rId="0" localSheetId="5" customView="1" name="Z_78CA186D_B240_44D5_8A24_D241DE0B0FD9_.wvu.Rows" hidden="1" oldHidden="1">
    <formula>'FY 2013 by Agency-Adj'!$1:$3,'FY 2013 by Agency-Adj'!$14:$14,'FY 2013 by Agency-Adj'!$19:$19,'FY 2013 by Agency-Adj'!$156:$156,'FY 2013 by Agency-Adj'!$163:$163,'FY 2013 by Agency-Adj'!$227:$241</formula>
    <oldFormula>'FY 2013 by Agency-Adj'!$1:$3,'FY 2013 by Agency-Adj'!$14:$14,'FY 2013 by Agency-Adj'!$19:$19,'FY 2013 by Agency-Adj'!$156:$156,'FY 2013 by Agency-Adj'!$163:$163,'FY 2013 by Agency-Adj'!$227:$241</oldFormula>
  </rdn>
  <rdn rId="0" localSheetId="5" customView="1" name="Z_78CA186D_B240_44D5_8A24_D241DE0B0FD9_.wvu.Cols" hidden="1" oldHidden="1">
    <formula>'FY 2013 by Agency-Adj'!$AD:$AE,'FY 2013 by Agency-Adj'!$AI:$BK,'FY 2013 by Agency-Adj'!$BO:$BT</formula>
    <oldFormula>'FY 2013 by Agency-Adj'!$AD:$AE,'FY 2013 by Agency-Adj'!$AI:$BK,'FY 2013 by Agency-Adj'!$BO:$BT</oldFormula>
  </rdn>
  <rdn rId="0" localSheetId="8" customView="1" name="Z_78CA186D_B240_44D5_8A24_D241DE0B0FD9_.wvu.Rows" hidden="1" oldHidden="1">
    <formula>'Sheet 4'!$1:$6</formula>
    <oldFormula>'Sheet 4'!$1:$6</oldFormula>
  </rdn>
  <rcv guid="{78CA186D-B240-44D5-8A24-D241DE0B0FD9}" action="add"/>
</revisions>
</file>

<file path=xl/revisions/revisionLog1221.xml><?xml version="1.0" encoding="utf-8"?>
<revisions xmlns="http://schemas.openxmlformats.org/spreadsheetml/2006/main" xmlns:r="http://schemas.openxmlformats.org/officeDocument/2006/relationships">
  <rcv guid="{78CA186D-B240-44D5-8A24-D241DE0B0FD9}" action="delete"/>
  <rdn rId="0" localSheetId="2" customView="1" name="Z_78CA186D_B240_44D5_8A24_D241DE0B0FD9_.wvu.Cols" hidden="1" oldHidden="1">
    <formula>'FY2013 by Approp Title'!$AA:$AA</formula>
    <oldFormula>'FY2013 by Approp Title'!$AA:$AA</oldFormula>
  </rdn>
  <rdn rId="0" localSheetId="3" customView="1" name="Z_78CA186D_B240_44D5_8A24_D241DE0B0FD9_.wvu.Cols" hidden="1" oldHidden="1">
    <formula>'FY2013 By Approp Title-Adj'!$AA:$AA</formula>
    <oldFormula>'FY2013 By Approp Title-Adj'!$AA:$AA</oldFormula>
  </rdn>
  <rdn rId="0" localSheetId="4" customView="1" name="Z_78CA186D_B240_44D5_8A24_D241DE0B0FD9_.wvu.Rows" hidden="1" oldHidden="1">
    <formula>'FY 2013 by Agency'!$1:$3,'FY 2013 by Agency'!$226:$240</formula>
    <oldFormula>'FY 2013 by Agency'!$1:$3,'FY 2013 by Agency'!$226:$240</oldFormula>
  </rdn>
  <rdn rId="0" localSheetId="4" customView="1" name="Z_78CA186D_B240_44D5_8A24_D241DE0B0FD9_.wvu.Cols" hidden="1" oldHidden="1">
    <formula>'FY 2013 by Agency'!$D:$E,'FY 2013 by Agency'!$G:$H,'FY 2013 by Agency'!$J:$K,'FY 2013 by Agency'!$M:$N,'FY 2013 by Agency'!$P:$Q,'FY 2013 by Agency'!$S:$T,'FY 2013 by Agency'!$V:$W,'FY 2013 by Agency'!$Y:$Z,'FY 2013 by Agency'!$AB:$AE,'FY 2013 by Agency'!$AV:$AW,'FY 2013 by Agency'!$AY:$AZ,'FY 2013 by Agency'!$BF:$BG,'FY 2013 by Agency'!$BM:$BN</formula>
    <oldFormula>'FY 2013 by Agency'!$D:$E,'FY 2013 by Agency'!$G:$H,'FY 2013 by Agency'!$J:$K,'FY 2013 by Agency'!$M:$N,'FY 2013 by Agency'!$P:$Q,'FY 2013 by Agency'!$S:$T,'FY 2013 by Agency'!$V:$W,'FY 2013 by Agency'!$Y:$Z,'FY 2013 by Agency'!$AB:$AE,'FY 2013 by Agency'!$AV:$AW,'FY 2013 by Agency'!$AY:$AZ,'FY 2013 by Agency'!$BF:$BG,'FY 2013 by Agency'!$BM:$BN</oldFormula>
  </rdn>
  <rdn rId="0" localSheetId="5" customView="1" name="Z_78CA186D_B240_44D5_8A24_D241DE0B0FD9_.wvu.Rows" hidden="1" oldHidden="1">
    <formula>'FY 2013 by Agency-Adj'!$1:$3,'FY 2013 by Agency-Adj'!$14:$14,'FY 2013 by Agency-Adj'!$19:$19,'FY 2013 by Agency-Adj'!$156:$156,'FY 2013 by Agency-Adj'!$163:$163,'FY 2013 by Agency-Adj'!$227:$241</formula>
    <oldFormula>'FY 2013 by Agency-Adj'!$1:$3,'FY 2013 by Agency-Adj'!$14:$14,'FY 2013 by Agency-Adj'!$19:$19,'FY 2013 by Agency-Adj'!$156:$156,'FY 2013 by Agency-Adj'!$163:$163,'FY 2013 by Agency-Adj'!$227:$241</oldFormula>
  </rdn>
  <rdn rId="0" localSheetId="5" customView="1" name="Z_78CA186D_B240_44D5_8A24_D241DE0B0FD9_.wvu.Cols" hidden="1" oldHidden="1">
    <formula>'FY 2013 by Agency-Adj'!$AD:$AE,'FY 2013 by Agency-Adj'!$AI:$BK,'FY 2013 by Agency-Adj'!$BO:$BT</formula>
    <oldFormula>'FY 2013 by Agency-Adj'!$AD:$AE,'FY 2013 by Agency-Adj'!$AI:$BK,'FY 2013 by Agency-Adj'!$BO:$BT</oldFormula>
  </rdn>
  <rdn rId="0" localSheetId="8" customView="1" name="Z_78CA186D_B240_44D5_8A24_D241DE0B0FD9_.wvu.Rows" hidden="1" oldHidden="1">
    <formula>'Sheet 4'!$1:$6</formula>
    <oldFormula>'Sheet 4'!$1:$6</oldFormula>
  </rdn>
  <rcv guid="{78CA186D-B240-44D5-8A24-D241DE0B0FD9}" action="add"/>
</revisions>
</file>

<file path=xl/revisions/revisionLog12211.xml><?xml version="1.0" encoding="utf-8"?>
<revisions xmlns="http://schemas.openxmlformats.org/spreadsheetml/2006/main" xmlns:r="http://schemas.openxmlformats.org/officeDocument/2006/relationships">
  <rcv guid="{AEFEB150-9213-45F5-A178-7AC71E46DB11}" action="delete"/>
  <rdn rId="0" localSheetId="2" customView="1" name="Z_AEFEB150_9213_45F5_A178_7AC71E46DB11_.wvu.Cols" hidden="1" oldHidden="1">
    <formula>'FY2013 by Approp Title'!$AA:$AA</formula>
    <oldFormula>'FY2013 by Approp Title'!$AA:$AA</oldFormula>
  </rdn>
  <rdn rId="0" localSheetId="3" customView="1" name="Z_AEFEB150_9213_45F5_A178_7AC71E46DB11_.wvu.Cols" hidden="1" oldHidden="1">
    <formula>'FY2013 By Approp Title-Adj'!$AA:$AA</formula>
    <oldFormula>'FY2013 By Approp Title-Adj'!$AA:$AA</oldFormula>
  </rdn>
  <rdn rId="0" localSheetId="4" customView="1" name="Z_AEFEB150_9213_45F5_A178_7AC71E46DB11_.wvu.Rows" hidden="1" oldHidden="1">
    <formula>'FY 2013 by Agency'!$1:$3,'FY 2013 by Agency'!$226:$240</formula>
    <oldFormula>'FY 2013 by Agency'!$1:$3,'FY 2013 by Agency'!$226:$240</oldFormula>
  </rdn>
  <rdn rId="0" localSheetId="5" customView="1" name="Z_AEFEB150_9213_45F5_A178_7AC71E46DB11_.wvu.Rows" hidden="1" oldHidden="1">
    <formula>'FY 2013 by Agency-Adj'!$1:$3,'FY 2013 by Agency-Adj'!$227:$241</formula>
    <oldFormula>'FY 2013 by Agency-Adj'!$1:$3,'FY 2013 by Agency-Adj'!$227:$241</oldFormula>
  </rdn>
  <rdn rId="0" localSheetId="5" customView="1" name="Z_AEFEB150_9213_45F5_A178_7AC71E46DB11_.wvu.Cols" hidden="1" oldHidden="1">
    <formula>'FY 2013 by Agency-Adj'!$AJ:$AM</formula>
    <oldFormula>'FY 2013 by Agency-Adj'!$AJ:$AM</oldFormula>
  </rdn>
  <rdn rId="0" localSheetId="8" customView="1" name="Z_AEFEB150_9213_45F5_A178_7AC71E46DB11_.wvu.Rows" hidden="1" oldHidden="1">
    <formula>'Sheet 4'!$1:$6</formula>
    <oldFormula>'Sheet 4'!$1:$6</oldFormula>
  </rdn>
  <rcv guid="{AEFEB150-9213-45F5-A178-7AC71E46DB11}" action="add"/>
</revisions>
</file>

<file path=xl/revisions/revisionLog122111.xml><?xml version="1.0" encoding="utf-8"?>
<revisions xmlns="http://schemas.openxmlformats.org/spreadsheetml/2006/main" xmlns:r="http://schemas.openxmlformats.org/officeDocument/2006/relationships">
  <rrc rId="40485" sId="5" ref="A185:XFD185" action="insertRow">
    <undo index="4" exp="area" ref3D="1" dr="$BO$1:$BT$1048576" dn="Z_455630F5_40FC_47DB_8AD4_712C20B8FB91_.wvu.Cols" sId="5"/>
    <undo index="2" exp="area" ref3D="1" dr="$AI$1:$BK$1048576" dn="Z_455630F5_40FC_47DB_8AD4_712C20B8FB91_.wvu.Cols" sId="5"/>
    <undo index="1" exp="area" ref3D="1" dr="$AD$1:$AE$1048576" dn="Z_455630F5_40FC_47DB_8AD4_712C20B8FB91_.wvu.Cols" sId="5"/>
    <undo index="10" exp="area" ref3D="1" dr="$A$226:$XFD$240" dn="Z_455630F5_40FC_47DB_8AD4_712C20B8FB91_.wvu.Rows" sId="5"/>
    <undo index="4" exp="area" ref3D="1" dr="$A$226:$XFD$240" dn="Z_F784130D_F647_4ABA_8943_C79CA5B0FDC4_.wvu.Rows" sId="5"/>
    <undo index="2" exp="area" ref3D="1" dr="$AZ$1:$BH$1048576" dn="Z_F784130D_F647_4ABA_8943_C79CA5B0FDC4_.wvu.Cols" sId="5"/>
    <undo index="1" exp="area" ref3D="1" dr="$AJ$1:$AM$1048576" dn="Z_F784130D_F647_4ABA_8943_C79CA5B0FDC4_.wvu.Cols" sId="5"/>
    <undo index="2" exp="area" ref3D="1" dr="$A$226:$XFD$240" dn="Z_E44F5FE1_54FC_4AB3_84F9_7D65ACF2DDE7_.wvu.Rows" sId="5"/>
    <undo index="2" exp="area" ref3D="1" dr="$BO$1:$BT$1048576" dn="Z_E44F5FE1_54FC_4AB3_84F9_7D65ACF2DDE7_.wvu.Cols" sId="5"/>
    <undo index="1" exp="area" ref3D="1" dr="$AI$1:$BK$1048576" dn="Z_E44F5FE1_54FC_4AB3_84F9_7D65ACF2DDE7_.wvu.Cols" sId="5"/>
    <undo index="2" exp="area" ref3D="1" dr="$A$226:$XFD$240" dn="Z_AEFEB150_9213_45F5_A178_7AC71E46DB11_.wvu.Rows" sId="5"/>
    <undo index="0" exp="area" ref3D="1" dr="$AJ$1:$AM$1048576" dn="Z_AEFEB150_9213_45F5_A178_7AC71E46DB11_.wvu.Cols" sId="5"/>
    <undo index="12" exp="area" ref3D="1" dr="$A$226:$XFD$240" dn="Z_9D4F0482_B164_4671_805A_E0D2D4DD4720_.wvu.Rows" sId="5"/>
    <undo index="2" exp="area" ref3D="1" dr="$AI$1:$BJ$1048576" dn="Z_9D4F0482_B164_4671_805A_E0D2D4DD4720_.wvu.Cols" sId="5"/>
    <undo index="1" exp="area" ref3D="1" dr="$AD$1:$AE$1048576" dn="Z_9D4F0482_B164_4671_805A_E0D2D4DD4720_.wvu.Cols" sId="5"/>
    <undo index="2" exp="area" ref3D="1" dr="$A$226:$XFD$240" dn="Z_94DA13B6_7351_40F3_8CF7_A4211EC439DA_.wvu.Rows" sId="5"/>
    <undo index="4" exp="area" ref3D="1" dr="$AP$1:$AS$1048576" dn="Z_94DA13B6_7351_40F3_8CF7_A4211EC439DA_.wvu.Cols" sId="5"/>
    <undo index="2" exp="area" ref3D="1" dr="$AJ$1:$AM$1048576" dn="Z_94DA13B6_7351_40F3_8CF7_A4211EC439DA_.wvu.Cols" sId="5"/>
    <undo index="1" exp="area" ref3D="1" dr="$V$1:$AB$1048576" dn="Z_94DA13B6_7351_40F3_8CF7_A4211EC439DA_.wvu.Cols" sId="5"/>
    <undo index="2" exp="area" ref3D="1" dr="$A$226:$XFD$240" dn="Z_8F508F4D_4777_42BE_9707_8CB9355F7BDB_.wvu.Rows" sId="5"/>
    <undo index="2" exp="area" ref3D="1" dr="$AJ$1:$AM$1048576" dn="Z_8F508F4D_4777_42BE_9707_8CB9355F7BDB_.wvu.Cols" sId="5"/>
    <undo index="1" exp="area" ref3D="1" dr="$V$1:$AB$1048576" dn="Z_8F508F4D_4777_42BE_9707_8CB9355F7BDB_.wvu.Cols" sId="5"/>
    <undo index="10" exp="area" ref3D="1" dr="$A$226:$XFD$240" dn="Z_78CA186D_B240_44D5_8A24_D241DE0B0FD9_.wvu.Rows" sId="5"/>
    <undo index="4" exp="area" ref3D="1" dr="$BO$1:$BT$1048576" dn="Z_78CA186D_B240_44D5_8A24_D241DE0B0FD9_.wvu.Cols" sId="5"/>
    <undo index="2" exp="area" ref3D="1" dr="$AI$1:$BK$1048576" dn="Z_78CA186D_B240_44D5_8A24_D241DE0B0FD9_.wvu.Cols" sId="5"/>
    <undo index="1" exp="area" ref3D="1" dr="$AD$1:$AE$1048576" dn="Z_78CA186D_B240_44D5_8A24_D241DE0B0FD9_.wvu.Cols" sId="5"/>
    <undo index="2" exp="area" ref3D="1" dr="$A$226:$XFD$240" dn="Z_567C3053_2D8E_4705_8DC7_18896C5303CA_.wvu.Rows" sId="5"/>
    <undo index="4" exp="area" ref3D="1" dr="$AP$1:$AS$1048576" dn="Z_567C3053_2D8E_4705_8DC7_18896C5303CA_.wvu.Cols" sId="5"/>
    <undo index="2" exp="area" ref3D="1" dr="$AJ$1:$AM$1048576" dn="Z_567C3053_2D8E_4705_8DC7_18896C5303CA_.wvu.Cols" sId="5"/>
    <undo index="1" exp="area" ref3D="1" dr="$V$1:$AB$1048576" dn="Z_567C3053_2D8E_4705_8DC7_18896C5303CA_.wvu.Cols" sId="5"/>
    <undo index="2" exp="area" ref3D="1" dr="$A$226:$XFD$240" dn="Z_1E5198E1_BA46_4CE0_8628_4F695B0D7A3B_.wvu.Rows" sId="5"/>
  </rrc>
  <rcc rId="40486" sId="5" odxf="1" dxf="1">
    <nc r="A185" t="inlineStr">
      <is>
        <t>Mass Transit Subsidy</t>
      </is>
    </nc>
    <odxf>
      <font/>
      <fill>
        <patternFill patternType="none">
          <bgColor indexed="65"/>
        </patternFill>
      </fill>
    </odxf>
    <ndxf>
      <font/>
      <fill>
        <patternFill patternType="solid">
          <bgColor rgb="FFFFFF00"/>
        </patternFill>
      </fill>
    </ndxf>
  </rcc>
  <rfmt sheetId="5" sqref="BX60">
    <dxf>
      <fill>
        <patternFill patternType="none">
          <bgColor auto="1"/>
        </patternFill>
      </fill>
    </dxf>
  </rfmt>
  <rcc rId="40487" sId="5">
    <oc r="BX60">
      <f>'FY 2013 by Agency'!BT59*Inflator!E15</f>
    </oc>
    <nc r="BX60">
      <f>'FY 2013 by Agency'!BT60*Inflator!E15</f>
    </nc>
  </rcc>
  <rcc rId="40488" sId="5">
    <oc r="BX61">
      <f>'FY 2013 by Agency'!BT60*Inflator!E15</f>
    </oc>
    <nc r="BX61">
      <f>'FY 2013 by Agency'!BT61*Inflator!E15</f>
    </nc>
  </rcc>
  <rcc rId="40489" sId="5">
    <oc r="BX62">
      <f>'FY 2013 by Agency'!BT61*Inflator!E15</f>
    </oc>
    <nc r="BX62">
      <f>'FY 2013 by Agency'!BT62*Inflator!E15</f>
    </nc>
  </rcc>
  <rcc rId="40490" sId="5">
    <oc r="BX63">
      <f>'FY 2013 by Agency'!BT62*Inflator!E15</f>
    </oc>
    <nc r="BX63">
      <f>'FY 2013 by Agency'!BT63*Inflator!E15</f>
    </nc>
  </rcc>
  <rcc rId="40491" sId="5">
    <oc r="BX64">
      <f>'FY 2013 by Agency'!BT63*Inflator!E15</f>
    </oc>
    <nc r="BX64">
      <f>'FY 2013 by Agency'!BT64*Inflator!E15</f>
    </nc>
  </rcc>
  <rcc rId="40492" sId="5">
    <oc r="BX65">
      <f>'FY 2013 by Agency'!BT64*Inflator!E15</f>
    </oc>
    <nc r="BX65">
      <f>'FY 2013 by Agency'!BT65*Inflator!E15</f>
    </nc>
  </rcc>
  <rcc rId="40493" sId="5">
    <oc r="BX66">
      <f>'FY 2013 by Agency'!BT65*Inflator!E15</f>
    </oc>
    <nc r="BX66">
      <f>'FY 2013 by Agency'!BT66*Inflator!E15</f>
    </nc>
  </rcc>
  <rcc rId="40494" sId="5">
    <oc r="BX67">
      <f>'FY 2013 by Agency'!BT66*Inflator!E15</f>
    </oc>
    <nc r="BX67">
      <f>'FY 2013 by Agency'!BT67*Inflator!E15</f>
    </nc>
  </rcc>
  <rcc rId="40495" sId="5">
    <oc r="BX68">
      <f>'FY 2013 by Agency'!BT67*Inflator!E15</f>
    </oc>
    <nc r="BX68">
      <f>'FY 2013 by Agency'!BT68*Inflator!E15</f>
    </nc>
  </rcc>
  <rcc rId="40496" sId="5">
    <oc r="BX69">
      <f>'FY 2013 by Agency'!BT68*Inflator!E15</f>
    </oc>
    <nc r="BX69">
      <f>'FY 2013 by Agency'!BT69*Inflator!E15</f>
    </nc>
  </rcc>
  <rcc rId="40497" sId="5">
    <oc r="BX70">
      <f>'FY 2013 by Agency'!BT69*Inflator!E15</f>
    </oc>
    <nc r="BX70">
      <f>'FY 2013 by Agency'!BT70*Inflator!E15</f>
    </nc>
  </rcc>
  <rcc rId="40498" sId="5">
    <oc r="BX71">
      <f>'FY 2013 by Agency'!BT70*Inflator!E15</f>
    </oc>
    <nc r="BX71">
      <f>'FY 2013 by Agency'!BT71*Inflator!E15</f>
    </nc>
  </rcc>
  <rcc rId="40499" sId="5">
    <oc r="BX72">
      <f>'FY 2013 by Agency'!BT71*Inflator!E15</f>
    </oc>
    <nc r="BX72">
      <f>'FY 2013 by Agency'!BT72*Inflator!E15</f>
    </nc>
  </rcc>
  <rcc rId="40500" sId="5">
    <oc r="BX73">
      <f>'FY 2013 by Agency'!BT72*Inflator!E15</f>
    </oc>
    <nc r="BX73">
      <f>'FY 2013 by Agency'!BT73*Inflator!E15</f>
    </nc>
  </rcc>
  <rcc rId="40501" sId="5">
    <oc r="BX85">
      <f>'FY 2013 by Agency'!BT84*Inflator!E15</f>
    </oc>
    <nc r="BX85">
      <f>'FY 2013 by Agency'!BT85*Inflator!E15</f>
    </nc>
  </rcc>
  <rcc rId="40502" sId="5">
    <oc r="BX86">
      <f>'FY 2013 by Agency'!BT85*Inflator!E15</f>
    </oc>
    <nc r="BX86">
      <f>'FY 2013 by Agency'!BT86*Inflator!E15</f>
    </nc>
  </rcc>
  <rcc rId="40503" sId="5">
    <oc r="BX87">
      <f>'FY 2013 by Agency'!BT86*Inflator!E15</f>
    </oc>
    <nc r="BX87">
      <f>'FY 2013 by Agency'!BT87*Inflator!E15</f>
    </nc>
  </rcc>
  <rcc rId="40504" sId="5">
    <oc r="BX88">
      <f>'FY 2013 by Agency'!BT87*Inflator!E15</f>
    </oc>
    <nc r="BX88">
      <f>'FY 2013 by Agency'!BT88*Inflator!E15</f>
    </nc>
  </rcc>
  <rcc rId="40505" sId="5">
    <oc r="BX89">
      <f>'FY 2013 by Agency'!BT88*Inflator!E15</f>
    </oc>
    <nc r="BX89">
      <f>'FY 2013 by Agency'!BT89*Inflator!E15</f>
    </nc>
  </rcc>
  <rcc rId="40506" sId="5">
    <oc r="BX90">
      <f>'FY 2013 by Agency'!BT89*Inflator!E15</f>
    </oc>
    <nc r="BX90">
      <f>'FY 2013 by Agency'!BT90*Inflator!E15</f>
    </nc>
  </rcc>
  <rcc rId="40507" sId="5">
    <oc r="BX91">
      <f>'FY 2013 by Agency'!BT90*Inflator!E15</f>
    </oc>
    <nc r="BX91">
      <f>'FY 2013 by Agency'!BT91*Inflator!E15</f>
    </nc>
  </rcc>
  <rcc rId="40508" sId="5">
    <oc r="BX92">
      <f>'FY 2013 by Agency'!BT91*Inflator!E15</f>
    </oc>
    <nc r="BX92">
      <f>'FY 2013 by Agency'!BT92*Inflator!E15</f>
    </nc>
  </rcc>
  <rcc rId="40509" sId="5">
    <oc r="BX93">
      <f>'FY 2013 by Agency'!BT92*Inflator!E15</f>
    </oc>
    <nc r="BX93">
      <f>'FY 2013 by Agency'!BT93*Inflator!E15</f>
    </nc>
  </rcc>
  <rcc rId="40510" sId="5">
    <oc r="BX95">
      <f>'FY 2013 by Agency'!BT94*Inflator!E15</f>
    </oc>
    <nc r="BX95">
      <f>'FY 2013 by Agency'!BT95*Inflator!E15</f>
    </nc>
  </rcc>
  <rcc rId="40511" sId="5">
    <oc r="BX94">
      <f>'FY 2013 by Agency'!BT93*Inflator!E15</f>
    </oc>
    <nc r="BX94">
      <f>'FY 2013 by Agency'!BT94*Inflator!E15</f>
    </nc>
  </rcc>
  <rcc rId="40512" sId="5">
    <oc r="BX96">
      <f>'FY 2013 by Agency'!BT95*Inflator!E15</f>
    </oc>
    <nc r="BX96">
      <f>'FY 2013 by Agency'!BT96*Inflator!E15</f>
    </nc>
  </rcc>
  <rcc rId="40513" sId="5">
    <oc r="BX97">
      <f>'FY 2013 by Agency'!BT96*Inflator!E15</f>
    </oc>
    <nc r="BX97">
      <f>'FY 2013 by Agency'!BT97*Inflator!E15</f>
    </nc>
  </rcc>
  <rcc rId="40514" sId="5">
    <oc r="BX98">
      <f>'FY 2013 by Agency'!BT97*Inflator!E15</f>
    </oc>
    <nc r="BX98">
      <f>'FY 2013 by Agency'!BT98*Inflator!E15</f>
    </nc>
  </rcc>
  <rcc rId="40515" sId="5">
    <oc r="BX99">
      <f>'FY 2013 by Agency'!BT98*Inflator!E15</f>
    </oc>
    <nc r="BX99">
      <f>'FY 2013 by Agency'!BT99*Inflator!E15</f>
    </nc>
  </rcc>
  <rcc rId="40516" sId="5">
    <oc r="BX100">
      <f>'FY 2013 by Agency'!BT99*Inflator!E15</f>
    </oc>
    <nc r="BX100">
      <f>'FY 2013 by Agency'!BT100*Inflator!E15</f>
    </nc>
  </rcc>
  <rcc rId="40517" sId="5">
    <oc r="BX101">
      <f>'FY 2013 by Agency'!BT100*Inflator!E15</f>
    </oc>
    <nc r="BX101">
      <f>'FY 2013 by Agency'!BT101*Inflator!E15</f>
    </nc>
  </rcc>
  <rcc rId="40518" sId="5">
    <oc r="BX102">
      <f>'FY 2013 by Agency'!BT101*Inflator!E15</f>
    </oc>
    <nc r="BX102">
      <f>'FY 2013 by Agency'!BT102*Inflator!E15</f>
    </nc>
  </rcc>
  <rcc rId="40519" sId="5">
    <oc r="BX103">
      <f>'FY 2013 by Agency'!BT102*Inflator!E15</f>
    </oc>
    <nc r="BX103">
      <f>'FY 2013 by Agency'!BT103*Inflator!E15</f>
    </nc>
  </rcc>
  <rcc rId="40520" sId="5">
    <oc r="BX104">
      <f>'FY 2013 by Agency'!BT103*Inflator!E15</f>
    </oc>
    <nc r="BX104">
      <f>'FY 2013 by Agency'!BT104*Inflator!E15</f>
    </nc>
  </rcc>
  <rcc rId="40521" sId="5">
    <oc r="BX105">
      <f>'FY 2013 by Agency'!BT104*Inflator!E15</f>
    </oc>
    <nc r="BX105">
      <f>'FY 2013 by Agency'!BT105*Inflator!E15</f>
    </nc>
  </rcc>
  <rcc rId="40522" sId="5">
    <oc r="BX106">
      <f>'FY 2013 by Agency'!BT105*Inflator!E15</f>
    </oc>
    <nc r="BX106">
      <f>'FY 2013 by Agency'!BT106*Inflator!E15</f>
    </nc>
  </rcc>
  <rcc rId="40523" sId="5">
    <oc r="BX107">
      <f>'FY 2013 by Agency'!BT106*Inflator!E15</f>
    </oc>
    <nc r="BX107">
      <f>'FY 2013 by Agency'!BT107*Inflator!E15</f>
    </nc>
  </rcc>
  <rcc rId="40524" sId="5">
    <oc r="BX119">
      <f>'FY 2013 by Agency'!BT118*Inflator!E15</f>
    </oc>
    <nc r="BX119">
      <f>'FY 2013 by Agency'!BT119*Inflator!E15</f>
    </nc>
  </rcc>
  <rcc rId="40525" sId="5">
    <oc r="BX120">
      <f>'FY 2013 by Agency'!BT119*Inflator!E15</f>
    </oc>
    <nc r="BX120">
      <f>'FY 2013 by Agency'!BT120*Inflator!E15</f>
    </nc>
  </rcc>
  <rcc rId="40526" sId="5">
    <oc r="BX121">
      <f>'FY 2013 by Agency'!BT120*Inflator!E15</f>
    </oc>
    <nc r="BX121">
      <f>'FY 2013 by Agency'!BT121*Inflator!E15</f>
    </nc>
  </rcc>
  <rcc rId="40527" sId="5">
    <oc r="BX122">
      <f>'FY 2013 by Agency'!BT121*Inflator!E15</f>
    </oc>
    <nc r="BX122">
      <f>'FY 2013 by Agency'!BT122*Inflator!E15</f>
    </nc>
  </rcc>
  <rcc rId="40528" sId="5">
    <oc r="BX123">
      <f>'FY 2013 by Agency'!BT122*Inflator!E15</f>
    </oc>
    <nc r="BX123">
      <f>'FY 2013 by Agency'!BT123*Inflator!E15</f>
    </nc>
  </rcc>
  <rcc rId="40529" sId="5">
    <oc r="BX124">
      <f>'FY 2013 by Agency'!BT123*Inflator!E15</f>
    </oc>
    <nc r="BX124">
      <f>'FY 2013 by Agency'!BT124*Inflator!E15</f>
    </nc>
  </rcc>
  <rcc rId="40530" sId="5">
    <oc r="BX125">
      <f>'FY 2013 by Agency'!BT124*Inflator!E15</f>
    </oc>
    <nc r="BX125">
      <f>'FY 2013 by Agency'!BT125*Inflator!E15</f>
    </nc>
  </rcc>
  <rcc rId="40531" sId="5">
    <oc r="BX126">
      <f>'FY 2013 by Agency'!BT125*Inflator!E15</f>
    </oc>
    <nc r="BX126">
      <f>'FY 2013 by Agency'!BT126*Inflator!E15</f>
    </nc>
  </rcc>
  <rcc rId="40532" sId="5">
    <oc r="BX127">
      <f>'FY 2013 by Agency'!BT126*Inflator!E15</f>
    </oc>
    <nc r="BX127">
      <f>'FY 2013 by Agency'!BT127*Inflator!E15</f>
    </nc>
  </rcc>
  <rcc rId="40533" sId="5">
    <oc r="BX128">
      <f>'FY 2013 by Agency'!BT127*Inflator!E15</f>
    </oc>
    <nc r="BX128">
      <f>'FY 2013 by Agency'!BT128*Inflator!E15</f>
    </nc>
  </rcc>
  <rcc rId="40534" sId="5">
    <oc r="BX129">
      <f>'FY 2013 by Agency'!BT128*Inflator!E15</f>
    </oc>
    <nc r="BX129">
      <f>'FY 2013 by Agency'!BT129*Inflator!E15</f>
    </nc>
  </rcc>
  <rcc rId="40535" sId="5">
    <oc r="BX130">
      <f>'FY 2013 by Agency'!BT129*Inflator!E15</f>
    </oc>
    <nc r="BX130">
      <f>'FY 2013 by Agency'!BT130*Inflator!E15</f>
    </nc>
  </rcc>
  <rcc rId="40536" sId="5">
    <oc r="BX131">
      <f>'FY 2013 by Agency'!BT130*Inflator!E15</f>
    </oc>
    <nc r="BX131">
      <f>'FY 2013 by Agency'!BT131*Inflator!E15</f>
    </nc>
  </rcc>
  <rcc rId="40537" sId="5">
    <oc r="BX145">
      <f>'FY 2013 by Agency'!BT144*Inflator!E15</f>
    </oc>
    <nc r="BX145">
      <f>'FY 2013 by Agency'!BT145*Inflator!E15</f>
    </nc>
  </rcc>
  <rcc rId="40538" sId="5">
    <oc r="BX146">
      <f>'FY 2013 by Agency'!BT145*Inflator!E15</f>
    </oc>
    <nc r="BX146">
      <f>'FY 2013 by Agency'!BT146*Inflator!E15</f>
    </nc>
  </rcc>
  <rcc rId="40539" sId="5">
    <oc r="BX147">
      <f>'FY 2013 by Agency'!BT146*Inflator!E15</f>
    </oc>
    <nc r="BX147">
      <f>'FY 2013 by Agency'!BT147*Inflator!E15</f>
    </nc>
  </rcc>
  <rcc rId="40540" sId="5">
    <oc r="BX148">
      <f>'FY 2013 by Agency'!BT147*Inflator!E15</f>
    </oc>
    <nc r="BX148">
      <f>'FY 2013 by Agency'!BT148*Inflator!E15</f>
    </nc>
  </rcc>
  <rcc rId="40541" sId="5">
    <oc r="BX149">
      <f>'FY 2013 by Agency'!BT148*Inflator!E15</f>
    </oc>
    <nc r="BX149">
      <f>'FY 2013 by Agency'!BT149*Inflator!E15</f>
    </nc>
  </rcc>
  <rcc rId="40542" sId="5">
    <oc r="BX150">
      <f>'FY 2013 by Agency'!BT149*Inflator!E15</f>
    </oc>
    <nc r="BX150">
      <f>'FY 2013 by Agency'!BT150*Inflator!E15</f>
    </nc>
  </rcc>
  <rcc rId="40543" sId="5">
    <oc r="BX151">
      <f>'FY 2013 by Agency'!BT150*Inflator!E15</f>
    </oc>
    <nc r="BX151">
      <f>'FY 2013 by Agency'!BT151*Inflator!E15</f>
    </nc>
  </rcc>
  <rcc rId="40544" sId="5">
    <oc r="BX152">
      <f>'FY 2013 by Agency'!BT151*Inflator!E15</f>
    </oc>
    <nc r="BX152">
      <f>'FY 2013 by Agency'!BT152*Inflator!E15</f>
    </nc>
  </rcc>
  <rcc rId="40545" sId="5">
    <oc r="BX153">
      <f>'FY 2013 by Agency'!BT152*Inflator!E15</f>
    </oc>
    <nc r="BX153">
      <f>'FY 2013 by Agency'!BT153*Inflator!E15</f>
    </nc>
  </rcc>
  <rcc rId="40546" sId="5">
    <oc r="BX154">
      <f>'FY 2013 by Agency'!BT153*Inflator!E15</f>
    </oc>
    <nc r="BX154">
      <f>'FY 2013 by Agency'!BT154*Inflator!E15</f>
    </nc>
  </rcc>
  <rcc rId="40547" sId="5">
    <oc r="BX155">
      <f>'FY 2013 by Agency'!BT154*Inflator!E15</f>
    </oc>
    <nc r="BX155">
      <f>'FY 2013 by Agency'!BT155*Inflator!E15</f>
    </nc>
  </rcc>
  <rcc rId="40548" sId="5">
    <oc r="BX157">
      <f>'FY 2013 by Agency'!BT156*Inflator!E15</f>
    </oc>
    <nc r="BX157">
      <f>'FY 2013 by Agency'!BT157*Inflator!E15</f>
    </nc>
  </rcc>
  <rcc rId="40549" sId="5">
    <oc r="BX158">
      <f>'FY 2013 by Agency'!BT157*Inflator!E15</f>
    </oc>
    <nc r="BX158">
      <f>'FY 2013 by Agency'!BT158*Inflator!E15</f>
    </nc>
  </rcc>
  <rcc rId="40550" sId="5">
    <oc r="BX159">
      <f>'FY 2013 by Agency'!BT158*Inflator!E15</f>
    </oc>
    <nc r="BX159">
      <f>'FY 2013 by Agency'!BT198*Inflator!E15</f>
    </nc>
  </rcc>
  <rcc rId="40551" sId="5">
    <oc r="BX160">
      <f>'FY 2013 by Agency'!BT159*Inflator!E15</f>
    </oc>
    <nc r="BX160">
      <f>'FY 2013 by Agency'!BT160*Inflator!E15</f>
    </nc>
  </rcc>
  <rcc rId="40552" sId="5">
    <oc r="BX161">
      <f>'FY 2013 by Agency'!BT160*Inflator!E15</f>
    </oc>
    <nc r="BX161">
      <f>'FY 2013 by Agency'!BT161*Inflator!E15</f>
    </nc>
  </rcc>
  <rcc rId="40553" sId="5">
    <oc r="BX162">
      <f>'FY 2013 by Agency'!BT161*Inflator!E15</f>
    </oc>
    <nc r="BX162">
      <f>'FY 2013 by Agency'!BT162*Inflator!E15</f>
    </nc>
  </rcc>
  <rfmt sheetId="5" sqref="BX164" start="0" length="0">
    <dxf>
      <border outline="0">
        <bottom/>
      </border>
    </dxf>
  </rfmt>
  <rcc rId="40554" sId="5">
    <nc r="BX164">
      <f>'FY 2013 by Agency'!BT164*Inflator!E15</f>
    </nc>
  </rcc>
  <rcc rId="40555" sId="5">
    <oc r="BX178">
      <f>'FY 2013 by Agency'!BT176*Inflator!E15</f>
    </oc>
    <nc r="BX178">
      <f>'FY 2013 by Agency'!BT178*Inflator!E15</f>
    </nc>
  </rcc>
  <rcc rId="40556" sId="5">
    <oc r="BX179">
      <f>'FY 2013 by Agency'!BT177*Inflator!E15</f>
    </oc>
    <nc r="BX179">
      <f>'FY 2013 by Agency'!BT179*Inflator!E15</f>
    </nc>
  </rcc>
  <rcc rId="40557" sId="5">
    <oc r="BX180">
      <f>'FY 2013 by Agency'!BT178*Inflator!E15</f>
    </oc>
    <nc r="BX180">
      <f>'FY 2013 by Agency'!BT180*Inflator!E15</f>
    </nc>
  </rcc>
  <rcc rId="40558" sId="5">
    <oc r="BX181">
      <f>'FY 2013 by Agency'!BT179*Inflator!E15</f>
    </oc>
    <nc r="BX181">
      <f>'FY 2013 by Agency'!BT181*Inflator!E15</f>
    </nc>
  </rcc>
  <rcc rId="40559" sId="5">
    <oc r="BX182">
      <f>'FY 2013 by Agency'!BT180*Inflator!E15</f>
    </oc>
    <nc r="BX182">
      <f>'FY 2013 by Agency'!BT182*Inflator!E15</f>
    </nc>
  </rcc>
  <rcc rId="40560" sId="5">
    <oc r="BX183">
      <f>'FY 2013 by Agency'!BT181*Inflator!E15</f>
    </oc>
    <nc r="BX183">
      <f>'FY 2013 by Agency'!BT183*Inflator!E15</f>
    </nc>
  </rcc>
  <rcc rId="40561" sId="5">
    <oc r="BX184">
      <f>'FY 2013 by Agency'!BT182*Inflator!E15</f>
    </oc>
    <nc r="BX184">
      <f>'FY 2013 by Agency'!BT184*Inflator!E15</f>
    </nc>
  </rcc>
  <rcc rId="40562" sId="5">
    <nc r="BX185">
      <f>'FY 2013 by Agency'!BT185*Inflator!E15</f>
    </nc>
  </rcc>
  <rcc rId="40563" sId="5">
    <oc r="BX186">
      <f>'FY 2013 by Agency'!BT183*Inflator!E15</f>
    </oc>
    <nc r="BX186">
      <f>'FY 2013 by Agency'!BT186*Inflator!E15</f>
    </nc>
  </rcc>
  <rcc rId="40564" sId="5">
    <oc r="BX197">
      <f>'FY 2013 by Agency'!BT194*Inflator!E15</f>
    </oc>
    <nc r="BX197">
      <f>'FY 2013 by Agency'!BT197*Inflator!E15</f>
    </nc>
  </rcc>
  <rcc rId="40565" sId="5">
    <oc r="BX198">
      <f>'FY 2013 by Agency'!BT195*Inflator!E15</f>
    </oc>
    <nc r="BX198">
      <f>'FY 2013 by Agency'!BT198*Inflator!E15</f>
    </nc>
  </rcc>
  <rcc rId="40566" sId="5">
    <oc r="BX199">
      <f>'FY 2013 by Agency'!BT196*Inflator!E15</f>
    </oc>
    <nc r="BX199">
      <f>'FY 2013 by Agency'!BT199*Inflator!E15</f>
    </nc>
  </rcc>
  <rcc rId="40567" sId="5">
    <oc r="BX200">
      <f>'FY 2013 by Agency'!BT197*Inflator!E15</f>
    </oc>
    <nc r="BX200">
      <f>'FY 2013 by Agency'!BT200*Inflator!E15</f>
    </nc>
  </rcc>
  <rcc rId="40568" sId="5">
    <oc r="BX201">
      <f>'FY 2013 by Agency'!BT198*Inflator!E15</f>
    </oc>
    <nc r="BX201">
      <f>'FY 2013 by Agency'!BT201*Inflator!E15</f>
    </nc>
  </rcc>
  <rcc rId="40569" sId="5">
    <oc r="BX202">
      <f>'FY 2013 by Agency'!BT199*Inflator!E15</f>
    </oc>
    <nc r="BX202">
      <f>'FY 2013 by Agency'!BT202*Inflator!E15</f>
    </nc>
  </rcc>
  <rcc rId="40570" sId="5">
    <oc r="BX203">
      <f>'FY 2013 by Agency'!BT200*Inflator!E15</f>
    </oc>
    <nc r="BX203">
      <f>'FY 2013 by Agency'!BT203*Inflator!E15</f>
    </nc>
  </rcc>
  <rcc rId="40571" sId="5">
    <oc r="BX204">
      <f>'FY 2013 by Agency'!BT201*Inflator!E15</f>
    </oc>
    <nc r="BX204">
      <f>'FY 2013 by Agency'!BT204*Inflator!E15</f>
    </nc>
  </rcc>
  <rcc rId="40572" sId="5">
    <oc r="BX205">
      <f>'FY 2013 by Agency'!BT202*Inflator!E15</f>
    </oc>
    <nc r="BX205">
      <f>'FY 2013 by Agency'!BT205*Inflator!E15</f>
    </nc>
  </rcc>
  <rcc rId="40573" sId="5">
    <oc r="BX206">
      <f>'FY 2013 by Agency'!BT203*Inflator!E15</f>
    </oc>
    <nc r="BX206">
      <f>'FY 2013 by Agency'!BT206*Inflator!E15</f>
    </nc>
  </rcc>
  <rcc rId="40574" sId="5">
    <oc r="BX207">
      <f>'FY 2013 by Agency'!BT204*Inflator!E15</f>
    </oc>
    <nc r="BX207">
      <f>'FY 2013 by Agency'!BT207*Inflator!E15</f>
    </nc>
  </rcc>
  <rcc rId="40575" sId="5">
    <oc r="BX208">
      <f>'FY 2013 by Agency'!BT205*Inflator!E15</f>
    </oc>
    <nc r="BX208">
      <f>'FY 2013 by Agency'!BT208*Inflator!E15</f>
    </nc>
  </rcc>
  <rcc rId="40576" sId="5">
    <oc r="BX209">
      <f>'FY 2013 by Agency'!BT206*Inflator!E15</f>
    </oc>
    <nc r="BX209">
      <f>'FY 2013 by Agency'!BT209*Inflator!E15</f>
    </nc>
  </rcc>
  <rcc rId="40577" sId="5">
    <oc r="BX210">
      <f>'FY 2013 by Agency'!BT207*Inflator!E15</f>
    </oc>
    <nc r="BX210">
      <f>'FY 2013 by Agency'!BT210*Inflator!E15</f>
    </nc>
  </rcc>
  <rcc rId="40578" sId="5">
    <oc r="BX211">
      <f>'FY 2013 by Agency'!BT208*Inflator!E15</f>
    </oc>
    <nc r="BX211">
      <f>'FY 2013 by Agency'!BT211*Inflator!E15</f>
    </nc>
  </rcc>
  <rcc rId="40579" sId="5">
    <oc r="BX212">
      <f>'FY 2013 by Agency'!BT209*Inflator!E15</f>
    </oc>
    <nc r="BX212">
      <f>'FY 2013 by Agency'!BT212*Inflator!E15</f>
    </nc>
  </rcc>
  <rcc rId="40580" sId="5">
    <oc r="BX213">
      <f>'FY 2013 by Agency'!BT210*Inflator!E15</f>
    </oc>
    <nc r="BX213">
      <f>'FY 2013 by Agency'!BT213*Inflator!E15</f>
    </nc>
  </rcc>
  <rcc rId="40581" sId="5">
    <oc r="BX214">
      <f>'FY 2013 by Agency'!BT211*Inflator!E15</f>
    </oc>
    <nc r="BX214">
      <f>'FY 2013 by Agency'!BT214*Inflator!E15</f>
    </nc>
  </rcc>
  <rcc rId="40582" sId="5">
    <oc r="BX215">
      <f>'FY 2013 by Agency'!BT212*Inflator!E15</f>
    </oc>
    <nc r="BX215">
      <f>'FY 2013 by Agency'!BT215*Inflator!E15</f>
    </nc>
  </rcc>
  <rcc rId="40583" sId="5">
    <oc r="BX216">
      <f>'FY 2013 by Agency'!BT213*Inflator!E15</f>
    </oc>
    <nc r="BX216">
      <f>'FY 2013 by Agency'!BT216*Inflator!E15</f>
    </nc>
  </rcc>
  <rcc rId="40584" sId="5">
    <oc r="BX217">
      <f>'FY 2013 by Agency'!BT214*Inflator!E15</f>
    </oc>
    <nc r="BX217">
      <f>'FY 2013 by Agency'!BT217*Inflator!E15</f>
    </nc>
  </rcc>
  <rcc rId="40585" sId="5">
    <oc r="BX218">
      <f>'FY 2013 by Agency'!BT215*Inflator!E15</f>
    </oc>
    <nc r="BX218">
      <f>'FY 2013 by Agency'!BT218*Inflator!E15</f>
    </nc>
  </rcc>
  <rcc rId="40586" sId="5">
    <oc r="BX219">
      <f>'FY 2013 by Agency'!BT216*Inflator!E15</f>
    </oc>
    <nc r="BX219">
      <f>'FY 2013 by Agency'!BT219*Inflator!E15</f>
    </nc>
  </rcc>
  <rcc rId="40587" sId="5">
    <oc r="BX220">
      <f>'FY 2013 by Agency'!BT217*Inflator!E15</f>
    </oc>
    <nc r="BX220">
      <f>'FY 2013 by Agency'!BT220*Inflator!E15</f>
    </nc>
  </rcc>
  <rcv guid="{455630F5-40FC-47DB-8AD4-712C20B8FB91}" action="delete"/>
  <rdn rId="0" localSheetId="2" customView="1" name="Z_455630F5_40FC_47DB_8AD4_712C20B8FB91_.wvu.Cols" hidden="1" oldHidden="1">
    <formula>'FY2013 by Approp Title'!$AA:$AA</formula>
    <oldFormula>'FY2013 by Approp Title'!$AA:$AA</oldFormula>
  </rdn>
  <rdn rId="0" localSheetId="3" customView="1" name="Z_455630F5_40FC_47DB_8AD4_712C20B8FB91_.wvu.Cols" hidden="1" oldHidden="1">
    <formula>'FY2013 By Approp Title-Adj'!$AA:$AA</formula>
    <oldFormula>'FY2013 By Approp Title-Adj'!$AA:$AA</oldFormula>
  </rdn>
  <rdn rId="0" localSheetId="4" customView="1" name="Z_455630F5_40FC_47DB_8AD4_712C20B8FB91_.wvu.Rows" hidden="1" oldHidden="1">
    <formula>'FY 2013 by Agency'!$1:$3,'FY 2013 by Agency'!$226:$240</formula>
    <oldFormula>'FY 2013 by Agency'!$1:$3,'FY 2013 by Agency'!$226:$240</oldFormula>
  </rdn>
  <rdn rId="0" localSheetId="4" customView="1" name="Z_455630F5_40FC_47DB_8AD4_712C20B8FB91_.wvu.Cols" hidden="1" oldHidden="1">
    <formula>'FY 2013 by Agency'!$D:$E,'FY 2013 by Agency'!$G:$H,'FY 2013 by Agency'!$J:$K,'FY 2013 by Agency'!$M:$N,'FY 2013 by Agency'!$P:$Q,'FY 2013 by Agency'!$S:$T,'FY 2013 by Agency'!$V:$W,'FY 2013 by Agency'!$Y:$Z,'FY 2013 by Agency'!$AB:$AE,'FY 2013 by Agency'!$AG:$AO,'FY 2013 by Agency'!$AV:$AW,'FY 2013 by Agency'!$AY:$AZ,'FY 2013 by Agency'!$BF:$BG</formula>
    <oldFormula>'FY 2013 by Agency'!$D:$E,'FY 2013 by Agency'!$G:$H,'FY 2013 by Agency'!$J:$K,'FY 2013 by Agency'!$M:$N,'FY 2013 by Agency'!$P:$Q,'FY 2013 by Agency'!$S:$T,'FY 2013 by Agency'!$V:$W,'FY 2013 by Agency'!$Y:$Z,'FY 2013 by Agency'!$AB:$AE,'FY 2013 by Agency'!$AG:$AO,'FY 2013 by Agency'!$AV:$AW,'FY 2013 by Agency'!$AY:$AZ,'FY 2013 by Agency'!$BF:$BG</oldFormula>
  </rdn>
  <rdn rId="0" localSheetId="5" customView="1" name="Z_455630F5_40FC_47DB_8AD4_712C20B8FB91_.wvu.Rows" hidden="1" oldHidden="1">
    <formula>'FY 2013 by Agency-Adj'!$1:$3,'FY 2013 by Agency-Adj'!$14:$14,'FY 2013 by Agency-Adj'!$19:$19,'FY 2013 by Agency-Adj'!$156:$156,'FY 2013 by Agency-Adj'!$163:$163,'FY 2013 by Agency-Adj'!$227:$241</formula>
    <oldFormula>'FY 2013 by Agency-Adj'!$1:$3,'FY 2013 by Agency-Adj'!$14:$14,'FY 2013 by Agency-Adj'!$19:$19,'FY 2013 by Agency-Adj'!$156:$156,'FY 2013 by Agency-Adj'!$163:$163,'FY 2013 by Agency-Adj'!$227:$241</oldFormula>
  </rdn>
  <rdn rId="0" localSheetId="5" customView="1" name="Z_455630F5_40FC_47DB_8AD4_712C20B8FB91_.wvu.Cols" hidden="1" oldHidden="1">
    <formula>'FY 2013 by Agency-Adj'!$AD:$AE,'FY 2013 by Agency-Adj'!$AI:$BK,'FY 2013 by Agency-Adj'!$BO:$BT</formula>
    <oldFormula>'FY 2013 by Agency-Adj'!$AD:$AE,'FY 2013 by Agency-Adj'!$AI:$BK,'FY 2013 by Agency-Adj'!$BO:$BT</oldFormula>
  </rdn>
  <rdn rId="0" localSheetId="8" customView="1" name="Z_455630F5_40FC_47DB_8AD4_712C20B8FB91_.wvu.Rows" hidden="1" oldHidden="1">
    <formula>'Sheet 4'!$1:$6</formula>
    <oldFormula>'Sheet 4'!$1:$6</oldFormula>
  </rdn>
  <rcv guid="{455630F5-40FC-47DB-8AD4-712C20B8FB91}" action="add"/>
</revisions>
</file>

<file path=xl/revisions/revisionLog12212.xml><?xml version="1.0" encoding="utf-8"?>
<revisions xmlns="http://schemas.openxmlformats.org/spreadsheetml/2006/main" xmlns:r="http://schemas.openxmlformats.org/officeDocument/2006/relationships">
  <rcc rId="41279" sId="4">
    <oc r="BA51">
      <f>2361.10689+8078.21484</f>
    </oc>
    <nc r="BA51">
      <f>2361.10689+8078.21484+8083.25177</f>
    </nc>
  </rcc>
  <rcc rId="41280" sId="4">
    <oc r="BB51">
      <f>2157.6385+5500.39728</f>
    </oc>
    <nc r="BB51">
      <f>2157.6385+5500.39728+7998.26435</f>
    </nc>
  </rcc>
  <rcv guid="{455630F5-40FC-47DB-8AD4-712C20B8FB91}" action="delete"/>
  <rdn rId="0" localSheetId="2" customView="1" name="Z_455630F5_40FC_47DB_8AD4_712C20B8FB91_.wvu.Cols" hidden="1" oldHidden="1">
    <formula>'FY2013 by Approp Title'!$AA:$AA</formula>
    <oldFormula>'FY2013 by Approp Title'!$AA:$AA</oldFormula>
  </rdn>
  <rdn rId="0" localSheetId="3" customView="1" name="Z_455630F5_40FC_47DB_8AD4_712C20B8FB91_.wvu.Cols" hidden="1" oldHidden="1">
    <formula>'FY2013 By Approp Title-Adj'!$AA:$AA</formula>
    <oldFormula>'FY2013 By Approp Title-Adj'!$AA:$AA</oldFormula>
  </rdn>
  <rdn rId="0" localSheetId="4" customView="1" name="Z_455630F5_40FC_47DB_8AD4_712C20B8FB91_.wvu.Rows" hidden="1" oldHidden="1">
    <formula>'FY 2013 by Agency'!$1:$3,'FY 2013 by Agency'!$226:$240</formula>
    <oldFormula>'FY 2013 by Agency'!$1:$3,'FY 2013 by Agency'!$226:$240</oldFormula>
  </rdn>
  <rdn rId="0" localSheetId="4" customView="1" name="Z_455630F5_40FC_47DB_8AD4_712C20B8FB91_.wvu.Cols" hidden="1" oldHidden="1">
    <formula>'FY 2013 by Agency'!$D:$E,'FY 2013 by Agency'!$G:$H,'FY 2013 by Agency'!$J:$K,'FY 2013 by Agency'!$M:$N,'FY 2013 by Agency'!$P:$Q,'FY 2013 by Agency'!$S:$T,'FY 2013 by Agency'!$V:$W,'FY 2013 by Agency'!$Y:$Z,'FY 2013 by Agency'!$AB:$AE,'FY 2013 by Agency'!$AG:$AO,'FY 2013 by Agency'!$AV:$AW,'FY 2013 by Agency'!$AY:$AZ,'FY 2013 by Agency'!$BF:$BG</formula>
    <oldFormula>'FY 2013 by Agency'!$D:$E,'FY 2013 by Agency'!$G:$H,'FY 2013 by Agency'!$J:$K,'FY 2013 by Agency'!$M:$N,'FY 2013 by Agency'!$P:$Q,'FY 2013 by Agency'!$S:$T,'FY 2013 by Agency'!$V:$W,'FY 2013 by Agency'!$Y:$Z,'FY 2013 by Agency'!$AB:$AE,'FY 2013 by Agency'!$AG:$AO,'FY 2013 by Agency'!$AV:$AW,'FY 2013 by Agency'!$AY:$AZ,'FY 2013 by Agency'!$BF:$BG</oldFormula>
  </rdn>
  <rdn rId="0" localSheetId="5" customView="1" name="Z_455630F5_40FC_47DB_8AD4_712C20B8FB91_.wvu.Rows" hidden="1" oldHidden="1">
    <formula>'FY 2013 by Agency-Adj'!$1:$3,'FY 2013 by Agency-Adj'!$14:$14,'FY 2013 by Agency-Adj'!$19:$19,'FY 2013 by Agency-Adj'!$156:$156,'FY 2013 by Agency-Adj'!$163:$163,'FY 2013 by Agency-Adj'!$227:$241</formula>
    <oldFormula>'FY 2013 by Agency-Adj'!$1:$3,'FY 2013 by Agency-Adj'!$14:$14,'FY 2013 by Agency-Adj'!$19:$19,'FY 2013 by Agency-Adj'!$156:$156,'FY 2013 by Agency-Adj'!$163:$163,'FY 2013 by Agency-Adj'!$227:$241</oldFormula>
  </rdn>
  <rdn rId="0" localSheetId="5" customView="1" name="Z_455630F5_40FC_47DB_8AD4_712C20B8FB91_.wvu.Cols" hidden="1" oldHidden="1">
    <formula>'FY 2013 by Agency-Adj'!$AD:$AE,'FY 2013 by Agency-Adj'!$AI:$BK,'FY 2013 by Agency-Adj'!$BO:$BT</formula>
    <oldFormula>'FY 2013 by Agency-Adj'!$AD:$AE,'FY 2013 by Agency-Adj'!$AI:$BK,'FY 2013 by Agency-Adj'!$BO:$BT</oldFormula>
  </rdn>
  <rdn rId="0" localSheetId="8" customView="1" name="Z_455630F5_40FC_47DB_8AD4_712C20B8FB91_.wvu.Rows" hidden="1" oldHidden="1">
    <formula>'Sheet 4'!$1:$6</formula>
    <oldFormula>'Sheet 4'!$1:$6</oldFormula>
  </rdn>
  <rcv guid="{455630F5-40FC-47DB-8AD4-712C20B8FB91}" action="add"/>
</revisions>
</file>

<file path=xl/revisions/revisionLog123.xml><?xml version="1.0" encoding="utf-8"?>
<revisions xmlns="http://schemas.openxmlformats.org/spreadsheetml/2006/main" xmlns:r="http://schemas.openxmlformats.org/officeDocument/2006/relationships">
  <rcv guid="{567C3053-2D8E-4705-8DC7-18896C5303CA}" action="delete"/>
  <rdn rId="0" localSheetId="2" customView="1" name="Z_567C3053_2D8E_4705_8DC7_18896C5303CA_.wvu.Cols" hidden="1" oldHidden="1">
    <formula>'FY2013 by Approp Title'!$AA:$AA</formula>
    <oldFormula>'FY2013 by Approp Title'!$AA:$AA</oldFormula>
  </rdn>
  <rdn rId="0" localSheetId="3" customView="1" name="Z_567C3053_2D8E_4705_8DC7_18896C5303CA_.wvu.Cols" hidden="1" oldHidden="1">
    <formula>'FY2013 By Approp Title-Adj'!$AA:$AA</formula>
    <oldFormula>'FY2013 By Approp Title-Adj'!$AA:$AA</oldFormula>
  </rdn>
  <rdn rId="0" localSheetId="4" customView="1" name="Z_567C3053_2D8E_4705_8DC7_18896C5303CA_.wvu.Rows" hidden="1" oldHidden="1">
    <formula>'FY 2013 by Agency'!$1:$3,'FY 2013 by Agency'!$227:$241</formula>
    <oldFormula>'FY 2013 by Agency'!$1:$3,'FY 2013 by Agency'!$227:$241</oldFormula>
  </rdn>
  <rdn rId="0" localSheetId="5" customView="1" name="Z_567C3053_2D8E_4705_8DC7_18896C5303CA_.wvu.Rows" hidden="1" oldHidden="1">
    <formula>'FY 2013 by Agency-Adj'!$1:$3,'FY 2013 by Agency-Adj'!$228:$242</formula>
    <oldFormula>'FY 2013 by Agency-Adj'!$1:$3,'FY 2013 by Agency-Adj'!$228:$242</oldFormula>
  </rdn>
  <rdn rId="0" localSheetId="5" customView="1" name="Z_567C3053_2D8E_4705_8DC7_18896C5303CA_.wvu.Cols" hidden="1" oldHidden="1">
    <formula>'FY 2013 by Agency-Adj'!$V:$AB,'FY 2013 by Agency-Adj'!$AJ:$AM,'FY 2013 by Agency-Adj'!$AP:$AS,'FY 2013 by Agency-Adj'!$BP:$BQ,'FY 2013 by Agency-Adj'!$BS:$BZ</formula>
    <oldFormula>'FY 2013 by Agency-Adj'!$V:$AB,'FY 2013 by Agency-Adj'!$AJ:$AM,'FY 2013 by Agency-Adj'!$AP:$AS,'FY 2013 by Agency-Adj'!$BS:$BZ</oldFormula>
  </rdn>
  <rdn rId="0" localSheetId="8" customView="1" name="Z_567C3053_2D8E_4705_8DC7_18896C5303CA_.wvu.Rows" hidden="1" oldHidden="1">
    <formula>'Sheet 4'!$1:$6</formula>
    <oldFormula>'Sheet 4'!$1:$6</oldFormula>
  </rdn>
  <rcv guid="{567C3053-2D8E-4705-8DC7-18896C5303CA}" action="add"/>
</revisions>
</file>

<file path=xl/revisions/revisionLog1231.xml><?xml version="1.0" encoding="utf-8"?>
<revisions xmlns="http://schemas.openxmlformats.org/spreadsheetml/2006/main" xmlns:r="http://schemas.openxmlformats.org/officeDocument/2006/relationships">
  <rcv guid="{78CA186D-B240-44D5-8A24-D241DE0B0FD9}" action="delete"/>
  <rdn rId="0" localSheetId="2" customView="1" name="Z_78CA186D_B240_44D5_8A24_D241DE0B0FD9_.wvu.Cols" hidden="1" oldHidden="1">
    <formula>'FY2013 by Approp Title'!$AA:$AA</formula>
    <oldFormula>'FY2013 by Approp Title'!$AA:$AA</oldFormula>
  </rdn>
  <rdn rId="0" localSheetId="3" customView="1" name="Z_78CA186D_B240_44D5_8A24_D241DE0B0FD9_.wvu.Cols" hidden="1" oldHidden="1">
    <formula>'FY2013 By Approp Title-Adj'!$AA:$AA</formula>
    <oldFormula>'FY2013 By Approp Title-Adj'!$AA:$AA</oldFormula>
  </rdn>
  <rdn rId="0" localSheetId="4" customView="1" name="Z_78CA186D_B240_44D5_8A24_D241DE0B0FD9_.wvu.Rows" hidden="1" oldHidden="1">
    <formula>'FY 2013 by Agency'!$1:$3,'FY 2013 by Agency'!$227:$241</formula>
    <oldFormula>'FY 2013 by Agency'!$1:$3,'FY 2013 by Agency'!$227:$241</oldFormula>
  </rdn>
  <rdn rId="0" localSheetId="4" customView="1" name="Z_78CA186D_B240_44D5_8A24_D241DE0B0FD9_.wvu.Cols" hidden="1" oldHidden="1">
    <formula>'FY 2013 by Agency'!$D:$E,'FY 2013 by Agency'!$G:$H,'FY 2013 by Agency'!$J:$K,'FY 2013 by Agency'!$M:$N,'FY 2013 by Agency'!$P:$Q,'FY 2013 by Agency'!$S:$T,'FY 2013 by Agency'!$V:$W,'FY 2013 by Agency'!$Y:$Z,'FY 2013 by Agency'!$AB:$AE,'FY 2013 by Agency'!$AV:$AW,'FY 2013 by Agency'!$AY:$AZ,'FY 2013 by Agency'!$BF:$BG,'FY 2013 by Agency'!$BM:$BN</formula>
    <oldFormula>'FY 2013 by Agency'!$D:$E,'FY 2013 by Agency'!$G:$H,'FY 2013 by Agency'!$J:$K,'FY 2013 by Agency'!$M:$N,'FY 2013 by Agency'!$P:$Q,'FY 2013 by Agency'!$S:$T,'FY 2013 by Agency'!$V:$W,'FY 2013 by Agency'!$Y:$Z,'FY 2013 by Agency'!$AB:$AE,'FY 2013 by Agency'!$AV:$AW,'FY 2013 by Agency'!$AY:$AZ,'FY 2013 by Agency'!$BF:$BG,'FY 2013 by Agency'!$BM:$BN</oldFormula>
  </rdn>
  <rdn rId="0" localSheetId="5" customView="1" name="Z_78CA186D_B240_44D5_8A24_D241DE0B0FD9_.wvu.Rows" hidden="1" oldHidden="1">
    <formula>'FY 2013 by Agency-Adj'!$1:$3,'FY 2013 by Agency-Adj'!$14:$14,'FY 2013 by Agency-Adj'!$19:$19,'FY 2013 by Agency-Adj'!$157:$157,'FY 2013 by Agency-Adj'!$164:$164,'FY 2013 by Agency-Adj'!$228:$242</formula>
    <oldFormula>'FY 2013 by Agency-Adj'!$1:$3,'FY 2013 by Agency-Adj'!$14:$14,'FY 2013 by Agency-Adj'!$19:$19,'FY 2013 by Agency-Adj'!$157:$157,'FY 2013 by Agency-Adj'!$164:$164,'FY 2013 by Agency-Adj'!$228:$242</oldFormula>
  </rdn>
  <rdn rId="0" localSheetId="5" customView="1" name="Z_78CA186D_B240_44D5_8A24_D241DE0B0FD9_.wvu.Cols" hidden="1" oldHidden="1">
    <formula>'FY 2013 by Agency-Adj'!$AD:$AE,'FY 2013 by Agency-Adj'!$AI:$BK,'FY 2013 by Agency-Adj'!$BO:$BT</formula>
    <oldFormula>'FY 2013 by Agency-Adj'!$AD:$AE,'FY 2013 by Agency-Adj'!$AI:$BK,'FY 2013 by Agency-Adj'!$BO:$BT</oldFormula>
  </rdn>
  <rdn rId="0" localSheetId="8" customView="1" name="Z_78CA186D_B240_44D5_8A24_D241DE0B0FD9_.wvu.Rows" hidden="1" oldHidden="1">
    <formula>'Sheet 4'!$1:$6</formula>
    <oldFormula>'Sheet 4'!$1:$6</oldFormula>
  </rdn>
  <rcv guid="{78CA186D-B240-44D5-8A24-D241DE0B0FD9}" action="add"/>
</revisions>
</file>

<file path=xl/revisions/revisionLog124.xml><?xml version="1.0" encoding="utf-8"?>
<revisions xmlns="http://schemas.openxmlformats.org/spreadsheetml/2006/main" xmlns:r="http://schemas.openxmlformats.org/officeDocument/2006/relationships">
  <rcv guid="{567C3053-2D8E-4705-8DC7-18896C5303CA}" action="delete"/>
  <rdn rId="0" localSheetId="2" customView="1" name="Z_567C3053_2D8E_4705_8DC7_18896C5303CA_.wvu.Cols" hidden="1" oldHidden="1">
    <formula>'FY2013 by Approp Title'!$AA:$AA</formula>
    <oldFormula>'FY2013 by Approp Title'!$AA:$AA</oldFormula>
  </rdn>
  <rdn rId="0" localSheetId="3" customView="1" name="Z_567C3053_2D8E_4705_8DC7_18896C5303CA_.wvu.Cols" hidden="1" oldHidden="1">
    <formula>'FY2013 By Approp Title-Adj'!$AA:$AA</formula>
    <oldFormula>'FY2013 By Approp Title-Adj'!$AA:$AA</oldFormula>
  </rdn>
  <rdn rId="0" localSheetId="4" customView="1" name="Z_567C3053_2D8E_4705_8DC7_18896C5303CA_.wvu.Rows" hidden="1" oldHidden="1">
    <formula>'FY 2013 by Agency'!$1:$3,'FY 2013 by Agency'!$227:$241</formula>
    <oldFormula>'FY 2013 by Agency'!$1:$3,'FY 2013 by Agency'!$227:$241</oldFormula>
  </rdn>
  <rdn rId="0" localSheetId="4" customView="1" name="Z_567C3053_2D8E_4705_8DC7_18896C5303CA_.wvu.Cols" hidden="1" oldHidden="1">
    <formula>'FY 2013 by Agency'!$BC:$BD,'FY 2013 by Agency'!$BF:$BM,'FY 2013 by Agency'!$BP:$BP</formula>
    <oldFormula>'FY 2013 by Agency'!$BC:$BD,'FY 2013 by Agency'!$BF:$BM,'FY 2013 by Agency'!$BP:$BP</oldFormula>
  </rdn>
  <rdn rId="0" localSheetId="5" customView="1" name="Z_567C3053_2D8E_4705_8DC7_18896C5303CA_.wvu.Rows" hidden="1" oldHidden="1">
    <formula>'FY 2013 by Agency-Adj'!$1:$3,'FY 2013 by Agency-Adj'!$228:$242</formula>
    <oldFormula>'FY 2013 by Agency-Adj'!$1:$3,'FY 2013 by Agency-Adj'!$228:$242</oldFormula>
  </rdn>
  <rdn rId="0" localSheetId="5" customView="1" name="Z_567C3053_2D8E_4705_8DC7_18896C5303CA_.wvu.Cols" hidden="1" oldHidden="1">
    <formula>'FY 2013 by Agency-Adj'!$AJ:$AM,'FY 2013 by Agency-Adj'!$AP:$AS,'FY 2013 by Agency-Adj'!$BX:$BX</formula>
    <oldFormula>'FY 2013 by Agency-Adj'!$AJ:$AM,'FY 2013 by Agency-Adj'!$AP:$AS,'FY 2013 by Agency-Adj'!$BX:$BX</oldFormula>
  </rdn>
  <rdn rId="0" localSheetId="8" customView="1" name="Z_567C3053_2D8E_4705_8DC7_18896C5303CA_.wvu.Rows" hidden="1" oldHidden="1">
    <formula>'Sheet 4'!$1:$6</formula>
    <oldFormula>'Sheet 4'!$1:$6</oldFormula>
  </rdn>
  <rcv guid="{567C3053-2D8E-4705-8DC7-18896C5303CA}" action="add"/>
</revisions>
</file>

<file path=xl/revisions/revisionLog13.xml><?xml version="1.0" encoding="utf-8"?>
<revisions xmlns="http://schemas.openxmlformats.org/spreadsheetml/2006/main" xmlns:r="http://schemas.openxmlformats.org/officeDocument/2006/relationships">
  <rcv guid="{567C3053-2D8E-4705-8DC7-18896C5303CA}" action="delete"/>
  <rdn rId="0" localSheetId="2" customView="1" name="Z_567C3053_2D8E_4705_8DC7_18896C5303CA_.wvu.Cols" hidden="1" oldHidden="1">
    <formula>'FY2013 by Approp Title'!$AA:$AA</formula>
    <oldFormula>'FY2013 by Approp Title'!$AA:$AA</oldFormula>
  </rdn>
  <rdn rId="0" localSheetId="3" customView="1" name="Z_567C3053_2D8E_4705_8DC7_18896C5303CA_.wvu.Cols" hidden="1" oldHidden="1">
    <formula>'FY2013 By Approp Title-Adj'!$AA:$AA</formula>
    <oldFormula>'FY2013 By Approp Title-Adj'!$AA:$AA</oldFormula>
  </rdn>
  <rdn rId="0" localSheetId="4" customView="1" name="Z_567C3053_2D8E_4705_8DC7_18896C5303CA_.wvu.Rows" hidden="1" oldHidden="1">
    <formula>'FY 2013 by Agency'!$1:$3,'FY 2013 by Agency'!$226:$240</formula>
    <oldFormula>'FY 2013 by Agency'!$1:$3,'FY 2013 by Agency'!$226:$240</oldFormula>
  </rdn>
  <rdn rId="0" localSheetId="5" customView="1" name="Z_567C3053_2D8E_4705_8DC7_18896C5303CA_.wvu.Rows" hidden="1" oldHidden="1">
    <formula>'FY 2013 by Agency-Adj'!$1:$3,'FY 2013 by Agency-Adj'!$227:$241</formula>
    <oldFormula>'FY 2013 by Agency-Adj'!$1:$3,'FY 2013 by Agency-Adj'!$227:$241</oldFormula>
  </rdn>
  <rdn rId="0" localSheetId="5" customView="1" name="Z_567C3053_2D8E_4705_8DC7_18896C5303CA_.wvu.Cols" hidden="1" oldHidden="1">
    <formula>'FY 2013 by Agency-Adj'!$V:$AB,'FY 2013 by Agency-Adj'!$AJ:$AM,'FY 2013 by Agency-Adj'!$AP:$AS</formula>
    <oldFormula>'FY 2013 by Agency-Adj'!$V:$AB,'FY 2013 by Agency-Adj'!$AJ:$AM,'FY 2013 by Agency-Adj'!$AP:$AS</oldFormula>
  </rdn>
  <rdn rId="0" localSheetId="8" customView="1" name="Z_567C3053_2D8E_4705_8DC7_18896C5303CA_.wvu.Rows" hidden="1" oldHidden="1">
    <formula>'Sheet 4'!$1:$6</formula>
    <oldFormula>'Sheet 4'!$1:$6</oldFormula>
  </rdn>
  <rcv guid="{567C3053-2D8E-4705-8DC7-18896C5303CA}" action="add"/>
</revisions>
</file>

<file path=xl/revisions/revisionLog131.xml><?xml version="1.0" encoding="utf-8"?>
<revisions xmlns="http://schemas.openxmlformats.org/spreadsheetml/2006/main" xmlns:r="http://schemas.openxmlformats.org/officeDocument/2006/relationships">
  <rcc rId="41434" sId="4">
    <nc r="BS52">
      <v>0</v>
    </nc>
  </rcc>
  <rfmt sheetId="4" sqref="BS51:BS74">
    <dxf>
      <numFmt numFmtId="165" formatCode="&quot;$&quot;#,##0"/>
    </dxf>
  </rfmt>
  <rcc rId="41435" sId="4" numFmtId="11">
    <nc r="BS55">
      <v>1</v>
    </nc>
  </rcc>
  <rcc rId="41436" sId="4" numFmtId="11">
    <nc r="BS63">
      <v>0</v>
    </nc>
  </rcc>
  <rcc rId="41437" sId="4" numFmtId="11">
    <nc r="BS58">
      <v>23</v>
    </nc>
  </rcc>
  <rcc rId="41438" sId="4" numFmtId="11">
    <nc r="BS62">
      <v>0</v>
    </nc>
  </rcc>
  <rcc rId="41439" sId="4" numFmtId="11">
    <nc r="BS61">
      <v>249</v>
    </nc>
  </rcc>
  <rcc rId="41440" sId="4" numFmtId="11">
    <nc r="BS69">
      <v>0</v>
    </nc>
  </rcc>
  <rcc rId="41441" sId="4" numFmtId="11">
    <nc r="BS60">
      <v>0</v>
    </nc>
  </rcc>
  <rcc rId="41442" sId="4" numFmtId="11">
    <nc r="BS56">
      <v>107</v>
    </nc>
  </rcc>
  <rcc rId="41443" sId="4" numFmtId="11">
    <nc r="BS67">
      <v>0</v>
    </nc>
  </rcc>
  <rcc rId="41444" sId="4" numFmtId="11">
    <nc r="BS66">
      <v>0</v>
    </nc>
  </rcc>
  <rcc rId="41445" sId="4" numFmtId="11">
    <nc r="BS51">
      <v>0</v>
    </nc>
  </rcc>
  <rcc rId="41446" sId="4" numFmtId="11">
    <nc r="BS53">
      <v>1</v>
    </nc>
  </rcc>
  <rcc rId="41447" sId="4" numFmtId="11">
    <nc r="BS64">
      <v>155</v>
    </nc>
  </rcc>
  <rcc rId="41448" sId="4" numFmtId="11">
    <nc r="BS68">
      <v>1</v>
    </nc>
  </rcc>
  <rcc rId="41449" sId="4" numFmtId="11">
    <nc r="BS54">
      <v>1</v>
    </nc>
  </rcc>
  <rcc rId="41450" sId="4">
    <nc r="BO74">
      <f>SUM(BO51:BO73)</f>
    </nc>
  </rcc>
  <rcc rId="41451" sId="4">
    <nc r="BP74">
      <f>SUM(BP51:BP73)</f>
    </nc>
  </rcc>
  <rcc rId="41452" sId="4">
    <nc r="BS74">
      <f>SUM(BS51:BS73)</f>
    </nc>
  </rcc>
  <rfmt sheetId="4" sqref="BT51:BT74">
    <dxf>
      <numFmt numFmtId="165" formatCode="&quot;$&quot;#,##0"/>
    </dxf>
  </rfmt>
  <rcv guid="{9D4F0482-B164-4671-805A-E0D2D4DD4720}" action="delete"/>
  <rdn rId="0" localSheetId="2" customView="1" name="Z_9D4F0482_B164_4671_805A_E0D2D4DD4720_.wvu.Cols" hidden="1" oldHidden="1">
    <formula>'FY2013 by Approp Title'!$AA:$AA</formula>
    <oldFormula>'FY2013 by Approp Title'!$AA:$AA</oldFormula>
  </rdn>
  <rdn rId="0" localSheetId="3" customView="1" name="Z_9D4F0482_B164_4671_805A_E0D2D4DD4720_.wvu.Cols" hidden="1" oldHidden="1">
    <formula>'FY2013 By Approp Title-Adj'!$AA:$AA</formula>
    <oldFormula>'FY2013 By Approp Title-Adj'!$AA:$AA</oldFormula>
  </rdn>
  <rdn rId="0" localSheetId="4" customView="1" name="Z_9D4F0482_B164_4671_805A_E0D2D4DD4720_.wvu.Rows" hidden="1" oldHidden="1">
    <formula>'FY 2013 by Agency'!$1:$3,'FY 2013 by Agency'!$226:$240</formula>
    <oldFormula>'FY 2013 by Agency'!$1:$3,'FY 2013 by Agency'!$226:$240</oldFormula>
  </rdn>
  <rdn rId="0" localSheetId="4" customView="1" name="Z_9D4F0482_B164_4671_805A_E0D2D4DD4720_.wvu.Cols" hidden="1" oldHidden="1">
    <formula>'FY 2013 by Agency'!$AI:$AW</formula>
    <oldFormula>'FY 2013 by Agency'!$AI:$AW</oldFormula>
  </rdn>
  <rdn rId="0" localSheetId="5" customView="1" name="Z_9D4F0482_B164_4671_805A_E0D2D4DD4720_.wvu.Rows" hidden="1" oldHidden="1">
    <formula>'FY 2013 by Agency-Adj'!$1:$3,'FY 2013 by Agency-Adj'!$14:$14,'FY 2013 by Agency-Adj'!$19:$19,'FY 2013 by Agency-Adj'!$148:$148,'FY 2013 by Agency-Adj'!$156:$156,'FY 2013 by Agency-Adj'!$163:$163,'FY 2013 by Agency-Adj'!$227:$241</formula>
    <oldFormula>'FY 2013 by Agency-Adj'!$1:$3,'FY 2013 by Agency-Adj'!$14:$14,'FY 2013 by Agency-Adj'!$19:$19,'FY 2013 by Agency-Adj'!$148:$148,'FY 2013 by Agency-Adj'!$156:$156,'FY 2013 by Agency-Adj'!$163:$163,'FY 2013 by Agency-Adj'!$227:$241</oldFormula>
  </rdn>
  <rdn rId="0" localSheetId="5" customView="1" name="Z_9D4F0482_B164_4671_805A_E0D2D4DD4720_.wvu.Cols" hidden="1" oldHidden="1">
    <formula>'FY 2013 by Agency-Adj'!$AD:$AE,'FY 2013 by Agency-Adj'!$AI:$BJ</formula>
    <oldFormula>'FY 2013 by Agency-Adj'!$AD:$AE,'FY 2013 by Agency-Adj'!$AI:$BJ</oldFormula>
  </rdn>
  <rdn rId="0" localSheetId="8" customView="1" name="Z_9D4F0482_B164_4671_805A_E0D2D4DD4720_.wvu.Rows" hidden="1" oldHidden="1">
    <formula>'Sheet 4'!$1:$6</formula>
    <oldFormula>'Sheet 4'!$1:$6</oldFormula>
  </rdn>
  <rcv guid="{9D4F0482-B164-4671-805A-E0D2D4DD4720}" action="add"/>
</revisions>
</file>

<file path=xl/revisions/revisionLog1311.xml><?xml version="1.0" encoding="utf-8"?>
<revisions xmlns="http://schemas.openxmlformats.org/spreadsheetml/2006/main" xmlns:r="http://schemas.openxmlformats.org/officeDocument/2006/relationships">
  <rcc rId="40018" sId="5">
    <nc r="BX7">
      <f>'FY 2013 by Agency'!BT7*Inflator!E15</f>
    </nc>
  </rcc>
  <rfmt sheetId="5" sqref="BX33" start="0" length="0">
    <dxf/>
  </rfmt>
  <rfmt sheetId="5" sqref="BX34" start="0" length="0">
    <dxf/>
  </rfmt>
  <rfmt sheetId="5" sqref="BX35" start="0" length="0">
    <dxf/>
  </rfmt>
  <rfmt sheetId="5" sqref="BX36" start="0" length="0">
    <dxf/>
  </rfmt>
  <rfmt sheetId="5" sqref="BX37" start="0" length="0">
    <dxf/>
  </rfmt>
  <rfmt sheetId="5" sqref="BX38" start="0" length="0">
    <dxf/>
  </rfmt>
  <rfmt sheetId="5" sqref="BX39" start="0" length="0">
    <dxf>
      <border outline="0">
        <bottom/>
      </border>
    </dxf>
  </rfmt>
  <rfmt sheetId="5" sqref="BX40" start="0" length="0">
    <dxf>
      <font>
        <b val="0"/>
      </font>
    </dxf>
  </rfmt>
  <rcc rId="40019" sId="5">
    <nc r="BX8">
      <f>'FY 2013 by Agency'!BT8*Inflator!E15</f>
    </nc>
  </rcc>
  <rcc rId="40020" sId="5">
    <nc r="BX9">
      <f>'FY 2013 by Agency'!BT9*Inflator!E15</f>
    </nc>
  </rcc>
  <rcc rId="40021" sId="5">
    <nc r="BX10">
      <f>'FY 2013 by Agency'!BT10*Inflator!E15</f>
    </nc>
  </rcc>
  <rcc rId="40022" sId="5">
    <nc r="BX14">
      <f>'FY 2013 by Agency'!BT14*Inflator!E22</f>
    </nc>
  </rcc>
  <rcc rId="40023" sId="5">
    <nc r="BX19">
      <f>'FY 2013 by Agency'!BT19*Inflator!E24</f>
    </nc>
  </rcc>
  <rcc rId="40024" sId="5">
    <nc r="BX11">
      <f>'FY 2013 by Agency'!BT11*Inflator!E15</f>
    </nc>
  </rcc>
  <rcc rId="40025" sId="5">
    <nc r="BX12">
      <f>'FY 2013 by Agency'!BT12*Inflator!E15</f>
    </nc>
  </rcc>
  <rcc rId="40026" sId="5">
    <nc r="BX13">
      <f>'FY 2013 by Agency'!BT13*Inflator!E15</f>
    </nc>
  </rcc>
  <rcc rId="40027" sId="5">
    <nc r="BX15">
      <f>'FY 2013 by Agency'!BT15*Inflator!E15</f>
    </nc>
  </rcc>
  <rcc rId="40028" sId="5">
    <nc r="BX16">
      <f>'FY 2013 by Agency'!BT16*Inflator!E15</f>
    </nc>
  </rcc>
  <rcc rId="40029" sId="5">
    <nc r="BX17">
      <f>'FY 2013 by Agency'!BT17*Inflator!E15</f>
    </nc>
  </rcc>
  <rcc rId="40030" sId="5">
    <nc r="BX18">
      <f>'FY 2013 by Agency'!BT18*Inflator!E15</f>
    </nc>
  </rcc>
  <rcc rId="40031" sId="5">
    <nc r="BX20">
      <f>'FY 2013 by Agency'!BT20*Inflator!E15</f>
    </nc>
  </rcc>
  <rcc rId="40032" sId="5">
    <nc r="BX21">
      <f>'FY 2013 by Agency'!BT21*Inflator!E15</f>
    </nc>
  </rcc>
  <rcc rId="40033" sId="5">
    <nc r="BX22">
      <f>'FY 2013 by Agency'!BT22*Inflator!E15</f>
    </nc>
  </rcc>
  <rcc rId="40034" sId="5">
    <nc r="BX23">
      <f>'FY 2013 by Agency'!BT23*Inflator!E15</f>
    </nc>
  </rcc>
  <rcc rId="40035" sId="5">
    <nc r="BX24">
      <f>'FY 2013 by Agency'!BT24*Inflator!E15</f>
    </nc>
  </rcc>
  <rcc rId="40036" sId="5">
    <nc r="BX25">
      <f>'FY 2013 by Agency'!BT25*Inflator!E15</f>
    </nc>
  </rcc>
  <rcc rId="40037" sId="5">
    <nc r="BX26">
      <f>'FY 2013 by Agency'!BT26*Inflator!E15</f>
    </nc>
  </rcc>
  <rcc rId="40038" sId="5">
    <nc r="BX27">
      <f>'FY 2013 by Agency'!BT27*Inflator!E15</f>
    </nc>
  </rcc>
  <rcc rId="40039" sId="5">
    <nc r="BX28">
      <f>'FY 2013 by Agency'!BT28*Inflator!E15</f>
    </nc>
  </rcc>
  <rcc rId="40040" sId="5">
    <nc r="BX29">
      <f>'FY 2013 by Agency'!BT29*Inflator!E15</f>
    </nc>
  </rcc>
  <rcc rId="40041" sId="5">
    <nc r="BX30">
      <f>'FY 2013 by Agency'!BT30*Inflator!E15</f>
    </nc>
  </rcc>
  <rcc rId="40042" sId="5">
    <nc r="BX31">
      <f>'FY 2013 by Agency'!BT31*Inflator!E15</f>
    </nc>
  </rcc>
  <rcc rId="40043" sId="5">
    <nc r="BX32">
      <f>'FY 2013 by Agency'!BT32*Inflator!E15</f>
    </nc>
  </rcc>
  <rcc rId="40044" sId="5">
    <nc r="BX33">
      <f>'FY 2013 by Agency'!BT33*Inflator!E15</f>
    </nc>
  </rcc>
  <rcc rId="40045" sId="5">
    <nc r="BX34">
      <f>'FY 2013 by Agency'!BT34*Inflator!E15</f>
    </nc>
  </rcc>
  <rcc rId="40046" sId="5">
    <nc r="BX35">
      <f>'FY 2013 by Agency'!BT35*Inflator!E15</f>
    </nc>
  </rcc>
  <rcc rId="40047" sId="5">
    <nc r="BX36">
      <f>'FY 2013 by Agency'!BT36*Inflator!E15</f>
    </nc>
  </rcc>
  <rcc rId="40048" sId="5">
    <nc r="BX37">
      <f>'FY 2013 by Agency'!BT37*Inflator!E15</f>
    </nc>
  </rcc>
  <rcc rId="40049" sId="5">
    <nc r="BX38">
      <f>'FY 2013 by Agency'!BT38*Inflator!E15</f>
    </nc>
  </rcc>
  <rfmt sheetId="5" sqref="BX7:BX40">
    <dxf>
      <numFmt numFmtId="165" formatCode="&quot;$&quot;#,##0"/>
    </dxf>
  </rfmt>
  <rfmt sheetId="5" sqref="BX50" start="0" length="0">
    <dxf>
      <numFmt numFmtId="165" formatCode="&quot;$&quot;#,##0"/>
    </dxf>
  </rfmt>
  <rfmt sheetId="5" sqref="BX51" start="0" length="0">
    <dxf>
      <numFmt numFmtId="165" formatCode="&quot;$&quot;#,##0"/>
    </dxf>
  </rfmt>
  <rfmt sheetId="5" sqref="BX52" start="0" length="0">
    <dxf>
      <numFmt numFmtId="165" formatCode="&quot;$&quot;#,##0"/>
    </dxf>
  </rfmt>
  <rfmt sheetId="5" sqref="BX53" start="0" length="0">
    <dxf>
      <numFmt numFmtId="165" formatCode="&quot;$&quot;#,##0"/>
    </dxf>
  </rfmt>
  <rfmt sheetId="5" sqref="BX54" start="0" length="0">
    <dxf>
      <numFmt numFmtId="165" formatCode="&quot;$&quot;#,##0"/>
    </dxf>
  </rfmt>
  <rfmt sheetId="5" sqref="BX55" start="0" length="0">
    <dxf>
      <numFmt numFmtId="165" formatCode="&quot;$&quot;#,##0"/>
    </dxf>
  </rfmt>
  <rfmt sheetId="5" sqref="BX56" start="0" length="0">
    <dxf>
      <numFmt numFmtId="165" formatCode="&quot;$&quot;#,##0"/>
    </dxf>
  </rfmt>
  <rfmt sheetId="5" sqref="BX57" start="0" length="0">
    <dxf>
      <numFmt numFmtId="165" formatCode="&quot;$&quot;#,##0"/>
    </dxf>
  </rfmt>
  <rfmt sheetId="5" sqref="BX58" start="0" length="0">
    <dxf>
      <numFmt numFmtId="165" formatCode="&quot;$&quot;#,##0"/>
    </dxf>
  </rfmt>
  <rfmt sheetId="5" sqref="BX59" start="0" length="0">
    <dxf>
      <numFmt numFmtId="165" formatCode="&quot;$&quot;#,##0"/>
    </dxf>
  </rfmt>
  <rfmt sheetId="5" sqref="BX60" start="0" length="0">
    <dxf>
      <numFmt numFmtId="165" formatCode="&quot;$&quot;#,##0"/>
    </dxf>
  </rfmt>
  <rcc rId="40050" sId="5">
    <nc r="BX59">
      <f>'FY 2013 by Agency'!BT59*Inflator!E15</f>
    </nc>
  </rcc>
  <rcc rId="40051" sId="5">
    <nc r="BX60">
      <f>'FY 2013 by Agency'!BT60*Inflator!E15</f>
    </nc>
  </rcc>
  <rfmt sheetId="5" sqref="BX61" start="0" length="0">
    <dxf>
      <numFmt numFmtId="165" formatCode="&quot;$&quot;#,##0"/>
    </dxf>
  </rfmt>
  <rfmt sheetId="5" sqref="BX62" start="0" length="0">
    <dxf>
      <numFmt numFmtId="165" formatCode="&quot;$&quot;#,##0"/>
    </dxf>
  </rfmt>
  <rfmt sheetId="5" sqref="BX63" start="0" length="0">
    <dxf>
      <numFmt numFmtId="165" formatCode="&quot;$&quot;#,##0"/>
    </dxf>
  </rfmt>
  <rfmt sheetId="5" sqref="BX64" start="0" length="0">
    <dxf>
      <numFmt numFmtId="165" formatCode="&quot;$&quot;#,##0"/>
    </dxf>
  </rfmt>
  <rfmt sheetId="5" sqref="BX65" start="0" length="0">
    <dxf>
      <numFmt numFmtId="165" formatCode="&quot;$&quot;#,##0"/>
    </dxf>
  </rfmt>
  <rfmt sheetId="5" sqref="BX66" start="0" length="0">
    <dxf>
      <numFmt numFmtId="165" formatCode="&quot;$&quot;#,##0"/>
    </dxf>
  </rfmt>
  <rfmt sheetId="5" sqref="BX67" start="0" length="0">
    <dxf>
      <numFmt numFmtId="165" formatCode="&quot;$&quot;#,##0"/>
    </dxf>
  </rfmt>
  <rfmt sheetId="5" sqref="BX68" start="0" length="0">
    <dxf>
      <numFmt numFmtId="165" formatCode="&quot;$&quot;#,##0"/>
    </dxf>
  </rfmt>
  <rfmt sheetId="5" sqref="BX69" start="0" length="0">
    <dxf>
      <numFmt numFmtId="165" formatCode="&quot;$&quot;#,##0"/>
    </dxf>
  </rfmt>
  <rfmt sheetId="5" sqref="BX70" start="0" length="0">
    <dxf>
      <numFmt numFmtId="165" formatCode="&quot;$&quot;#,##0"/>
    </dxf>
  </rfmt>
  <rfmt sheetId="5" sqref="BX71" start="0" length="0">
    <dxf>
      <numFmt numFmtId="165" formatCode="&quot;$&quot;#,##0"/>
    </dxf>
  </rfmt>
  <rfmt sheetId="5" sqref="BX72" start="0" length="0">
    <dxf>
      <numFmt numFmtId="165" formatCode="&quot;$&quot;#,##0"/>
      <border outline="0">
        <bottom/>
      </border>
    </dxf>
  </rfmt>
  <rcc rId="40052" sId="5">
    <nc r="BX61">
      <f>'FY 2013 by Agency'!BT61*Inflator!E15</f>
    </nc>
  </rcc>
  <rcc rId="40053" sId="5">
    <nc r="BX62">
      <f>'FY 2013 by Agency'!BT62*Inflator!E15</f>
    </nc>
  </rcc>
  <rcc rId="40054" sId="5">
    <nc r="BX63">
      <f>'FY 2013 by Agency'!BT63*Inflator!E15</f>
    </nc>
  </rcc>
  <rcc rId="40055" sId="5">
    <nc r="BX64">
      <f>'FY 2013 by Agency'!BT64*Inflator!E15</f>
    </nc>
  </rcc>
  <rcc rId="40056" sId="5">
    <nc r="BX65">
      <f>'FY 2013 by Agency'!BT65*Inflator!E15</f>
    </nc>
  </rcc>
  <rcc rId="40057" sId="5">
    <nc r="BX66">
      <f>'FY 2013 by Agency'!BT66*Inflator!E15</f>
    </nc>
  </rcc>
  <rcc rId="40058" sId="5">
    <nc r="BX67">
      <f>'FY 2013 by Agency'!BT67*Inflator!E15</f>
    </nc>
  </rcc>
  <rcc rId="40059" sId="5">
    <nc r="BX68">
      <f>'FY 2013 by Agency'!BT68*Inflator!E15</f>
    </nc>
  </rcc>
  <rcc rId="40060" sId="5">
    <nc r="BX69">
      <f>'FY 2013 by Agency'!BT69*Inflator!E15</f>
    </nc>
  </rcc>
  <rcc rId="40061" sId="5">
    <nc r="BX70">
      <f>'FY 2013 by Agency'!BT70*Inflator!E15</f>
    </nc>
  </rcc>
  <rcc rId="40062" sId="5">
    <nc r="BX71">
      <f>'FY 2013 by Agency'!BT71*Inflator!E15</f>
    </nc>
  </rcc>
  <rcc rId="40063" sId="5">
    <nc r="BX72">
      <f>'FY 2013 by Agency'!BT72*Inflator!E15</f>
    </nc>
  </rcc>
  <rfmt sheetId="5" sqref="BX73" start="0" length="0">
    <dxf>
      <font>
        <b val="0"/>
      </font>
      <numFmt numFmtId="165" formatCode="&quot;$&quot;#,##0"/>
    </dxf>
  </rfmt>
  <rfmt sheetId="5" sqref="BX84" start="0" length="0">
    <dxf>
      <numFmt numFmtId="165" formatCode="&quot;$&quot;#,##0"/>
    </dxf>
  </rfmt>
  <rcc rId="40064" sId="5">
    <nc r="BX84">
      <f>'FY 2013 by Agency'!BT84*Inflator!E15</f>
    </nc>
  </rcc>
  <rfmt sheetId="5" sqref="BX85" start="0" length="0">
    <dxf>
      <numFmt numFmtId="165" formatCode="&quot;$&quot;#,##0"/>
    </dxf>
  </rfmt>
  <rfmt sheetId="5" sqref="BX86" start="0" length="0">
    <dxf>
      <numFmt numFmtId="165" formatCode="&quot;$&quot;#,##0"/>
    </dxf>
  </rfmt>
  <rfmt sheetId="5" sqref="BX87" start="0" length="0">
    <dxf>
      <numFmt numFmtId="165" formatCode="&quot;$&quot;#,##0"/>
    </dxf>
  </rfmt>
  <rfmt sheetId="5" sqref="BX88" start="0" length="0">
    <dxf>
      <numFmt numFmtId="165" formatCode="&quot;$&quot;#,##0"/>
    </dxf>
  </rfmt>
  <rfmt sheetId="5" sqref="BX89" start="0" length="0">
    <dxf>
      <numFmt numFmtId="165" formatCode="&quot;$&quot;#,##0"/>
    </dxf>
  </rfmt>
  <rfmt sheetId="5" sqref="BX90" start="0" length="0">
    <dxf>
      <numFmt numFmtId="165" formatCode="&quot;$&quot;#,##0"/>
    </dxf>
  </rfmt>
  <rfmt sheetId="5" sqref="BX91" start="0" length="0">
    <dxf>
      <numFmt numFmtId="165" formatCode="&quot;$&quot;#,##0"/>
    </dxf>
  </rfmt>
  <rfmt sheetId="5" sqref="BX92" start="0" length="0">
    <dxf>
      <numFmt numFmtId="165" formatCode="&quot;$&quot;#,##0"/>
    </dxf>
  </rfmt>
  <rfmt sheetId="5" sqref="BX93" start="0" length="0">
    <dxf>
      <numFmt numFmtId="165" formatCode="&quot;$&quot;#,##0"/>
    </dxf>
  </rfmt>
  <rfmt sheetId="5" sqref="BX94" start="0" length="0">
    <dxf>
      <numFmt numFmtId="165" formatCode="&quot;$&quot;#,##0"/>
    </dxf>
  </rfmt>
  <rfmt sheetId="5" sqref="BX95" start="0" length="0">
    <dxf>
      <numFmt numFmtId="165" formatCode="&quot;$&quot;#,##0"/>
    </dxf>
  </rfmt>
  <rfmt sheetId="5" sqref="BX96" start="0" length="0">
    <dxf>
      <numFmt numFmtId="165" formatCode="&quot;$&quot;#,##0"/>
    </dxf>
  </rfmt>
  <rfmt sheetId="5" sqref="BX97" start="0" length="0">
    <dxf>
      <numFmt numFmtId="165" formatCode="&quot;$&quot;#,##0"/>
    </dxf>
  </rfmt>
  <rfmt sheetId="5" sqref="BX98" start="0" length="0">
    <dxf>
      <numFmt numFmtId="165" formatCode="&quot;$&quot;#,##0"/>
    </dxf>
  </rfmt>
  <rfmt sheetId="5" sqref="BX99" start="0" length="0">
    <dxf>
      <numFmt numFmtId="165" formatCode="&quot;$&quot;#,##0"/>
    </dxf>
  </rfmt>
  <rfmt sheetId="5" sqref="BX100" start="0" length="0">
    <dxf>
      <numFmt numFmtId="165" formatCode="&quot;$&quot;#,##0"/>
    </dxf>
  </rfmt>
  <rfmt sheetId="5" sqref="BX101" start="0" length="0">
    <dxf>
      <numFmt numFmtId="165" formatCode="&quot;$&quot;#,##0"/>
    </dxf>
  </rfmt>
  <rfmt sheetId="5" sqref="BX102" start="0" length="0">
    <dxf>
      <numFmt numFmtId="165" formatCode="&quot;$&quot;#,##0"/>
    </dxf>
  </rfmt>
  <rfmt sheetId="5" sqref="BX103" start="0" length="0">
    <dxf>
      <numFmt numFmtId="165" formatCode="&quot;$&quot;#,##0"/>
    </dxf>
  </rfmt>
  <rfmt sheetId="5" sqref="BX104" start="0" length="0">
    <dxf>
      <numFmt numFmtId="165" formatCode="&quot;$&quot;#,##0"/>
    </dxf>
  </rfmt>
  <rfmt sheetId="5" sqref="BX105" start="0" length="0">
    <dxf>
      <numFmt numFmtId="165" formatCode="&quot;$&quot;#,##0"/>
    </dxf>
  </rfmt>
  <rfmt sheetId="5" sqref="BX106" start="0" length="0">
    <dxf>
      <numFmt numFmtId="165" formatCode="&quot;$&quot;#,##0"/>
      <border outline="0">
        <bottom/>
      </border>
    </dxf>
  </rfmt>
  <rfmt sheetId="5" sqref="BX107" start="0" length="0">
    <dxf>
      <font>
        <b val="0"/>
      </font>
      <numFmt numFmtId="165" formatCode="&quot;$&quot;#,##0"/>
    </dxf>
  </rfmt>
  <rcc rId="40065" sId="5">
    <nc r="BX85">
      <f>'FY 2013 by Agency'!BT85*Inflator!E15</f>
    </nc>
  </rcc>
  <rcc rId="40066" sId="5">
    <nc r="BX86">
      <f>'FY 2013 by Agency'!BT86*Inflator!E15</f>
    </nc>
  </rcc>
  <rcc rId="40067" sId="5">
    <nc r="BX87">
      <f>'FY 2013 by Agency'!BT87*Inflator!E15</f>
    </nc>
  </rcc>
  <rcc rId="40068" sId="5">
    <nc r="BX88">
      <f>'FY 2013 by Agency'!BT88*Inflator!E15</f>
    </nc>
  </rcc>
  <rcc rId="40069" sId="5">
    <nc r="BX89">
      <f>'FY 2013 by Agency'!BT89*Inflator!E15</f>
    </nc>
  </rcc>
  <rcc rId="40070" sId="5">
    <nc r="BX90">
      <f>'FY 2013 by Agency'!BT90*Inflator!E15</f>
    </nc>
  </rcc>
  <rcc rId="40071" sId="5">
    <nc r="BX91">
      <f>'FY 2013 by Agency'!BT91*Inflator!E15</f>
    </nc>
  </rcc>
  <rcc rId="40072" sId="5">
    <nc r="BX92">
      <f>'FY 2013 by Agency'!BT92*Inflator!E15</f>
    </nc>
  </rcc>
  <rcc rId="40073" sId="5">
    <nc r="BX93">
      <f>'FY 2013 by Agency'!BT93*Inflator!E15</f>
    </nc>
  </rcc>
  <rcc rId="40074" sId="5">
    <nc r="BX94">
      <f>'FY 2013 by Agency'!BT94*Inflator!E15</f>
    </nc>
  </rcc>
  <rcc rId="40075" sId="5">
    <nc r="BX95">
      <f>'FY 2013 by Agency'!BT95*Inflator!E15</f>
    </nc>
  </rcc>
  <rcc rId="40076" sId="5">
    <nc r="BX96">
      <f>'FY 2013 by Agency'!BT96*Inflator!E15</f>
    </nc>
  </rcc>
  <rcc rId="40077" sId="5">
    <nc r="BX97">
      <f>'FY 2013 by Agency'!BT97*Inflator!E15</f>
    </nc>
  </rcc>
  <rcc rId="40078" sId="5">
    <nc r="BX98">
      <f>'FY 2013 by Agency'!BT98*Inflator!E15</f>
    </nc>
  </rcc>
  <rcc rId="40079" sId="5">
    <nc r="BX99">
      <f>'FY 2013 by Agency'!BT99*Inflator!E15</f>
    </nc>
  </rcc>
  <rcc rId="40080" sId="5">
    <nc r="BX100">
      <f>'FY 2013 by Agency'!BT100*Inflator!E15</f>
    </nc>
  </rcc>
  <rcc rId="40081" sId="5">
    <nc r="BX101">
      <f>'FY 2013 by Agency'!BT101*Inflator!E15</f>
    </nc>
  </rcc>
  <rcc rId="40082" sId="5">
    <nc r="BX102">
      <f>'FY 2013 by Agency'!BT102*Inflator!E15</f>
    </nc>
  </rcc>
  <rcc rId="40083" sId="5">
    <nc r="BX103">
      <f>'FY 2013 by Agency'!BT103*Inflator!E15</f>
    </nc>
  </rcc>
  <rcc rId="40084" sId="5">
    <nc r="BX104">
      <f>'FY 2013 by Agency'!BT104*Inflator!E15</f>
    </nc>
  </rcc>
  <rcc rId="40085" sId="5">
    <nc r="BX105">
      <f>'FY 2013 by Agency'!BT105*Inflator!E15</f>
    </nc>
  </rcc>
  <rcc rId="40086" sId="5">
    <nc r="BX106">
      <f>'FY 2013 by Agency'!BT106*Inflator!E15</f>
    </nc>
  </rcc>
  <rfmt sheetId="5" sqref="BX118" start="0" length="0">
    <dxf>
      <numFmt numFmtId="165" formatCode="&quot;$&quot;#,##0"/>
    </dxf>
  </rfmt>
  <rcc rId="40087" sId="5">
    <nc r="BX118">
      <f>'FY 2013 by Agency'!BT118*Inflator!E15</f>
    </nc>
  </rcc>
  <rfmt sheetId="5" sqref="BX119" start="0" length="0">
    <dxf>
      <numFmt numFmtId="165" formatCode="&quot;$&quot;#,##0"/>
    </dxf>
  </rfmt>
  <rfmt sheetId="5" sqref="BX120" start="0" length="0">
    <dxf>
      <numFmt numFmtId="165" formatCode="&quot;$&quot;#,##0"/>
    </dxf>
  </rfmt>
  <rfmt sheetId="5" sqref="BX121" start="0" length="0">
    <dxf>
      <numFmt numFmtId="165" formatCode="&quot;$&quot;#,##0"/>
    </dxf>
  </rfmt>
  <rfmt sheetId="5" sqref="BX122" start="0" length="0">
    <dxf>
      <numFmt numFmtId="165" formatCode="&quot;$&quot;#,##0"/>
    </dxf>
  </rfmt>
  <rfmt sheetId="5" sqref="BX123" start="0" length="0">
    <dxf>
      <numFmt numFmtId="165" formatCode="&quot;$&quot;#,##0"/>
    </dxf>
  </rfmt>
  <rfmt sheetId="5" sqref="BX124" start="0" length="0">
    <dxf>
      <numFmt numFmtId="165" formatCode="&quot;$&quot;#,##0"/>
    </dxf>
  </rfmt>
  <rfmt sheetId="5" sqref="BX125" start="0" length="0">
    <dxf>
      <numFmt numFmtId="165" formatCode="&quot;$&quot;#,##0"/>
    </dxf>
  </rfmt>
  <rfmt sheetId="5" sqref="BX126" start="0" length="0">
    <dxf>
      <numFmt numFmtId="165" formatCode="&quot;$&quot;#,##0"/>
    </dxf>
  </rfmt>
  <rfmt sheetId="5" sqref="BX127" start="0" length="0">
    <dxf>
      <numFmt numFmtId="165" formatCode="&quot;$&quot;#,##0"/>
    </dxf>
  </rfmt>
  <rfmt sheetId="5" sqref="BX128" start="0" length="0">
    <dxf>
      <numFmt numFmtId="165" formatCode="&quot;$&quot;#,##0"/>
    </dxf>
  </rfmt>
  <rfmt sheetId="5" sqref="BX129" start="0" length="0">
    <dxf>
      <numFmt numFmtId="165" formatCode="&quot;$&quot;#,##0"/>
    </dxf>
  </rfmt>
  <rfmt sheetId="5" sqref="BX130" start="0" length="0">
    <dxf>
      <numFmt numFmtId="165" formatCode="&quot;$&quot;#,##0"/>
      <border outline="0">
        <bottom/>
      </border>
    </dxf>
  </rfmt>
  <rfmt sheetId="5" sqref="BX131" start="0" length="0">
    <dxf>
      <font>
        <b val="0"/>
      </font>
      <numFmt numFmtId="165" formatCode="&quot;$&quot;#,##0"/>
    </dxf>
  </rfmt>
  <rcc rId="40088" sId="5">
    <nc r="BX119">
      <f>'FY 2013 by Agency'!BT119*Inflator!E15</f>
    </nc>
  </rcc>
  <rcc rId="40089" sId="5">
    <nc r="BX120">
      <f>'FY 2013 by Agency'!BT120*Inflator!E15</f>
    </nc>
  </rcc>
  <rcc rId="40090" sId="5">
    <nc r="BX121">
      <f>'FY 2013 by Agency'!BT121*Inflator!E15</f>
    </nc>
  </rcc>
  <rcc rId="40091" sId="5">
    <nc r="BX122">
      <f>'FY 2013 by Agency'!BT122*Inflator!E15</f>
    </nc>
  </rcc>
  <rcc rId="40092" sId="5">
    <nc r="BX123">
      <f>'FY 2013 by Agency'!BT123*Inflator!E15</f>
    </nc>
  </rcc>
  <rcc rId="40093" sId="5">
    <nc r="BX124">
      <f>'FY 2013 by Agency'!BT124*Inflator!E15</f>
    </nc>
  </rcc>
  <rcc rId="40094" sId="5">
    <nc r="BX125">
      <f>'FY 2013 by Agency'!BT125*Inflator!E15</f>
    </nc>
  </rcc>
  <rcc rId="40095" sId="5">
    <nc r="BX126">
      <f>'FY 2013 by Agency'!BT126*Inflator!E15</f>
    </nc>
  </rcc>
  <rcc rId="40096" sId="5">
    <nc r="BX127">
      <f>'FY 2013 by Agency'!BT127*Inflator!E15</f>
    </nc>
  </rcc>
  <rcc rId="40097" sId="5">
    <nc r="BX128">
      <f>'FY 2013 by Agency'!BT128*Inflator!E15</f>
    </nc>
  </rcc>
  <rcc rId="40098" sId="5">
    <nc r="BX129">
      <f>'FY 2013 by Agency'!BT129*Inflator!E15</f>
    </nc>
  </rcc>
  <rcc rId="40099" sId="5">
    <nc r="BX130">
      <f>'FY 2013 by Agency'!BT130*Inflator!E15</f>
    </nc>
  </rcc>
  <rfmt sheetId="5" sqref="BX239" start="0" length="0">
    <dxf>
      <numFmt numFmtId="10" formatCode="&quot;$&quot;#,##0_);[Red]\(&quot;$&quot;#,##0\)"/>
      <border outline="0">
        <top/>
      </border>
    </dxf>
  </rfmt>
  <rm rId="40100" sheetId="5" source="BX218:BY219" destination="BX219:BY220" sourceSheetId="5">
    <rfmt sheetId="5" sqref="BX220" start="0" length="0">
      <dxf>
        <font>
          <sz val="10"/>
          <color auto="1"/>
          <name val="Arial"/>
          <scheme val="none"/>
        </font>
      </dxf>
    </rfmt>
    <rfmt sheetId="5" sqref="BY220" start="0" length="0">
      <dxf>
        <font>
          <sz val="10"/>
          <color auto="1"/>
          <name val="Arial"/>
          <scheme val="none"/>
        </font>
      </dxf>
    </rfmt>
  </rm>
  <rcc rId="40101" sId="5">
    <nc r="BX239">
      <f>BX218+BX184+BX163+BX131+BX107+BX73+BX40</f>
    </nc>
  </rcc>
  <rm rId="40102" sheetId="5" source="BY144:BY148" destination="CB144:CB148" sourceSheetId="5">
    <rfmt sheetId="5" sqref="CB144" start="0" length="0">
      <dxf>
        <font>
          <sz val="10"/>
          <color auto="1"/>
          <name val="Arial"/>
          <scheme val="none"/>
        </font>
      </dxf>
    </rfmt>
    <rfmt sheetId="5" sqref="CB145" start="0" length="0">
      <dxf>
        <font>
          <sz val="10"/>
          <color auto="1"/>
          <name val="Arial"/>
          <scheme val="none"/>
        </font>
      </dxf>
    </rfmt>
    <rfmt sheetId="5" sqref="CB146" start="0" length="0">
      <dxf>
        <font>
          <sz val="10"/>
          <color auto="1"/>
          <name val="Arial"/>
          <scheme val="none"/>
        </font>
      </dxf>
    </rfmt>
    <rfmt sheetId="5" sqref="CB147" start="0" length="0">
      <dxf>
        <font>
          <sz val="10"/>
          <color auto="1"/>
          <name val="Arial"/>
          <scheme val="none"/>
        </font>
      </dxf>
    </rfmt>
    <rfmt sheetId="5" sqref="CB148" start="0" length="0">
      <dxf>
        <font>
          <sz val="10"/>
          <color auto="1"/>
          <name val="Arial"/>
          <scheme val="none"/>
        </font>
      </dxf>
    </rfmt>
  </rm>
  <rfmt sheetId="5" sqref="BX144" start="0" length="0">
    <dxf>
      <numFmt numFmtId="165" formatCode="&quot;$&quot;#,##0"/>
    </dxf>
  </rfmt>
  <rcc rId="40103" sId="5">
    <nc r="BX144">
      <f>'FY 2013 by Agency'!BT144*Inflator!E15</f>
    </nc>
  </rcc>
  <rfmt sheetId="5" sqref="BX145" start="0" length="0">
    <dxf>
      <numFmt numFmtId="165" formatCode="&quot;$&quot;#,##0"/>
    </dxf>
  </rfmt>
  <rfmt sheetId="5" sqref="BX146" start="0" length="0">
    <dxf>
      <numFmt numFmtId="165" formatCode="&quot;$&quot;#,##0"/>
    </dxf>
  </rfmt>
  <rfmt sheetId="5" sqref="BX147" start="0" length="0">
    <dxf>
      <numFmt numFmtId="165" formatCode="&quot;$&quot;#,##0"/>
    </dxf>
  </rfmt>
  <rfmt sheetId="5" sqref="BX148" start="0" length="0">
    <dxf>
      <numFmt numFmtId="165" formatCode="&quot;$&quot;#,##0"/>
    </dxf>
  </rfmt>
  <rfmt sheetId="5" sqref="BX149" start="0" length="0">
    <dxf>
      <numFmt numFmtId="165" formatCode="&quot;$&quot;#,##0"/>
    </dxf>
  </rfmt>
  <rfmt sheetId="5" sqref="BX150" start="0" length="0">
    <dxf>
      <numFmt numFmtId="165" formatCode="&quot;$&quot;#,##0"/>
    </dxf>
  </rfmt>
  <rfmt sheetId="5" sqref="BX151" start="0" length="0">
    <dxf>
      <numFmt numFmtId="165" formatCode="&quot;$&quot;#,##0"/>
    </dxf>
  </rfmt>
  <rfmt sheetId="5" sqref="BX152" start="0" length="0">
    <dxf>
      <numFmt numFmtId="165" formatCode="&quot;$&quot;#,##0"/>
    </dxf>
  </rfmt>
  <rfmt sheetId="5" sqref="BX153" start="0" length="0">
    <dxf>
      <numFmt numFmtId="165" formatCode="&quot;$&quot;#,##0"/>
    </dxf>
  </rfmt>
  <rfmt sheetId="5" sqref="BX154" start="0" length="0">
    <dxf>
      <numFmt numFmtId="165" formatCode="&quot;$&quot;#,##0"/>
    </dxf>
  </rfmt>
  <rcc rId="40104" sId="5" odxf="1" dxf="1">
    <nc r="BX155">
      <f>'FY 2013 by Agency'!BT155*Inflator!E26</f>
    </nc>
    <odxf>
      <numFmt numFmtId="0" formatCode="General"/>
    </odxf>
    <ndxf>
      <numFmt numFmtId="165" formatCode="&quot;$&quot;#,##0"/>
    </ndxf>
  </rcc>
  <rfmt sheetId="5" sqref="BX156" start="0" length="0">
    <dxf>
      <numFmt numFmtId="165" formatCode="&quot;$&quot;#,##0"/>
    </dxf>
  </rfmt>
  <rfmt sheetId="5" sqref="BX157" start="0" length="0">
    <dxf>
      <numFmt numFmtId="165" formatCode="&quot;$&quot;#,##0"/>
    </dxf>
  </rfmt>
  <rfmt sheetId="5" sqref="BX158" start="0" length="0">
    <dxf>
      <numFmt numFmtId="165" formatCode="&quot;$&quot;#,##0"/>
    </dxf>
  </rfmt>
  <rfmt sheetId="5" sqref="BX159" start="0" length="0">
    <dxf>
      <numFmt numFmtId="165" formatCode="&quot;$&quot;#,##0"/>
    </dxf>
  </rfmt>
  <rfmt sheetId="5" sqref="BX160" start="0" length="0">
    <dxf>
      <numFmt numFmtId="165" formatCode="&quot;$&quot;#,##0"/>
    </dxf>
  </rfmt>
  <rfmt sheetId="5" sqref="BX161" start="0" length="0">
    <dxf>
      <numFmt numFmtId="165" formatCode="&quot;$&quot;#,##0"/>
      <border outline="0">
        <bottom/>
      </border>
    </dxf>
  </rfmt>
  <rcc rId="40105" sId="5" odxf="1" dxf="1">
    <nc r="BX162">
      <f>'FY 2013 by Agency'!BT162*Inflator!E33</f>
    </nc>
    <odxf>
      <numFmt numFmtId="0" formatCode="General"/>
    </odxf>
    <ndxf>
      <numFmt numFmtId="165" formatCode="&quot;$&quot;#,##0"/>
    </ndxf>
  </rcc>
  <rfmt sheetId="5" sqref="BX163" start="0" length="0">
    <dxf>
      <font>
        <b val="0"/>
      </font>
      <numFmt numFmtId="165" formatCode="&quot;$&quot;#,##0"/>
      <border outline="0">
        <top/>
      </border>
    </dxf>
  </rfmt>
  <rcc rId="40106" sId="5">
    <nc r="BX145">
      <f>'FY 2013 by Agency'!BT145*Inflator!E15</f>
    </nc>
  </rcc>
  <rcc rId="40107" sId="5">
    <nc r="BX146">
      <f>'FY 2013 by Agency'!BT146*Inflator!E15</f>
    </nc>
  </rcc>
  <rcc rId="40108" sId="5">
    <nc r="BX147">
      <f>'FY 2013 by Agency'!BT147*Inflator!E15</f>
    </nc>
  </rcc>
  <rcc rId="40109" sId="5">
    <nc r="BX148">
      <f>'FY 2013 by Agency'!BT148*Inflator!E15</f>
    </nc>
  </rcc>
  <rcc rId="40110" sId="5">
    <nc r="BX149">
      <f>'FY 2013 by Agency'!BT149*Inflator!E15</f>
    </nc>
  </rcc>
  <rcc rId="40111" sId="5">
    <nc r="BX150">
      <f>'FY 2013 by Agency'!BT150*Inflator!E15</f>
    </nc>
  </rcc>
  <rcc rId="40112" sId="5">
    <nc r="BX151">
      <f>'FY 2013 by Agency'!BT151*Inflator!E15</f>
    </nc>
  </rcc>
  <rcc rId="40113" sId="5">
    <nc r="BX152">
      <f>'FY 2013 by Agency'!BT152*Inflator!E15</f>
    </nc>
  </rcc>
  <rcc rId="40114" sId="5">
    <nc r="BX153">
      <f>'FY 2013 by Agency'!BT153*Inflator!E15</f>
    </nc>
  </rcc>
  <rcc rId="40115" sId="5">
    <nc r="BX154">
      <f>'FY 2013 by Agency'!BT154*Inflator!E15</f>
    </nc>
  </rcc>
  <rcc rId="40116" sId="5">
    <nc r="BX156">
      <f>'FY 2013 by Agency'!BT156*Inflator!E15</f>
    </nc>
  </rcc>
  <rcc rId="40117" sId="5">
    <nc r="BX157">
      <f>'FY 2013 by Agency'!BT157*Inflator!E15</f>
    </nc>
  </rcc>
  <rcc rId="40118" sId="5">
    <nc r="BX158">
      <f>'FY 2013 by Agency'!BT158*Inflator!E15</f>
    </nc>
  </rcc>
  <rcc rId="40119" sId="5">
    <nc r="BX159">
      <f>'FY 2013 by Agency'!BT159*Inflator!E15</f>
    </nc>
  </rcc>
  <rcc rId="40120" sId="5">
    <nc r="BX160">
      <f>'FY 2013 by Agency'!BT160*Inflator!E15</f>
    </nc>
  </rcc>
  <rcc rId="40121" sId="5">
    <nc r="BX161">
      <f>'FY 2013 by Agency'!BT161*Inflator!E15</f>
    </nc>
  </rcc>
  <rfmt sheetId="5" sqref="BX176" start="0" length="0">
    <dxf>
      <numFmt numFmtId="165" formatCode="&quot;$&quot;#,##0"/>
    </dxf>
  </rfmt>
  <rcc rId="40122" sId="5">
    <nc r="BX176">
      <f>'FY 2013 by Agency'!BT176*Inflator!E15</f>
    </nc>
  </rcc>
  <rfmt sheetId="5" sqref="BX177" start="0" length="0">
    <dxf>
      <numFmt numFmtId="165" formatCode="&quot;$&quot;#,##0"/>
    </dxf>
  </rfmt>
  <rfmt sheetId="5" sqref="BX178" start="0" length="0">
    <dxf>
      <numFmt numFmtId="165" formatCode="&quot;$&quot;#,##0"/>
    </dxf>
  </rfmt>
  <rfmt sheetId="5" sqref="BX179" start="0" length="0">
    <dxf>
      <numFmt numFmtId="165" formatCode="&quot;$&quot;#,##0"/>
    </dxf>
  </rfmt>
  <rfmt sheetId="5" sqref="BX180" start="0" length="0">
    <dxf>
      <numFmt numFmtId="165" formatCode="&quot;$&quot;#,##0"/>
    </dxf>
  </rfmt>
  <rfmt sheetId="5" sqref="BX181" start="0" length="0">
    <dxf>
      <numFmt numFmtId="165" formatCode="&quot;$&quot;#,##0"/>
    </dxf>
  </rfmt>
  <rfmt sheetId="5" sqref="BX182" start="0" length="0">
    <dxf>
      <numFmt numFmtId="165" formatCode="&quot;$&quot;#,##0"/>
    </dxf>
  </rfmt>
  <rfmt sheetId="5" sqref="BX183" start="0" length="0">
    <dxf>
      <numFmt numFmtId="165" formatCode="&quot;$&quot;#,##0"/>
    </dxf>
  </rfmt>
  <rfmt sheetId="5" sqref="BX184" start="0" length="0">
    <dxf>
      <font>
        <b val="0"/>
      </font>
      <numFmt numFmtId="165" formatCode="&quot;$&quot;#,##0"/>
      <border outline="0">
        <top/>
      </border>
    </dxf>
  </rfmt>
  <rcc rId="40123" sId="5">
    <nc r="BX177">
      <f>'FY 2013 by Agency'!BT177*Inflator!E15</f>
    </nc>
  </rcc>
  <rcc rId="40124" sId="5">
    <nc r="BX178">
      <f>'FY 2013 by Agency'!BT178*Inflator!E15</f>
    </nc>
  </rcc>
  <rcc rId="40125" sId="5">
    <nc r="BX179">
      <f>'FY 2013 by Agency'!BT179*Inflator!E15</f>
    </nc>
  </rcc>
  <rcc rId="40126" sId="5">
    <nc r="BX180">
      <f>'FY 2013 by Agency'!BT180*Inflator!E15</f>
    </nc>
  </rcc>
  <rcc rId="40127" sId="5">
    <nc r="BX181">
      <f>'FY 2013 by Agency'!BT181*Inflator!E15</f>
    </nc>
  </rcc>
  <rcc rId="40128" sId="5">
    <nc r="BX182">
      <f>'FY 2013 by Agency'!BT182*Inflator!E15</f>
    </nc>
  </rcc>
  <rcc rId="40129" sId="5">
    <nc r="BX183">
      <f>'FY 2013 by Agency'!BT183*Inflator!E15</f>
    </nc>
  </rcc>
  <rfmt sheetId="5" sqref="BX194" start="0" length="0">
    <dxf>
      <numFmt numFmtId="165" formatCode="&quot;$&quot;#,##0"/>
    </dxf>
  </rfmt>
  <rcc rId="40130" sId="5">
    <nc r="BX194">
      <f>'FY 2013 by Agency'!BT194*Inflator!E15</f>
    </nc>
  </rcc>
  <rfmt sheetId="5" sqref="BX195" start="0" length="0">
    <dxf>
      <numFmt numFmtId="165" formatCode="&quot;$&quot;#,##0"/>
    </dxf>
  </rfmt>
  <rfmt sheetId="5" sqref="BX196" start="0" length="0">
    <dxf>
      <numFmt numFmtId="165" formatCode="&quot;$&quot;#,##0"/>
    </dxf>
  </rfmt>
  <rfmt sheetId="5" sqref="BX197" start="0" length="0">
    <dxf>
      <numFmt numFmtId="165" formatCode="&quot;$&quot;#,##0"/>
    </dxf>
  </rfmt>
  <rfmt sheetId="5" sqref="BX198" start="0" length="0">
    <dxf>
      <numFmt numFmtId="165" formatCode="&quot;$&quot;#,##0"/>
    </dxf>
  </rfmt>
  <rfmt sheetId="5" sqref="BX199" start="0" length="0">
    <dxf>
      <numFmt numFmtId="165" formatCode="&quot;$&quot;#,##0"/>
    </dxf>
  </rfmt>
  <rfmt sheetId="5" sqref="BX200" start="0" length="0">
    <dxf>
      <numFmt numFmtId="165" formatCode="&quot;$&quot;#,##0"/>
    </dxf>
  </rfmt>
  <rfmt sheetId="5" sqref="BX201" start="0" length="0">
    <dxf>
      <numFmt numFmtId="165" formatCode="&quot;$&quot;#,##0"/>
    </dxf>
  </rfmt>
  <rfmt sheetId="5" sqref="BX202" start="0" length="0">
    <dxf>
      <numFmt numFmtId="165" formatCode="&quot;$&quot;#,##0"/>
    </dxf>
  </rfmt>
  <rfmt sheetId="5" sqref="BX203" start="0" length="0">
    <dxf>
      <numFmt numFmtId="165" formatCode="&quot;$&quot;#,##0"/>
    </dxf>
  </rfmt>
  <rfmt sheetId="5" sqref="BX204" start="0" length="0">
    <dxf>
      <numFmt numFmtId="165" formatCode="&quot;$&quot;#,##0"/>
    </dxf>
  </rfmt>
  <rfmt sheetId="5" sqref="BX205" start="0" length="0">
    <dxf>
      <numFmt numFmtId="165" formatCode="&quot;$&quot;#,##0"/>
    </dxf>
  </rfmt>
  <rfmt sheetId="5" sqref="BX206" start="0" length="0">
    <dxf>
      <numFmt numFmtId="165" formatCode="&quot;$&quot;#,##0"/>
    </dxf>
  </rfmt>
  <rfmt sheetId="5" sqref="BX207" start="0" length="0">
    <dxf>
      <numFmt numFmtId="165" formatCode="&quot;$&quot;#,##0"/>
    </dxf>
  </rfmt>
  <rfmt sheetId="5" sqref="BX208" start="0" length="0">
    <dxf>
      <numFmt numFmtId="165" formatCode="&quot;$&quot;#,##0"/>
    </dxf>
  </rfmt>
  <rfmt sheetId="5" sqref="BX209" start="0" length="0">
    <dxf>
      <numFmt numFmtId="165" formatCode="&quot;$&quot;#,##0"/>
    </dxf>
  </rfmt>
  <rfmt sheetId="5" sqref="BX210" start="0" length="0">
    <dxf>
      <numFmt numFmtId="165" formatCode="&quot;$&quot;#,##0"/>
    </dxf>
  </rfmt>
  <rfmt sheetId="5" sqref="BX211" start="0" length="0">
    <dxf>
      <numFmt numFmtId="165" formatCode="&quot;$&quot;#,##0"/>
    </dxf>
  </rfmt>
  <rfmt sheetId="5" sqref="BX212" start="0" length="0">
    <dxf>
      <numFmt numFmtId="165" formatCode="&quot;$&quot;#,##0"/>
    </dxf>
  </rfmt>
  <rfmt sheetId="5" sqref="BX213" start="0" length="0">
    <dxf>
      <numFmt numFmtId="165" formatCode="&quot;$&quot;#,##0"/>
    </dxf>
  </rfmt>
  <rfmt sheetId="5" sqref="BX214" start="0" length="0">
    <dxf>
      <numFmt numFmtId="165" formatCode="&quot;$&quot;#,##0"/>
    </dxf>
  </rfmt>
  <rfmt sheetId="5" sqref="BX215" start="0" length="0">
    <dxf>
      <numFmt numFmtId="165" formatCode="&quot;$&quot;#,##0"/>
    </dxf>
  </rfmt>
  <rfmt sheetId="5" sqref="BX216" start="0" length="0">
    <dxf>
      <numFmt numFmtId="165" formatCode="&quot;$&quot;#,##0"/>
    </dxf>
  </rfmt>
  <rfmt sheetId="5" sqref="BX217" start="0" length="0">
    <dxf>
      <numFmt numFmtId="165" formatCode="&quot;$&quot;#,##0"/>
      <border outline="0">
        <bottom/>
      </border>
    </dxf>
  </rfmt>
  <rcc rId="40131" sId="5">
    <nc r="BX195">
      <f>'FY 2013 by Agency'!BT195*Inflator!E15</f>
    </nc>
  </rcc>
  <rcc rId="40132" sId="5">
    <nc r="BX196">
      <f>'FY 2013 by Agency'!BT196*Inflator!E15</f>
    </nc>
  </rcc>
  <rcc rId="40133" sId="5">
    <nc r="BX197">
      <f>'FY 2013 by Agency'!BT197*Inflator!E15</f>
    </nc>
  </rcc>
  <rcc rId="40134" sId="5">
    <nc r="BX198">
      <f>'FY 2013 by Agency'!BT198*Inflator!E15</f>
    </nc>
  </rcc>
  <rcc rId="40135" sId="5">
    <nc r="BX199">
      <f>'FY 2013 by Agency'!BT199*Inflator!E15</f>
    </nc>
  </rcc>
  <rcc rId="40136" sId="5">
    <nc r="BX200">
      <f>'FY 2013 by Agency'!BT200*Inflator!E15</f>
    </nc>
  </rcc>
  <rcc rId="40137" sId="5">
    <nc r="BX201">
      <f>'FY 2013 by Agency'!BT201*Inflator!E15</f>
    </nc>
  </rcc>
  <rcc rId="40138" sId="5">
    <nc r="BX202">
      <f>'FY 2013 by Agency'!BT202*Inflator!E15</f>
    </nc>
  </rcc>
  <rcc rId="40139" sId="5">
    <nc r="BX203">
      <f>'FY 2013 by Agency'!BT203*Inflator!E15</f>
    </nc>
  </rcc>
  <rcc rId="40140" sId="5">
    <nc r="BX204">
      <f>'FY 2013 by Agency'!BT204*Inflator!E15</f>
    </nc>
  </rcc>
  <rcc rId="40141" sId="5">
    <nc r="BX205">
      <f>'FY 2013 by Agency'!BT205*Inflator!E15</f>
    </nc>
  </rcc>
  <rcc rId="40142" sId="5">
    <nc r="BX206">
      <f>'FY 2013 by Agency'!BT206*Inflator!E15</f>
    </nc>
  </rcc>
  <rcc rId="40143" sId="5">
    <nc r="BX207">
      <f>'FY 2013 by Agency'!BT207*Inflator!E15</f>
    </nc>
  </rcc>
  <rcc rId="40144" sId="5">
    <nc r="BX208">
      <f>'FY 2013 by Agency'!BT208*Inflator!E15</f>
    </nc>
  </rcc>
  <rcc rId="40145" sId="5">
    <nc r="BX209">
      <f>'FY 2013 by Agency'!BT209*Inflator!E15</f>
    </nc>
  </rcc>
  <rcc rId="40146" sId="5">
    <nc r="BX210">
      <f>'FY 2013 by Agency'!BT210*Inflator!E15</f>
    </nc>
  </rcc>
  <rcc rId="40147" sId="5">
    <nc r="BX211">
      <f>'FY 2013 by Agency'!BT211*Inflator!E15</f>
    </nc>
  </rcc>
  <rcc rId="40148" sId="5">
    <nc r="BX212">
      <f>'FY 2013 by Agency'!BT212*Inflator!E15</f>
    </nc>
  </rcc>
  <rcc rId="40149" sId="5">
    <nc r="BX213">
      <f>'FY 2013 by Agency'!BT213*Inflator!E15</f>
    </nc>
  </rcc>
  <rcc rId="40150" sId="5">
    <nc r="BX214">
      <f>'FY 2013 by Agency'!BT214*Inflator!E15</f>
    </nc>
  </rcc>
  <rcc rId="40151" sId="5">
    <nc r="BX215">
      <f>'FY 2013 by Agency'!BT215*Inflator!E15</f>
    </nc>
  </rcc>
  <rcc rId="40152" sId="5">
    <nc r="BX216">
      <f>'FY 2013 by Agency'!BT216*Inflator!E15</f>
    </nc>
  </rcc>
  <rcc rId="40153" sId="5">
    <nc r="BX217">
      <f>'FY 2013 by Agency'!BT217*Inflator!E15</f>
    </nc>
  </rcc>
  <rfmt sheetId="5" sqref="BX218" start="0" length="0">
    <dxf>
      <font>
        <b val="0"/>
      </font>
      <numFmt numFmtId="165" formatCode="&quot;$&quot;#,##0"/>
    </dxf>
  </rfmt>
  <rcc rId="40154" sId="5" odxf="1" dxf="1">
    <nc r="BY7">
      <f>BX7-BU7</f>
    </nc>
    <odxf>
      <numFmt numFmtId="0" formatCode="General"/>
    </odxf>
    <ndxf>
      <numFmt numFmtId="165" formatCode="&quot;$&quot;#,##0"/>
    </ndxf>
  </rcc>
  <rcc rId="40155" sId="5">
    <nc r="BZ7">
      <f>BY7/BU7</f>
    </nc>
  </rcc>
  <rfmt sheetId="5" sqref="BZ7">
    <dxf>
      <numFmt numFmtId="14" formatCode="0.00%"/>
    </dxf>
  </rfmt>
  <rcc rId="40156" sId="5" odxf="1" dxf="1">
    <nc r="BY8">
      <f>BX8-BU8</f>
    </nc>
    <odxf>
      <numFmt numFmtId="0" formatCode="General"/>
    </odxf>
    <ndxf>
      <numFmt numFmtId="165" formatCode="&quot;$&quot;#,##0"/>
    </ndxf>
  </rcc>
  <rcc rId="40157" sId="5" odxf="1" dxf="1">
    <nc r="BY9">
      <f>BX9-BU9</f>
    </nc>
    <odxf>
      <numFmt numFmtId="0" formatCode="General"/>
    </odxf>
    <ndxf>
      <numFmt numFmtId="165" formatCode="&quot;$&quot;#,##0"/>
    </ndxf>
  </rcc>
  <rcc rId="40158" sId="5" odxf="1" dxf="1">
    <nc r="BY10">
      <f>BX10-BU10</f>
    </nc>
    <odxf>
      <numFmt numFmtId="0" formatCode="General"/>
    </odxf>
    <ndxf>
      <numFmt numFmtId="165" formatCode="&quot;$&quot;#,##0"/>
    </ndxf>
  </rcc>
  <rcc rId="40159" sId="5" odxf="1" dxf="1">
    <nc r="BY11">
      <f>BX11-BU11</f>
    </nc>
    <odxf>
      <numFmt numFmtId="0" formatCode="General"/>
    </odxf>
    <ndxf>
      <numFmt numFmtId="165" formatCode="&quot;$&quot;#,##0"/>
    </ndxf>
  </rcc>
  <rcc rId="40160" sId="5" odxf="1" dxf="1">
    <nc r="BY12">
      <f>BX12-BU12</f>
    </nc>
    <odxf>
      <numFmt numFmtId="0" formatCode="General"/>
    </odxf>
    <ndxf>
      <numFmt numFmtId="165" formatCode="&quot;$&quot;#,##0"/>
    </ndxf>
  </rcc>
  <rcc rId="40161" sId="5" odxf="1" dxf="1">
    <nc r="BY13">
      <f>BX13-BU13</f>
    </nc>
    <odxf>
      <numFmt numFmtId="0" formatCode="General"/>
    </odxf>
    <ndxf>
      <numFmt numFmtId="165" formatCode="&quot;$&quot;#,##0"/>
    </ndxf>
  </rcc>
  <rcc rId="40162" sId="5" odxf="1" dxf="1">
    <nc r="BY14">
      <f>BX14-BU14</f>
    </nc>
    <odxf>
      <numFmt numFmtId="0" formatCode="General"/>
    </odxf>
    <ndxf>
      <numFmt numFmtId="165" formatCode="&quot;$&quot;#,##0"/>
    </ndxf>
  </rcc>
  <rcc rId="40163" sId="5" odxf="1" dxf="1">
    <nc r="BY15">
      <f>BX15-BU15</f>
    </nc>
    <odxf>
      <numFmt numFmtId="0" formatCode="General"/>
    </odxf>
    <ndxf>
      <numFmt numFmtId="165" formatCode="&quot;$&quot;#,##0"/>
    </ndxf>
  </rcc>
  <rcc rId="40164" sId="5" odxf="1" dxf="1">
    <nc r="BY16">
      <f>BX16-BU16</f>
    </nc>
    <odxf>
      <numFmt numFmtId="0" formatCode="General"/>
    </odxf>
    <ndxf>
      <numFmt numFmtId="165" formatCode="&quot;$&quot;#,##0"/>
    </ndxf>
  </rcc>
  <rcc rId="40165" sId="5" odxf="1" dxf="1">
    <nc r="BY17">
      <f>BX17-BU17</f>
    </nc>
    <odxf>
      <numFmt numFmtId="0" formatCode="General"/>
    </odxf>
    <ndxf>
      <numFmt numFmtId="165" formatCode="&quot;$&quot;#,##0"/>
    </ndxf>
  </rcc>
  <rcc rId="40166" sId="5" odxf="1" dxf="1">
    <nc r="BY18">
      <f>BX18-BU18</f>
    </nc>
    <odxf>
      <numFmt numFmtId="0" formatCode="General"/>
    </odxf>
    <ndxf>
      <numFmt numFmtId="165" formatCode="&quot;$&quot;#,##0"/>
    </ndxf>
  </rcc>
  <rcc rId="40167" sId="5" odxf="1" dxf="1">
    <nc r="BY19">
      <f>BX19-BU19</f>
    </nc>
    <odxf>
      <numFmt numFmtId="0" formatCode="General"/>
    </odxf>
    <ndxf>
      <numFmt numFmtId="165" formatCode="&quot;$&quot;#,##0"/>
    </ndxf>
  </rcc>
  <rcc rId="40168" sId="5" odxf="1" dxf="1">
    <nc r="BY20">
      <f>BX20-BU20</f>
    </nc>
    <odxf>
      <numFmt numFmtId="0" formatCode="General"/>
    </odxf>
    <ndxf>
      <numFmt numFmtId="165" formatCode="&quot;$&quot;#,##0"/>
    </ndxf>
  </rcc>
  <rcc rId="40169" sId="5" odxf="1" dxf="1">
    <nc r="BY21">
      <f>BX21-BU21</f>
    </nc>
    <odxf>
      <numFmt numFmtId="0" formatCode="General"/>
    </odxf>
    <ndxf>
      <numFmt numFmtId="165" formatCode="&quot;$&quot;#,##0"/>
    </ndxf>
  </rcc>
  <rcc rId="40170" sId="5" odxf="1" dxf="1">
    <nc r="BY22">
      <f>BX22-BU22</f>
    </nc>
    <odxf>
      <numFmt numFmtId="0" formatCode="General"/>
    </odxf>
    <ndxf>
      <numFmt numFmtId="165" formatCode="&quot;$&quot;#,##0"/>
    </ndxf>
  </rcc>
  <rcc rId="40171" sId="5" odxf="1" dxf="1">
    <nc r="BY23">
      <f>BX23-BU23</f>
    </nc>
    <odxf>
      <numFmt numFmtId="0" formatCode="General"/>
    </odxf>
    <ndxf>
      <numFmt numFmtId="165" formatCode="&quot;$&quot;#,##0"/>
    </ndxf>
  </rcc>
  <rcc rId="40172" sId="5" odxf="1" dxf="1">
    <nc r="BY24">
      <f>BX24-BU24</f>
    </nc>
    <odxf>
      <numFmt numFmtId="0" formatCode="General"/>
    </odxf>
    <ndxf>
      <numFmt numFmtId="165" formatCode="&quot;$&quot;#,##0"/>
    </ndxf>
  </rcc>
  <rcc rId="40173" sId="5" odxf="1" dxf="1">
    <nc r="BY25">
      <f>BX25-BU25</f>
    </nc>
    <odxf>
      <numFmt numFmtId="0" formatCode="General"/>
    </odxf>
    <ndxf>
      <numFmt numFmtId="165" formatCode="&quot;$&quot;#,##0"/>
    </ndxf>
  </rcc>
  <rcc rId="40174" sId="5" odxf="1" dxf="1">
    <nc r="BY26">
      <f>BX26-BU26</f>
    </nc>
    <odxf>
      <numFmt numFmtId="0" formatCode="General"/>
    </odxf>
    <ndxf>
      <numFmt numFmtId="165" formatCode="&quot;$&quot;#,##0"/>
    </ndxf>
  </rcc>
  <rcc rId="40175" sId="5" odxf="1" dxf="1">
    <nc r="BY27">
      <f>BX27-BU27</f>
    </nc>
    <odxf>
      <numFmt numFmtId="0" formatCode="General"/>
    </odxf>
    <ndxf>
      <numFmt numFmtId="165" formatCode="&quot;$&quot;#,##0"/>
    </ndxf>
  </rcc>
  <rcc rId="40176" sId="5" odxf="1" dxf="1">
    <nc r="BY28">
      <f>BX28-BU28</f>
    </nc>
    <odxf>
      <numFmt numFmtId="0" formatCode="General"/>
    </odxf>
    <ndxf>
      <numFmt numFmtId="165" formatCode="&quot;$&quot;#,##0"/>
    </ndxf>
  </rcc>
  <rcc rId="40177" sId="5" odxf="1" dxf="1">
    <nc r="BY29">
      <f>BX29-BU29</f>
    </nc>
    <odxf>
      <numFmt numFmtId="0" formatCode="General"/>
    </odxf>
    <ndxf>
      <numFmt numFmtId="165" formatCode="&quot;$&quot;#,##0"/>
    </ndxf>
  </rcc>
  <rcc rId="40178" sId="5" odxf="1" dxf="1">
    <nc r="BY30">
      <f>BX30-BU30</f>
    </nc>
    <odxf>
      <numFmt numFmtId="0" formatCode="General"/>
    </odxf>
    <ndxf>
      <numFmt numFmtId="165" formatCode="&quot;$&quot;#,##0"/>
    </ndxf>
  </rcc>
  <rcc rId="40179" sId="5" odxf="1" dxf="1">
    <nc r="BY31">
      <f>BX31-BU31</f>
    </nc>
    <odxf>
      <numFmt numFmtId="0" formatCode="General"/>
    </odxf>
    <ndxf>
      <numFmt numFmtId="165" formatCode="&quot;$&quot;#,##0"/>
    </ndxf>
  </rcc>
  <rcc rId="40180" sId="5" odxf="1" dxf="1">
    <nc r="BY32">
      <f>BX32-BU32</f>
    </nc>
    <odxf>
      <numFmt numFmtId="0" formatCode="General"/>
    </odxf>
    <ndxf>
      <numFmt numFmtId="165" formatCode="&quot;$&quot;#,##0"/>
    </ndxf>
  </rcc>
  <rcc rId="40181" sId="5" odxf="1" dxf="1">
    <nc r="BY33">
      <f>BX33-BU33</f>
    </nc>
    <odxf>
      <numFmt numFmtId="0" formatCode="General"/>
    </odxf>
    <ndxf>
      <numFmt numFmtId="165" formatCode="&quot;$&quot;#,##0"/>
    </ndxf>
  </rcc>
  <rcc rId="40182" sId="5" odxf="1" dxf="1">
    <nc r="BY34">
      <f>BX34-BU34</f>
    </nc>
    <odxf>
      <numFmt numFmtId="0" formatCode="General"/>
    </odxf>
    <ndxf>
      <numFmt numFmtId="165" formatCode="&quot;$&quot;#,##0"/>
    </ndxf>
  </rcc>
  <rcc rId="40183" sId="5" odxf="1" dxf="1">
    <nc r="BY35">
      <f>BX35-BU35</f>
    </nc>
    <odxf>
      <numFmt numFmtId="0" formatCode="General"/>
    </odxf>
    <ndxf>
      <numFmt numFmtId="165" formatCode="&quot;$&quot;#,##0"/>
    </ndxf>
  </rcc>
  <rcc rId="40184" sId="5" odxf="1" dxf="1">
    <nc r="BY36">
      <f>BX36-BU36</f>
    </nc>
    <odxf>
      <numFmt numFmtId="0" formatCode="General"/>
    </odxf>
    <ndxf>
      <numFmt numFmtId="165" formatCode="&quot;$&quot;#,##0"/>
    </ndxf>
  </rcc>
  <rcc rId="40185" sId="5" odxf="1" dxf="1">
    <nc r="BY37">
      <f>BX37-BU37</f>
    </nc>
    <odxf>
      <numFmt numFmtId="0" formatCode="General"/>
    </odxf>
    <ndxf>
      <numFmt numFmtId="165" formatCode="&quot;$&quot;#,##0"/>
    </ndxf>
  </rcc>
  <rcc rId="40186" sId="5" odxf="1" dxf="1">
    <nc r="BY38">
      <f>BX38-BU38</f>
    </nc>
    <odxf>
      <numFmt numFmtId="0" formatCode="General"/>
    </odxf>
    <ndxf>
      <numFmt numFmtId="165" formatCode="&quot;$&quot;#,##0"/>
    </ndxf>
  </rcc>
  <rcc rId="40187" sId="5" odxf="1" dxf="1">
    <nc r="BY39">
      <f>BX39-BU39</f>
    </nc>
    <odxf>
      <numFmt numFmtId="0" formatCode="General"/>
      <border outline="0">
        <bottom style="thin">
          <color indexed="64"/>
        </bottom>
      </border>
    </odxf>
    <ndxf>
      <numFmt numFmtId="165" formatCode="&quot;$&quot;#,##0"/>
      <border outline="0">
        <bottom/>
      </border>
    </ndxf>
  </rcc>
  <rcc rId="40188" sId="5" odxf="1" dxf="1">
    <nc r="BY40">
      <f>BX40-BU40</f>
    </nc>
    <odxf>
      <font>
        <b/>
      </font>
      <numFmt numFmtId="0" formatCode="General"/>
    </odxf>
    <ndxf>
      <font>
        <b val="0"/>
      </font>
      <numFmt numFmtId="165" formatCode="&quot;$&quot;#,##0"/>
    </ndxf>
  </rcc>
  <rfmt sheetId="5" sqref="BY50" start="0" length="0">
    <dxf>
      <numFmt numFmtId="165" formatCode="&quot;$&quot;#,##0"/>
    </dxf>
  </rfmt>
  <rcc rId="40189" sId="5">
    <nc r="BY50">
      <f>BX50-BU50</f>
    </nc>
  </rcc>
  <rcc rId="40190" sId="5" odxf="1" dxf="1">
    <nc r="BY51">
      <f>BX51-BU51</f>
    </nc>
    <odxf>
      <numFmt numFmtId="0" formatCode="General"/>
    </odxf>
    <ndxf>
      <numFmt numFmtId="165" formatCode="&quot;$&quot;#,##0"/>
    </ndxf>
  </rcc>
  <rcc rId="40191" sId="5" odxf="1" dxf="1">
    <nc r="BY52">
      <f>BX52-BU52</f>
    </nc>
    <odxf>
      <numFmt numFmtId="0" formatCode="General"/>
    </odxf>
    <ndxf>
      <numFmt numFmtId="165" formatCode="&quot;$&quot;#,##0"/>
    </ndxf>
  </rcc>
  <rcc rId="40192" sId="5" odxf="1" dxf="1">
    <nc r="BY53">
      <f>BX53-BU53</f>
    </nc>
    <odxf>
      <numFmt numFmtId="0" formatCode="General"/>
    </odxf>
    <ndxf>
      <numFmt numFmtId="165" formatCode="&quot;$&quot;#,##0"/>
    </ndxf>
  </rcc>
  <rcc rId="40193" sId="5" odxf="1" dxf="1">
    <nc r="BY54">
      <f>BX54-BU54</f>
    </nc>
    <odxf>
      <numFmt numFmtId="0" formatCode="General"/>
    </odxf>
    <ndxf>
      <numFmt numFmtId="165" formatCode="&quot;$&quot;#,##0"/>
    </ndxf>
  </rcc>
  <rcc rId="40194" sId="5" odxf="1" dxf="1">
    <nc r="BY55">
      <f>BX55-BU55</f>
    </nc>
    <odxf>
      <numFmt numFmtId="0" formatCode="General"/>
    </odxf>
    <ndxf>
      <numFmt numFmtId="165" formatCode="&quot;$&quot;#,##0"/>
    </ndxf>
  </rcc>
  <rcc rId="40195" sId="5" odxf="1" dxf="1">
    <nc r="BY56">
      <f>BX56-BU56</f>
    </nc>
    <odxf>
      <numFmt numFmtId="0" formatCode="General"/>
    </odxf>
    <ndxf>
      <numFmt numFmtId="165" formatCode="&quot;$&quot;#,##0"/>
    </ndxf>
  </rcc>
  <rcc rId="40196" sId="5" odxf="1" dxf="1">
    <nc r="BY57">
      <f>BX57-BU57</f>
    </nc>
    <odxf>
      <numFmt numFmtId="0" formatCode="General"/>
    </odxf>
    <ndxf>
      <numFmt numFmtId="165" formatCode="&quot;$&quot;#,##0"/>
    </ndxf>
  </rcc>
  <rcc rId="40197" sId="5" odxf="1" dxf="1">
    <nc r="BY58">
      <f>BX58-BU58</f>
    </nc>
    <odxf>
      <numFmt numFmtId="0" formatCode="General"/>
    </odxf>
    <ndxf>
      <numFmt numFmtId="165" formatCode="&quot;$&quot;#,##0"/>
    </ndxf>
  </rcc>
  <rcc rId="40198" sId="5" odxf="1" dxf="1">
    <nc r="BY59">
      <f>BX59-BU59</f>
    </nc>
    <odxf>
      <numFmt numFmtId="0" formatCode="General"/>
    </odxf>
    <ndxf>
      <numFmt numFmtId="165" formatCode="&quot;$&quot;#,##0"/>
    </ndxf>
  </rcc>
  <rcc rId="40199" sId="5" odxf="1" dxf="1">
    <nc r="BY60">
      <f>BX60-BU60</f>
    </nc>
    <odxf>
      <numFmt numFmtId="0" formatCode="General"/>
    </odxf>
    <ndxf>
      <numFmt numFmtId="165" formatCode="&quot;$&quot;#,##0"/>
    </ndxf>
  </rcc>
  <rcc rId="40200" sId="5" odxf="1" dxf="1">
    <nc r="BY61">
      <f>BX61-BU61</f>
    </nc>
    <odxf>
      <numFmt numFmtId="0" formatCode="General"/>
    </odxf>
    <ndxf>
      <numFmt numFmtId="165" formatCode="&quot;$&quot;#,##0"/>
    </ndxf>
  </rcc>
  <rcc rId="40201" sId="5" odxf="1" dxf="1">
    <nc r="BY62">
      <f>BX62-BU62</f>
    </nc>
    <odxf>
      <numFmt numFmtId="0" formatCode="General"/>
    </odxf>
    <ndxf>
      <numFmt numFmtId="165" formatCode="&quot;$&quot;#,##0"/>
    </ndxf>
  </rcc>
  <rcc rId="40202" sId="5" odxf="1" dxf="1">
    <nc r="BY63">
      <f>BX63-BU63</f>
    </nc>
    <odxf>
      <numFmt numFmtId="0" formatCode="General"/>
    </odxf>
    <ndxf>
      <numFmt numFmtId="165" formatCode="&quot;$&quot;#,##0"/>
    </ndxf>
  </rcc>
  <rcc rId="40203" sId="5" odxf="1" dxf="1">
    <nc r="BY64">
      <f>BX64-BU64</f>
    </nc>
    <odxf>
      <numFmt numFmtId="0" formatCode="General"/>
    </odxf>
    <ndxf>
      <numFmt numFmtId="165" formatCode="&quot;$&quot;#,##0"/>
    </ndxf>
  </rcc>
  <rcc rId="40204" sId="5" odxf="1" dxf="1">
    <nc r="BY65">
      <f>BX65-BU65</f>
    </nc>
    <odxf>
      <numFmt numFmtId="0" formatCode="General"/>
    </odxf>
    <ndxf>
      <numFmt numFmtId="165" formatCode="&quot;$&quot;#,##0"/>
    </ndxf>
  </rcc>
  <rcc rId="40205" sId="5" odxf="1" dxf="1">
    <nc r="BY66">
      <f>BX66-BU66</f>
    </nc>
    <odxf>
      <numFmt numFmtId="0" formatCode="General"/>
    </odxf>
    <ndxf>
      <numFmt numFmtId="165" formatCode="&quot;$&quot;#,##0"/>
    </ndxf>
  </rcc>
  <rcc rId="40206" sId="5" odxf="1" dxf="1">
    <nc r="BY67">
      <f>BX67-BU67</f>
    </nc>
    <odxf>
      <numFmt numFmtId="0" formatCode="General"/>
    </odxf>
    <ndxf>
      <numFmt numFmtId="165" formatCode="&quot;$&quot;#,##0"/>
    </ndxf>
  </rcc>
  <rcc rId="40207" sId="5" odxf="1" dxf="1">
    <nc r="BY68">
      <f>BX68-BU68</f>
    </nc>
    <odxf>
      <numFmt numFmtId="0" formatCode="General"/>
    </odxf>
    <ndxf>
      <numFmt numFmtId="165" formatCode="&quot;$&quot;#,##0"/>
    </ndxf>
  </rcc>
  <rcc rId="40208" sId="5" odxf="1" dxf="1">
    <nc r="BY69">
      <f>BX69-BU69</f>
    </nc>
    <odxf>
      <numFmt numFmtId="0" formatCode="General"/>
    </odxf>
    <ndxf>
      <numFmt numFmtId="165" formatCode="&quot;$&quot;#,##0"/>
    </ndxf>
  </rcc>
  <rcc rId="40209" sId="5" odxf="1" dxf="1">
    <nc r="BY70">
      <f>BX70-BU70</f>
    </nc>
    <odxf>
      <numFmt numFmtId="0" formatCode="General"/>
    </odxf>
    <ndxf>
      <numFmt numFmtId="165" formatCode="&quot;$&quot;#,##0"/>
    </ndxf>
  </rcc>
  <rcc rId="40210" sId="5" odxf="1" dxf="1">
    <nc r="BY71">
      <f>BX71-BU71</f>
    </nc>
    <odxf>
      <numFmt numFmtId="0" formatCode="General"/>
    </odxf>
    <ndxf>
      <numFmt numFmtId="165" formatCode="&quot;$&quot;#,##0"/>
    </ndxf>
  </rcc>
  <rcc rId="40211" sId="5" odxf="1" dxf="1">
    <nc r="BY72">
      <f>BX72-BU72</f>
    </nc>
    <odxf>
      <numFmt numFmtId="0" formatCode="General"/>
      <border outline="0">
        <bottom style="medium">
          <color indexed="64"/>
        </bottom>
      </border>
    </odxf>
    <ndxf>
      <numFmt numFmtId="165" formatCode="&quot;$&quot;#,##0"/>
      <border outline="0">
        <bottom/>
      </border>
    </ndxf>
  </rcc>
  <rcc rId="40212" sId="5" odxf="1" dxf="1">
    <nc r="BY73">
      <f>BX73-BU73</f>
    </nc>
    <odxf>
      <font>
        <b/>
      </font>
      <numFmt numFmtId="0" formatCode="General"/>
    </odxf>
    <ndxf>
      <font>
        <b val="0"/>
      </font>
      <numFmt numFmtId="165" formatCode="&quot;$&quot;#,##0"/>
    </ndxf>
  </rcc>
  <rcc rId="40213" sId="5" odxf="1" dxf="1">
    <nc r="BY84">
      <f>BX84-BU84</f>
    </nc>
    <odxf>
      <numFmt numFmtId="0" formatCode="General"/>
    </odxf>
    <ndxf>
      <numFmt numFmtId="165" formatCode="&quot;$&quot;#,##0"/>
    </ndxf>
  </rcc>
  <rcc rId="40214" sId="5" odxf="1" dxf="1">
    <nc r="BY85">
      <f>BX85-BU85</f>
    </nc>
    <odxf>
      <numFmt numFmtId="0" formatCode="General"/>
    </odxf>
    <ndxf>
      <numFmt numFmtId="165" formatCode="&quot;$&quot;#,##0"/>
    </ndxf>
  </rcc>
  <rcc rId="40215" sId="5" odxf="1" dxf="1">
    <nc r="BY86">
      <f>BX86-BU86</f>
    </nc>
    <odxf>
      <numFmt numFmtId="0" formatCode="General"/>
    </odxf>
    <ndxf>
      <numFmt numFmtId="165" formatCode="&quot;$&quot;#,##0"/>
    </ndxf>
  </rcc>
  <rcc rId="40216" sId="5" odxf="1" dxf="1">
    <nc r="BY87">
      <f>BX87-BU87</f>
    </nc>
    <odxf>
      <numFmt numFmtId="0" formatCode="General"/>
    </odxf>
    <ndxf>
      <numFmt numFmtId="165" formatCode="&quot;$&quot;#,##0"/>
    </ndxf>
  </rcc>
  <rcc rId="40217" sId="5" odxf="1" dxf="1">
    <nc r="BY88">
      <f>BX88-BU88</f>
    </nc>
    <odxf>
      <numFmt numFmtId="0" formatCode="General"/>
    </odxf>
    <ndxf>
      <numFmt numFmtId="165" formatCode="&quot;$&quot;#,##0"/>
    </ndxf>
  </rcc>
  <rcc rId="40218" sId="5" odxf="1" dxf="1">
    <nc r="BY89">
      <f>BX89-BU89</f>
    </nc>
    <odxf>
      <numFmt numFmtId="0" formatCode="General"/>
    </odxf>
    <ndxf>
      <numFmt numFmtId="165" formatCode="&quot;$&quot;#,##0"/>
    </ndxf>
  </rcc>
  <rcc rId="40219" sId="5" odxf="1" dxf="1">
    <nc r="BY90">
      <f>BX90-BU90</f>
    </nc>
    <odxf>
      <numFmt numFmtId="0" formatCode="General"/>
    </odxf>
    <ndxf>
      <numFmt numFmtId="165" formatCode="&quot;$&quot;#,##0"/>
    </ndxf>
  </rcc>
  <rcc rId="40220" sId="5" odxf="1" dxf="1">
    <nc r="BY91">
      <f>BX91-BU91</f>
    </nc>
    <odxf>
      <numFmt numFmtId="0" formatCode="General"/>
    </odxf>
    <ndxf>
      <numFmt numFmtId="165" formatCode="&quot;$&quot;#,##0"/>
    </ndxf>
  </rcc>
  <rcc rId="40221" sId="5" odxf="1" dxf="1">
    <nc r="BY92">
      <f>BX92-BU92</f>
    </nc>
    <odxf>
      <numFmt numFmtId="0" formatCode="General"/>
    </odxf>
    <ndxf>
      <numFmt numFmtId="165" formatCode="&quot;$&quot;#,##0"/>
    </ndxf>
  </rcc>
  <rcc rId="40222" sId="5" odxf="1" dxf="1">
    <nc r="BY93">
      <f>BX93-BU93</f>
    </nc>
    <odxf>
      <numFmt numFmtId="0" formatCode="General"/>
    </odxf>
    <ndxf>
      <numFmt numFmtId="165" formatCode="&quot;$&quot;#,##0"/>
    </ndxf>
  </rcc>
  <rcc rId="40223" sId="5" odxf="1" dxf="1">
    <nc r="BY94">
      <f>BX94-BU94</f>
    </nc>
    <odxf>
      <numFmt numFmtId="0" formatCode="General"/>
    </odxf>
    <ndxf>
      <numFmt numFmtId="165" formatCode="&quot;$&quot;#,##0"/>
    </ndxf>
  </rcc>
  <rcc rId="40224" sId="5" odxf="1" dxf="1">
    <nc r="BY95">
      <f>BX95-BU95</f>
    </nc>
    <odxf>
      <numFmt numFmtId="0" formatCode="General"/>
    </odxf>
    <ndxf>
      <numFmt numFmtId="165" formatCode="&quot;$&quot;#,##0"/>
    </ndxf>
  </rcc>
  <rcc rId="40225" sId="5" odxf="1" dxf="1">
    <nc r="BY96">
      <f>BX96-BU96</f>
    </nc>
    <odxf>
      <numFmt numFmtId="0" formatCode="General"/>
    </odxf>
    <ndxf>
      <numFmt numFmtId="165" formatCode="&quot;$&quot;#,##0"/>
    </ndxf>
  </rcc>
  <rcc rId="40226" sId="5" odxf="1" dxf="1">
    <nc r="BY97">
      <f>BX97-BU97</f>
    </nc>
    <odxf>
      <numFmt numFmtId="0" formatCode="General"/>
    </odxf>
    <ndxf>
      <numFmt numFmtId="165" formatCode="&quot;$&quot;#,##0"/>
    </ndxf>
  </rcc>
  <rcc rId="40227" sId="5" odxf="1" dxf="1">
    <nc r="BY98">
      <f>BX98-BU98</f>
    </nc>
    <odxf>
      <numFmt numFmtId="0" formatCode="General"/>
    </odxf>
    <ndxf>
      <numFmt numFmtId="165" formatCode="&quot;$&quot;#,##0"/>
    </ndxf>
  </rcc>
  <rcc rId="40228" sId="5" odxf="1" dxf="1">
    <nc r="BY99">
      <f>BX99-BU99</f>
    </nc>
    <odxf>
      <numFmt numFmtId="0" formatCode="General"/>
    </odxf>
    <ndxf>
      <numFmt numFmtId="165" formatCode="&quot;$&quot;#,##0"/>
    </ndxf>
  </rcc>
  <rcc rId="40229" sId="5" odxf="1" dxf="1">
    <nc r="BY100">
      <f>BX100-BU100</f>
    </nc>
    <odxf>
      <numFmt numFmtId="0" formatCode="General"/>
    </odxf>
    <ndxf>
      <numFmt numFmtId="165" formatCode="&quot;$&quot;#,##0"/>
    </ndxf>
  </rcc>
  <rcc rId="40230" sId="5" odxf="1" dxf="1">
    <nc r="BY101">
      <f>BX101-BU101</f>
    </nc>
    <odxf>
      <numFmt numFmtId="0" formatCode="General"/>
    </odxf>
    <ndxf>
      <numFmt numFmtId="165" formatCode="&quot;$&quot;#,##0"/>
    </ndxf>
  </rcc>
  <rcc rId="40231" sId="5" odxf="1" dxf="1">
    <nc r="BY102">
      <f>BX102-BU102</f>
    </nc>
    <odxf>
      <numFmt numFmtId="0" formatCode="General"/>
    </odxf>
    <ndxf>
      <numFmt numFmtId="165" formatCode="&quot;$&quot;#,##0"/>
    </ndxf>
  </rcc>
  <rcc rId="40232" sId="5" odxf="1" dxf="1">
    <nc r="BY103">
      <f>BX103-BU103</f>
    </nc>
    <odxf>
      <numFmt numFmtId="0" formatCode="General"/>
    </odxf>
    <ndxf>
      <numFmt numFmtId="165" formatCode="&quot;$&quot;#,##0"/>
    </ndxf>
  </rcc>
  <rcc rId="40233" sId="5" odxf="1" dxf="1">
    <nc r="BY104">
      <f>BX104-BU104</f>
    </nc>
    <odxf>
      <numFmt numFmtId="0" formatCode="General"/>
    </odxf>
    <ndxf>
      <numFmt numFmtId="165" formatCode="&quot;$&quot;#,##0"/>
    </ndxf>
  </rcc>
  <rcc rId="40234" sId="5" odxf="1" dxf="1">
    <nc r="BY105">
      <f>BX105-BU105</f>
    </nc>
    <odxf>
      <numFmt numFmtId="0" formatCode="General"/>
    </odxf>
    <ndxf>
      <numFmt numFmtId="165" formatCode="&quot;$&quot;#,##0"/>
    </ndxf>
  </rcc>
  <rcc rId="40235" sId="5" odxf="1" dxf="1">
    <nc r="BY106">
      <f>BX106-BU106</f>
    </nc>
    <odxf>
      <numFmt numFmtId="0" formatCode="General"/>
      <border outline="0">
        <bottom style="medium">
          <color indexed="64"/>
        </bottom>
      </border>
    </odxf>
    <ndxf>
      <numFmt numFmtId="165" formatCode="&quot;$&quot;#,##0"/>
      <border outline="0">
        <bottom/>
      </border>
    </ndxf>
  </rcc>
  <rcc rId="40236" sId="5" odxf="1" dxf="1">
    <nc r="BY107">
      <f>BX107-BU107</f>
    </nc>
    <odxf>
      <font>
        <b/>
      </font>
      <numFmt numFmtId="0" formatCode="General"/>
    </odxf>
    <ndxf>
      <font>
        <b val="0"/>
      </font>
      <numFmt numFmtId="165" formatCode="&quot;$&quot;#,##0"/>
    </ndxf>
  </rcc>
  <rcc rId="40237" sId="5" odxf="1" dxf="1">
    <nc r="BY118">
      <f>BX118-BU118</f>
    </nc>
    <odxf>
      <numFmt numFmtId="0" formatCode="General"/>
    </odxf>
    <ndxf>
      <numFmt numFmtId="165" formatCode="&quot;$&quot;#,##0"/>
    </ndxf>
  </rcc>
  <rcc rId="40238" sId="5" odxf="1" dxf="1">
    <nc r="BY119">
      <f>BX119-BU119</f>
    </nc>
    <odxf>
      <numFmt numFmtId="0" formatCode="General"/>
    </odxf>
    <ndxf>
      <numFmt numFmtId="165" formatCode="&quot;$&quot;#,##0"/>
    </ndxf>
  </rcc>
  <rcc rId="40239" sId="5" odxf="1" dxf="1">
    <nc r="BY120">
      <f>BX120-BU120</f>
    </nc>
    <odxf>
      <numFmt numFmtId="0" formatCode="General"/>
    </odxf>
    <ndxf>
      <numFmt numFmtId="165" formatCode="&quot;$&quot;#,##0"/>
    </ndxf>
  </rcc>
  <rcc rId="40240" sId="5" odxf="1" dxf="1">
    <nc r="BY121">
      <f>BX121-BU121</f>
    </nc>
    <odxf>
      <numFmt numFmtId="0" formatCode="General"/>
    </odxf>
    <ndxf>
      <numFmt numFmtId="165" formatCode="&quot;$&quot;#,##0"/>
    </ndxf>
  </rcc>
  <rcc rId="40241" sId="5" odxf="1" dxf="1">
    <nc r="BY122">
      <f>BX122-BU122</f>
    </nc>
    <odxf>
      <numFmt numFmtId="0" formatCode="General"/>
    </odxf>
    <ndxf>
      <numFmt numFmtId="165" formatCode="&quot;$&quot;#,##0"/>
    </ndxf>
  </rcc>
  <rcc rId="40242" sId="5" odxf="1" dxf="1">
    <nc r="BY123">
      <f>BX123-BU123</f>
    </nc>
    <odxf>
      <numFmt numFmtId="0" formatCode="General"/>
    </odxf>
    <ndxf>
      <numFmt numFmtId="165" formatCode="&quot;$&quot;#,##0"/>
    </ndxf>
  </rcc>
  <rcc rId="40243" sId="5" odxf="1" dxf="1">
    <nc r="BY124">
      <f>BX124-BU124</f>
    </nc>
    <odxf>
      <numFmt numFmtId="0" formatCode="General"/>
    </odxf>
    <ndxf>
      <numFmt numFmtId="165" formatCode="&quot;$&quot;#,##0"/>
    </ndxf>
  </rcc>
  <rcc rId="40244" sId="5" odxf="1" dxf="1">
    <nc r="BY125">
      <f>BX125-BU125</f>
    </nc>
    <odxf>
      <numFmt numFmtId="0" formatCode="General"/>
    </odxf>
    <ndxf>
      <numFmt numFmtId="165" formatCode="&quot;$&quot;#,##0"/>
    </ndxf>
  </rcc>
  <rcc rId="40245" sId="5" odxf="1" dxf="1">
    <nc r="BY126">
      <f>BX126-BU126</f>
    </nc>
    <odxf>
      <numFmt numFmtId="0" formatCode="General"/>
    </odxf>
    <ndxf>
      <numFmt numFmtId="165" formatCode="&quot;$&quot;#,##0"/>
    </ndxf>
  </rcc>
  <rcc rId="40246" sId="5" odxf="1" dxf="1">
    <nc r="BY127">
      <f>BX127-BU127</f>
    </nc>
    <odxf>
      <numFmt numFmtId="0" formatCode="General"/>
    </odxf>
    <ndxf>
      <numFmt numFmtId="165" formatCode="&quot;$&quot;#,##0"/>
    </ndxf>
  </rcc>
  <rcc rId="40247" sId="5" odxf="1" dxf="1">
    <nc r="BY128">
      <f>BX128-BU128</f>
    </nc>
    <odxf>
      <numFmt numFmtId="0" formatCode="General"/>
    </odxf>
    <ndxf>
      <numFmt numFmtId="165" formatCode="&quot;$&quot;#,##0"/>
    </ndxf>
  </rcc>
  <rcc rId="40248" sId="5" odxf="1" dxf="1">
    <nc r="BY129">
      <f>BX129-BU129</f>
    </nc>
    <odxf>
      <numFmt numFmtId="0" formatCode="General"/>
    </odxf>
    <ndxf>
      <numFmt numFmtId="165" formatCode="&quot;$&quot;#,##0"/>
    </ndxf>
  </rcc>
  <rcc rId="40249" sId="5" odxf="1" dxf="1">
    <nc r="BY130">
      <f>BX130-BU130</f>
    </nc>
    <odxf>
      <numFmt numFmtId="0" formatCode="General"/>
      <border outline="0">
        <bottom style="medium">
          <color indexed="64"/>
        </bottom>
      </border>
    </odxf>
    <ndxf>
      <numFmt numFmtId="165" formatCode="&quot;$&quot;#,##0"/>
      <border outline="0">
        <bottom/>
      </border>
    </ndxf>
  </rcc>
  <rcc rId="40250" sId="5" odxf="1" dxf="1">
    <nc r="BY131">
      <f>BX131-BU131</f>
    </nc>
    <odxf>
      <font>
        <b/>
      </font>
      <numFmt numFmtId="0" formatCode="General"/>
    </odxf>
    <ndxf>
      <font>
        <b val="0"/>
      </font>
      <numFmt numFmtId="165" formatCode="&quot;$&quot;#,##0"/>
    </ndxf>
  </rcc>
  <rcc rId="40251" sId="5" odxf="1" dxf="1">
    <nc r="BY144">
      <f>BX144-BU144</f>
    </nc>
    <odxf>
      <numFmt numFmtId="0" formatCode="General"/>
    </odxf>
    <ndxf>
      <numFmt numFmtId="165" formatCode="&quot;$&quot;#,##0"/>
    </ndxf>
  </rcc>
  <rcc rId="40252" sId="5" odxf="1" dxf="1">
    <nc r="BY145">
      <f>BX145-BU145</f>
    </nc>
    <odxf>
      <numFmt numFmtId="0" formatCode="General"/>
    </odxf>
    <ndxf>
      <numFmt numFmtId="165" formatCode="&quot;$&quot;#,##0"/>
    </ndxf>
  </rcc>
  <rcc rId="40253" sId="5" odxf="1" dxf="1">
    <nc r="BY146">
      <f>BX146-BU146</f>
    </nc>
    <odxf>
      <numFmt numFmtId="0" formatCode="General"/>
    </odxf>
    <ndxf>
      <numFmt numFmtId="165" formatCode="&quot;$&quot;#,##0"/>
    </ndxf>
  </rcc>
  <rcc rId="40254" sId="5" odxf="1" dxf="1">
    <nc r="BY147">
      <f>BX147-BU147</f>
    </nc>
    <odxf>
      <numFmt numFmtId="0" formatCode="General"/>
    </odxf>
    <ndxf>
      <numFmt numFmtId="165" formatCode="&quot;$&quot;#,##0"/>
    </ndxf>
  </rcc>
  <rcc rId="40255" sId="5" odxf="1" dxf="1">
    <nc r="BY148">
      <f>BX148-BU148</f>
    </nc>
    <odxf>
      <numFmt numFmtId="0" formatCode="General"/>
    </odxf>
    <ndxf>
      <numFmt numFmtId="165" formatCode="&quot;$&quot;#,##0"/>
    </ndxf>
  </rcc>
  <rcc rId="40256" sId="5" odxf="1" dxf="1">
    <nc r="BY149">
      <f>BX149-BU149</f>
    </nc>
    <odxf>
      <numFmt numFmtId="0" formatCode="General"/>
    </odxf>
    <ndxf>
      <numFmt numFmtId="165" formatCode="&quot;$&quot;#,##0"/>
    </ndxf>
  </rcc>
  <rcc rId="40257" sId="5" odxf="1" dxf="1">
    <nc r="BY150">
      <f>BX150-BU150</f>
    </nc>
    <odxf>
      <numFmt numFmtId="0" formatCode="General"/>
    </odxf>
    <ndxf>
      <numFmt numFmtId="165" formatCode="&quot;$&quot;#,##0"/>
    </ndxf>
  </rcc>
  <rcc rId="40258" sId="5" odxf="1" dxf="1">
    <nc r="BY151">
      <f>BX151-BU151</f>
    </nc>
    <odxf>
      <numFmt numFmtId="0" formatCode="General"/>
    </odxf>
    <ndxf>
      <numFmt numFmtId="165" formatCode="&quot;$&quot;#,##0"/>
    </ndxf>
  </rcc>
  <rcc rId="40259" sId="5" odxf="1" dxf="1">
    <nc r="BY152">
      <f>BX152-BU152</f>
    </nc>
    <odxf>
      <numFmt numFmtId="0" formatCode="General"/>
    </odxf>
    <ndxf>
      <numFmt numFmtId="165" formatCode="&quot;$&quot;#,##0"/>
    </ndxf>
  </rcc>
  <rcc rId="40260" sId="5" odxf="1" dxf="1">
    <nc r="BY153">
      <f>BX153-BU153</f>
    </nc>
    <odxf>
      <numFmt numFmtId="0" formatCode="General"/>
    </odxf>
    <ndxf>
      <numFmt numFmtId="165" formatCode="&quot;$&quot;#,##0"/>
    </ndxf>
  </rcc>
  <rcc rId="40261" sId="5" odxf="1" dxf="1">
    <nc r="BY154">
      <f>BX154-BU154</f>
    </nc>
    <odxf>
      <numFmt numFmtId="0" formatCode="General"/>
    </odxf>
    <ndxf>
      <numFmt numFmtId="165" formatCode="&quot;$&quot;#,##0"/>
    </ndxf>
  </rcc>
  <rcc rId="40262" sId="5" odxf="1" dxf="1">
    <nc r="BY155">
      <f>BX155-BU155</f>
    </nc>
    <odxf>
      <numFmt numFmtId="0" formatCode="General"/>
    </odxf>
    <ndxf>
      <numFmt numFmtId="165" formatCode="&quot;$&quot;#,##0"/>
    </ndxf>
  </rcc>
  <rcc rId="40263" sId="5" odxf="1" dxf="1">
    <nc r="BY156">
      <f>BX156-BU156</f>
    </nc>
    <odxf>
      <numFmt numFmtId="0" formatCode="General"/>
    </odxf>
    <ndxf>
      <numFmt numFmtId="165" formatCode="&quot;$&quot;#,##0"/>
    </ndxf>
  </rcc>
  <rcc rId="40264" sId="5" odxf="1" dxf="1">
    <nc r="BY157">
      <f>BX157-BU157</f>
    </nc>
    <odxf>
      <numFmt numFmtId="0" formatCode="General"/>
    </odxf>
    <ndxf>
      <numFmt numFmtId="165" formatCode="&quot;$&quot;#,##0"/>
    </ndxf>
  </rcc>
  <rcc rId="40265" sId="5" odxf="1" dxf="1">
    <nc r="BY158">
      <f>BX158-BU158</f>
    </nc>
    <odxf>
      <numFmt numFmtId="0" formatCode="General"/>
    </odxf>
    <ndxf>
      <numFmt numFmtId="165" formatCode="&quot;$&quot;#,##0"/>
    </ndxf>
  </rcc>
  <rcc rId="40266" sId="5" odxf="1" dxf="1">
    <nc r="BY159">
      <f>BX159-BU159</f>
    </nc>
    <odxf>
      <numFmt numFmtId="0" formatCode="General"/>
    </odxf>
    <ndxf>
      <numFmt numFmtId="165" formatCode="&quot;$&quot;#,##0"/>
    </ndxf>
  </rcc>
  <rcc rId="40267" sId="5" odxf="1" dxf="1">
    <nc r="BY160">
      <f>BX160-BU160</f>
    </nc>
    <odxf>
      <numFmt numFmtId="0" formatCode="General"/>
    </odxf>
    <ndxf>
      <numFmt numFmtId="165" formatCode="&quot;$&quot;#,##0"/>
    </ndxf>
  </rcc>
  <rcc rId="40268" sId="5" odxf="1" dxf="1">
    <nc r="BY161">
      <f>BX161-BU161</f>
    </nc>
    <odxf>
      <numFmt numFmtId="0" formatCode="General"/>
      <border outline="0">
        <bottom style="medium">
          <color indexed="64"/>
        </bottom>
      </border>
    </odxf>
    <ndxf>
      <numFmt numFmtId="165" formatCode="&quot;$&quot;#,##0"/>
      <border outline="0">
        <bottom/>
      </border>
    </ndxf>
  </rcc>
  <rcc rId="40269" sId="5" odxf="1" dxf="1">
    <nc r="BY162">
      <f>BX162-BU162</f>
    </nc>
    <odxf>
      <numFmt numFmtId="0" formatCode="General"/>
    </odxf>
    <ndxf>
      <numFmt numFmtId="165" formatCode="&quot;$&quot;#,##0"/>
    </ndxf>
  </rcc>
  <rcc rId="40270" sId="5" odxf="1" dxf="1">
    <nc r="BY163">
      <f>BX163-BU163</f>
    </nc>
    <odxf>
      <font>
        <b/>
      </font>
      <numFmt numFmtId="0" formatCode="General"/>
      <border outline="0">
        <top style="medium">
          <color indexed="64"/>
        </top>
      </border>
    </odxf>
    <ndxf>
      <font>
        <b val="0"/>
      </font>
      <numFmt numFmtId="165" formatCode="&quot;$&quot;#,##0"/>
      <border outline="0">
        <top/>
      </border>
    </ndxf>
  </rcc>
  <rcc rId="40271" sId="5" odxf="1" dxf="1">
    <nc r="BY176">
      <f>BX176-BU176</f>
    </nc>
    <odxf>
      <numFmt numFmtId="0" formatCode="General"/>
    </odxf>
    <ndxf>
      <numFmt numFmtId="165" formatCode="&quot;$&quot;#,##0"/>
    </ndxf>
  </rcc>
  <rcc rId="40272" sId="5" odxf="1" dxf="1">
    <nc r="BY177">
      <f>BX177-BU177</f>
    </nc>
    <odxf>
      <numFmt numFmtId="0" formatCode="General"/>
    </odxf>
    <ndxf>
      <numFmt numFmtId="165" formatCode="&quot;$&quot;#,##0"/>
    </ndxf>
  </rcc>
  <rcc rId="40273" sId="5" odxf="1" dxf="1">
    <nc r="BY178">
      <f>BX178-BU178</f>
    </nc>
    <odxf>
      <numFmt numFmtId="0" formatCode="General"/>
    </odxf>
    <ndxf>
      <numFmt numFmtId="165" formatCode="&quot;$&quot;#,##0"/>
    </ndxf>
  </rcc>
  <rcc rId="40274" sId="5" odxf="1" dxf="1">
    <nc r="BY179">
      <f>BX179-BU179</f>
    </nc>
    <odxf>
      <numFmt numFmtId="0" formatCode="General"/>
    </odxf>
    <ndxf>
      <numFmt numFmtId="165" formatCode="&quot;$&quot;#,##0"/>
    </ndxf>
  </rcc>
  <rcc rId="40275" sId="5" odxf="1" dxf="1">
    <nc r="BY180">
      <f>BX180-BU180</f>
    </nc>
    <odxf>
      <numFmt numFmtId="0" formatCode="General"/>
    </odxf>
    <ndxf>
      <numFmt numFmtId="165" formatCode="&quot;$&quot;#,##0"/>
    </ndxf>
  </rcc>
  <rcc rId="40276" sId="5" odxf="1" dxf="1">
    <nc r="BY181">
      <f>BX181-BU181</f>
    </nc>
    <odxf>
      <numFmt numFmtId="0" formatCode="General"/>
    </odxf>
    <ndxf>
      <numFmt numFmtId="165" formatCode="&quot;$&quot;#,##0"/>
    </ndxf>
  </rcc>
  <rcc rId="40277" sId="5" odxf="1" dxf="1">
    <nc r="BY182">
      <f>BX182-BU182</f>
    </nc>
    <odxf>
      <numFmt numFmtId="0" formatCode="General"/>
    </odxf>
    <ndxf>
      <numFmt numFmtId="165" formatCode="&quot;$&quot;#,##0"/>
    </ndxf>
  </rcc>
  <rcc rId="40278" sId="5" odxf="1" dxf="1">
    <nc r="BY183">
      <f>BX183-BU183</f>
    </nc>
    <odxf>
      <numFmt numFmtId="0" formatCode="General"/>
    </odxf>
    <ndxf>
      <numFmt numFmtId="165" formatCode="&quot;$&quot;#,##0"/>
    </ndxf>
  </rcc>
  <rcc rId="40279" sId="5" odxf="1" dxf="1">
    <nc r="BY184">
      <f>BX184-BU184</f>
    </nc>
    <odxf>
      <font>
        <b/>
      </font>
      <numFmt numFmtId="0" formatCode="General"/>
      <border outline="0">
        <top style="medium">
          <color indexed="64"/>
        </top>
      </border>
    </odxf>
    <ndxf>
      <font>
        <b val="0"/>
      </font>
      <numFmt numFmtId="165" formatCode="&quot;$&quot;#,##0"/>
      <border outline="0">
        <top/>
      </border>
    </ndxf>
  </rcc>
  <rcc rId="40280" sId="5" odxf="1" dxf="1">
    <nc r="BY194">
      <f>BX194-BU194</f>
    </nc>
    <odxf>
      <numFmt numFmtId="10" formatCode="&quot;$&quot;#,##0_);[Red]\(&quot;$&quot;#,##0\)"/>
    </odxf>
    <ndxf>
      <numFmt numFmtId="165" formatCode="&quot;$&quot;#,##0"/>
    </ndxf>
  </rcc>
  <rcc rId="40281" sId="5" odxf="1" dxf="1">
    <nc r="BY195">
      <f>BX195-BU195</f>
    </nc>
    <odxf>
      <numFmt numFmtId="0" formatCode="General"/>
    </odxf>
    <ndxf>
      <numFmt numFmtId="165" formatCode="&quot;$&quot;#,##0"/>
    </ndxf>
  </rcc>
  <rcc rId="40282" sId="5" odxf="1" dxf="1">
    <nc r="BY196">
      <f>BX196-BU196</f>
    </nc>
    <odxf>
      <numFmt numFmtId="0" formatCode="General"/>
    </odxf>
    <ndxf>
      <numFmt numFmtId="165" formatCode="&quot;$&quot;#,##0"/>
    </ndxf>
  </rcc>
  <rcc rId="40283" sId="5" odxf="1" dxf="1">
    <nc r="BY197">
      <f>BX197-BU197</f>
    </nc>
    <odxf>
      <numFmt numFmtId="0" formatCode="General"/>
    </odxf>
    <ndxf>
      <numFmt numFmtId="165" formatCode="&quot;$&quot;#,##0"/>
    </ndxf>
  </rcc>
  <rcc rId="40284" sId="5" odxf="1" dxf="1">
    <nc r="BY198">
      <f>BX198-BU198</f>
    </nc>
    <odxf>
      <numFmt numFmtId="0" formatCode="General"/>
    </odxf>
    <ndxf>
      <numFmt numFmtId="165" formatCode="&quot;$&quot;#,##0"/>
    </ndxf>
  </rcc>
  <rcc rId="40285" sId="5" odxf="1" dxf="1">
    <nc r="BY199">
      <f>BX199-BU199</f>
    </nc>
    <odxf>
      <numFmt numFmtId="0" formatCode="General"/>
    </odxf>
    <ndxf>
      <numFmt numFmtId="165" formatCode="&quot;$&quot;#,##0"/>
    </ndxf>
  </rcc>
  <rcc rId="40286" sId="5" odxf="1" dxf="1">
    <nc r="BY200">
      <f>BX200-BU200</f>
    </nc>
    <odxf>
      <numFmt numFmtId="0" formatCode="General"/>
    </odxf>
    <ndxf>
      <numFmt numFmtId="165" formatCode="&quot;$&quot;#,##0"/>
    </ndxf>
  </rcc>
  <rcc rId="40287" sId="5" odxf="1" dxf="1">
    <nc r="BY201">
      <f>BX201-BU201</f>
    </nc>
    <odxf>
      <numFmt numFmtId="0" formatCode="General"/>
    </odxf>
    <ndxf>
      <numFmt numFmtId="165" formatCode="&quot;$&quot;#,##0"/>
    </ndxf>
  </rcc>
  <rcc rId="40288" sId="5" odxf="1" dxf="1">
    <nc r="BY202">
      <f>BX202-BU202</f>
    </nc>
    <odxf>
      <numFmt numFmtId="0" formatCode="General"/>
    </odxf>
    <ndxf>
      <numFmt numFmtId="165" formatCode="&quot;$&quot;#,##0"/>
    </ndxf>
  </rcc>
  <rcc rId="40289" sId="5" odxf="1" dxf="1">
    <nc r="BY203">
      <f>BX203-BU203</f>
    </nc>
    <odxf>
      <numFmt numFmtId="0" formatCode="General"/>
    </odxf>
    <ndxf>
      <numFmt numFmtId="165" formatCode="&quot;$&quot;#,##0"/>
    </ndxf>
  </rcc>
  <rcc rId="40290" sId="5" odxf="1" dxf="1">
    <nc r="BY204">
      <f>BX204-BU204</f>
    </nc>
    <odxf>
      <numFmt numFmtId="0" formatCode="General"/>
    </odxf>
    <ndxf>
      <numFmt numFmtId="165" formatCode="&quot;$&quot;#,##0"/>
    </ndxf>
  </rcc>
  <rcc rId="40291" sId="5" odxf="1" dxf="1">
    <nc r="BY205">
      <f>BX205-BU205</f>
    </nc>
    <odxf>
      <numFmt numFmtId="0" formatCode="General"/>
    </odxf>
    <ndxf>
      <numFmt numFmtId="165" formatCode="&quot;$&quot;#,##0"/>
    </ndxf>
  </rcc>
  <rcc rId="40292" sId="5" odxf="1" dxf="1">
    <nc r="BY206">
      <f>BX206-BU206</f>
    </nc>
    <odxf>
      <numFmt numFmtId="0" formatCode="General"/>
    </odxf>
    <ndxf>
      <numFmt numFmtId="165" formatCode="&quot;$&quot;#,##0"/>
    </ndxf>
  </rcc>
  <rcc rId="40293" sId="5" odxf="1" dxf="1">
    <nc r="BY207">
      <f>BX207-BU207</f>
    </nc>
    <odxf>
      <numFmt numFmtId="0" formatCode="General"/>
    </odxf>
    <ndxf>
      <numFmt numFmtId="165" formatCode="&quot;$&quot;#,##0"/>
    </ndxf>
  </rcc>
  <rcc rId="40294" sId="5" odxf="1" dxf="1">
    <nc r="BY208">
      <f>BX208-BU208</f>
    </nc>
    <odxf>
      <numFmt numFmtId="0" formatCode="General"/>
    </odxf>
    <ndxf>
      <numFmt numFmtId="165" formatCode="&quot;$&quot;#,##0"/>
    </ndxf>
  </rcc>
  <rcc rId="40295" sId="5" odxf="1" dxf="1">
    <nc r="BY209">
      <f>BX209-BU209</f>
    </nc>
    <odxf>
      <numFmt numFmtId="10" formatCode="&quot;$&quot;#,##0_);[Red]\(&quot;$&quot;#,##0\)"/>
    </odxf>
    <ndxf>
      <numFmt numFmtId="165" formatCode="&quot;$&quot;#,##0"/>
    </ndxf>
  </rcc>
  <rcc rId="40296" sId="5" odxf="1" dxf="1">
    <nc r="BY210">
      <f>BX210-BU210</f>
    </nc>
    <odxf>
      <numFmt numFmtId="0" formatCode="General"/>
    </odxf>
    <ndxf>
      <numFmt numFmtId="165" formatCode="&quot;$&quot;#,##0"/>
    </ndxf>
  </rcc>
  <rcc rId="40297" sId="5" odxf="1" dxf="1">
    <nc r="BY211">
      <f>BX211-BU211</f>
    </nc>
    <odxf>
      <numFmt numFmtId="0" formatCode="General"/>
    </odxf>
    <ndxf>
      <numFmt numFmtId="165" formatCode="&quot;$&quot;#,##0"/>
    </ndxf>
  </rcc>
  <rcc rId="40298" sId="5" odxf="1" dxf="1">
    <nc r="BY212">
      <f>BX212-BU212</f>
    </nc>
    <odxf>
      <numFmt numFmtId="0" formatCode="General"/>
    </odxf>
    <ndxf>
      <numFmt numFmtId="165" formatCode="&quot;$&quot;#,##0"/>
    </ndxf>
  </rcc>
  <rcc rId="40299" sId="5" odxf="1" dxf="1">
    <nc r="BY213">
      <f>BX213-BU213</f>
    </nc>
    <odxf>
      <numFmt numFmtId="0" formatCode="General"/>
    </odxf>
    <ndxf>
      <numFmt numFmtId="165" formatCode="&quot;$&quot;#,##0"/>
    </ndxf>
  </rcc>
  <rcc rId="40300" sId="5" odxf="1" dxf="1">
    <nc r="BY214">
      <f>BX214-BU214</f>
    </nc>
    <odxf>
      <numFmt numFmtId="0" formatCode="General"/>
    </odxf>
    <ndxf>
      <numFmt numFmtId="165" formatCode="&quot;$&quot;#,##0"/>
    </ndxf>
  </rcc>
  <rcc rId="40301" sId="5" odxf="1" dxf="1">
    <nc r="BY215">
      <f>BX215-BU215</f>
    </nc>
    <odxf>
      <numFmt numFmtId="0" formatCode="General"/>
    </odxf>
    <ndxf>
      <numFmt numFmtId="165" formatCode="&quot;$&quot;#,##0"/>
    </ndxf>
  </rcc>
  <rcc rId="40302" sId="5" odxf="1" dxf="1">
    <nc r="BY216">
      <f>BX216-BU216</f>
    </nc>
    <odxf>
      <numFmt numFmtId="0" formatCode="General"/>
    </odxf>
    <ndxf>
      <numFmt numFmtId="165" formatCode="&quot;$&quot;#,##0"/>
    </ndxf>
  </rcc>
  <rcc rId="40303" sId="5" odxf="1" dxf="1">
    <nc r="BY217">
      <f>BX217-BU217</f>
    </nc>
    <odxf>
      <numFmt numFmtId="0" formatCode="General"/>
      <border outline="0">
        <bottom style="thin">
          <color indexed="64"/>
        </bottom>
      </border>
    </odxf>
    <ndxf>
      <numFmt numFmtId="165" formatCode="&quot;$&quot;#,##0"/>
      <border outline="0">
        <bottom/>
      </border>
    </ndxf>
  </rcc>
  <rcc rId="40304" sId="5" odxf="1" dxf="1">
    <nc r="BY218">
      <f>BX218-BU218</f>
    </nc>
    <odxf>
      <font>
        <b/>
      </font>
      <numFmt numFmtId="0" formatCode="General"/>
    </odxf>
    <ndxf>
      <font>
        <b val="0"/>
      </font>
      <numFmt numFmtId="165" formatCode="&quot;$&quot;#,##0"/>
    </ndxf>
  </rcc>
  <rcc rId="40305" sId="5" odxf="1" dxf="1">
    <nc r="BY239">
      <f>BX239-BU239</f>
    </nc>
    <odxf>
      <font>
        <b/>
      </font>
      <numFmt numFmtId="0" formatCode="General"/>
      <fill>
        <patternFill patternType="solid">
          <bgColor theme="0" tint="-0.249977111117893"/>
        </patternFill>
      </fill>
      <border outline="0">
        <top style="medium">
          <color indexed="64"/>
        </top>
      </border>
    </odxf>
    <ndxf>
      <font>
        <b val="0"/>
      </font>
      <numFmt numFmtId="165" formatCode="&quot;$&quot;#,##0"/>
      <fill>
        <patternFill patternType="none">
          <bgColor indexed="65"/>
        </patternFill>
      </fill>
      <border outline="0">
        <top/>
      </border>
    </ndxf>
  </rcc>
  <rfmt sheetId="5" sqref="BY239">
    <dxf>
      <fill>
        <patternFill patternType="solid">
          <bgColor theme="0" tint="-0.249977111117893"/>
        </patternFill>
      </fill>
    </dxf>
  </rfmt>
  <rcc rId="40306" sId="5" odxf="1" dxf="1">
    <nc r="BZ8">
      <f>BY8/BU8</f>
    </nc>
    <odxf>
      <numFmt numFmtId="0" formatCode="General"/>
    </odxf>
    <ndxf>
      <numFmt numFmtId="14" formatCode="0.00%"/>
    </ndxf>
  </rcc>
  <rcc rId="40307" sId="5" odxf="1" dxf="1">
    <nc r="BZ9">
      <f>BY9/BU9</f>
    </nc>
    <odxf>
      <numFmt numFmtId="0" formatCode="General"/>
    </odxf>
    <ndxf>
      <numFmt numFmtId="14" formatCode="0.00%"/>
    </ndxf>
  </rcc>
  <rcc rId="40308" sId="5" odxf="1" dxf="1">
    <nc r="BZ10">
      <f>BY10/BU10</f>
    </nc>
    <odxf>
      <numFmt numFmtId="0" formatCode="General"/>
    </odxf>
    <ndxf>
      <numFmt numFmtId="14" formatCode="0.00%"/>
    </ndxf>
  </rcc>
  <rcc rId="40309" sId="5" odxf="1" dxf="1">
    <nc r="BZ11">
      <f>BY11/BU11</f>
    </nc>
    <odxf>
      <numFmt numFmtId="0" formatCode="General"/>
    </odxf>
    <ndxf>
      <numFmt numFmtId="14" formatCode="0.00%"/>
    </ndxf>
  </rcc>
  <rcc rId="40310" sId="5" odxf="1" dxf="1">
    <nc r="BZ12">
      <f>BY12/BU12</f>
    </nc>
    <odxf>
      <numFmt numFmtId="0" formatCode="General"/>
    </odxf>
    <ndxf>
      <numFmt numFmtId="14" formatCode="0.00%"/>
    </ndxf>
  </rcc>
  <rcc rId="40311" sId="5" odxf="1" dxf="1">
    <nc r="BZ13">
      <f>BY13/BU13</f>
    </nc>
    <odxf>
      <numFmt numFmtId="0" formatCode="General"/>
    </odxf>
    <ndxf>
      <numFmt numFmtId="14" formatCode="0.00%"/>
    </ndxf>
  </rcc>
  <rcc rId="40312" sId="5" odxf="1" dxf="1">
    <nc r="BZ14">
      <f>BY14/BU14</f>
    </nc>
    <odxf>
      <numFmt numFmtId="0" formatCode="General"/>
    </odxf>
    <ndxf>
      <numFmt numFmtId="14" formatCode="0.00%"/>
    </ndxf>
  </rcc>
  <rcc rId="40313" sId="5" odxf="1" dxf="1">
    <nc r="BZ15">
      <f>BY15/BU15</f>
    </nc>
    <odxf>
      <numFmt numFmtId="0" formatCode="General"/>
    </odxf>
    <ndxf>
      <numFmt numFmtId="14" formatCode="0.00%"/>
    </ndxf>
  </rcc>
  <rcc rId="40314" sId="5" odxf="1" dxf="1">
    <nc r="BZ16">
      <f>BY16/BU16</f>
    </nc>
    <odxf>
      <numFmt numFmtId="0" formatCode="General"/>
    </odxf>
    <ndxf>
      <numFmt numFmtId="14" formatCode="0.00%"/>
    </ndxf>
  </rcc>
  <rcc rId="40315" sId="5" odxf="1" dxf="1">
    <nc r="BZ17">
      <f>BY17/BU17</f>
    </nc>
    <odxf>
      <numFmt numFmtId="0" formatCode="General"/>
    </odxf>
    <ndxf>
      <numFmt numFmtId="14" formatCode="0.00%"/>
    </ndxf>
  </rcc>
  <rcc rId="40316" sId="5" odxf="1" dxf="1">
    <nc r="BZ18">
      <f>BY18/BU18</f>
    </nc>
    <odxf>
      <numFmt numFmtId="0" formatCode="General"/>
    </odxf>
    <ndxf>
      <numFmt numFmtId="14" formatCode="0.00%"/>
    </ndxf>
  </rcc>
  <rcc rId="40317" sId="5" odxf="1" dxf="1">
    <nc r="BZ19">
      <f>BY19/BU19</f>
    </nc>
    <odxf>
      <numFmt numFmtId="0" formatCode="General"/>
    </odxf>
    <ndxf>
      <numFmt numFmtId="14" formatCode="0.00%"/>
    </ndxf>
  </rcc>
  <rcc rId="40318" sId="5" odxf="1" dxf="1">
    <nc r="BZ20">
      <f>BY20/BU20</f>
    </nc>
    <odxf>
      <numFmt numFmtId="0" formatCode="General"/>
    </odxf>
    <ndxf>
      <numFmt numFmtId="14" formatCode="0.00%"/>
    </ndxf>
  </rcc>
  <rcc rId="40319" sId="5" odxf="1" dxf="1">
    <nc r="BZ21">
      <f>BY21/BU21</f>
    </nc>
    <odxf>
      <numFmt numFmtId="0" formatCode="General"/>
    </odxf>
    <ndxf>
      <numFmt numFmtId="14" formatCode="0.00%"/>
    </ndxf>
  </rcc>
  <rcc rId="40320" sId="5" odxf="1" dxf="1">
    <nc r="BZ22">
      <f>BY22/BU22</f>
    </nc>
    <odxf>
      <numFmt numFmtId="0" formatCode="General"/>
    </odxf>
    <ndxf>
      <numFmt numFmtId="14" formatCode="0.00%"/>
    </ndxf>
  </rcc>
  <rcc rId="40321" sId="5" odxf="1" dxf="1">
    <nc r="BZ23">
      <f>BY23/BU23</f>
    </nc>
    <odxf>
      <numFmt numFmtId="0" formatCode="General"/>
    </odxf>
    <ndxf>
      <numFmt numFmtId="14" formatCode="0.00%"/>
    </ndxf>
  </rcc>
  <rcc rId="40322" sId="5" odxf="1" dxf="1">
    <nc r="BZ24">
      <f>BY24/BU24</f>
    </nc>
    <odxf>
      <numFmt numFmtId="0" formatCode="General"/>
    </odxf>
    <ndxf>
      <numFmt numFmtId="14" formatCode="0.00%"/>
    </ndxf>
  </rcc>
  <rcc rId="40323" sId="5" odxf="1" dxf="1">
    <nc r="BZ25">
      <f>BY25/BU25</f>
    </nc>
    <odxf>
      <numFmt numFmtId="0" formatCode="General"/>
    </odxf>
    <ndxf>
      <numFmt numFmtId="14" formatCode="0.00%"/>
    </ndxf>
  </rcc>
  <rcc rId="40324" sId="5" odxf="1" dxf="1">
    <nc r="BZ26">
      <f>BY26/BU26</f>
    </nc>
    <odxf>
      <numFmt numFmtId="0" formatCode="General"/>
    </odxf>
    <ndxf>
      <numFmt numFmtId="14" formatCode="0.00%"/>
    </ndxf>
  </rcc>
  <rcc rId="40325" sId="5" odxf="1" dxf="1">
    <nc r="BZ27">
      <f>BY27/BU27</f>
    </nc>
    <odxf>
      <numFmt numFmtId="0" formatCode="General"/>
    </odxf>
    <ndxf>
      <numFmt numFmtId="14" formatCode="0.00%"/>
    </ndxf>
  </rcc>
  <rcc rId="40326" sId="5" odxf="1" dxf="1">
    <nc r="BZ28">
      <f>BY28/BU28</f>
    </nc>
    <odxf>
      <numFmt numFmtId="0" formatCode="General"/>
    </odxf>
    <ndxf>
      <numFmt numFmtId="14" formatCode="0.00%"/>
    </ndxf>
  </rcc>
  <rcc rId="40327" sId="5" odxf="1" dxf="1">
    <nc r="BZ29">
      <f>BY29/BU29</f>
    </nc>
    <odxf>
      <numFmt numFmtId="0" formatCode="General"/>
    </odxf>
    <ndxf>
      <numFmt numFmtId="14" formatCode="0.00%"/>
    </ndxf>
  </rcc>
  <rcc rId="40328" sId="5" odxf="1" dxf="1">
    <nc r="BZ30">
      <f>BY30/BU30</f>
    </nc>
    <odxf>
      <numFmt numFmtId="0" formatCode="General"/>
    </odxf>
    <ndxf>
      <numFmt numFmtId="14" formatCode="0.00%"/>
    </ndxf>
  </rcc>
  <rcc rId="40329" sId="5" odxf="1" dxf="1">
    <nc r="BZ31">
      <f>BY31/BU31</f>
    </nc>
    <odxf>
      <numFmt numFmtId="0" formatCode="General"/>
    </odxf>
    <ndxf>
      <numFmt numFmtId="14" formatCode="0.00%"/>
    </ndxf>
  </rcc>
  <rcc rId="40330" sId="5" odxf="1" dxf="1">
    <nc r="BZ32">
      <f>BY32/BU32</f>
    </nc>
    <odxf>
      <numFmt numFmtId="0" formatCode="General"/>
    </odxf>
    <ndxf>
      <numFmt numFmtId="14" formatCode="0.00%"/>
    </ndxf>
  </rcc>
  <rcc rId="40331" sId="5" odxf="1" dxf="1">
    <nc r="BZ33">
      <f>BY33/BU33</f>
    </nc>
    <odxf>
      <numFmt numFmtId="0" formatCode="General"/>
    </odxf>
    <ndxf>
      <numFmt numFmtId="14" formatCode="0.00%"/>
    </ndxf>
  </rcc>
  <rcc rId="40332" sId="5" odxf="1" dxf="1">
    <nc r="BZ34">
      <f>BY34/BU34</f>
    </nc>
    <odxf>
      <numFmt numFmtId="0" formatCode="General"/>
    </odxf>
    <ndxf>
      <numFmt numFmtId="14" formatCode="0.00%"/>
    </ndxf>
  </rcc>
  <rcc rId="40333" sId="5" odxf="1" dxf="1">
    <nc r="BZ35">
      <f>BY35/BU35</f>
    </nc>
    <odxf>
      <numFmt numFmtId="0" formatCode="General"/>
    </odxf>
    <ndxf>
      <numFmt numFmtId="14" formatCode="0.00%"/>
    </ndxf>
  </rcc>
  <rcc rId="40334" sId="5" odxf="1" dxf="1">
    <nc r="BZ36">
      <f>BY36/BU36</f>
    </nc>
    <odxf>
      <numFmt numFmtId="0" formatCode="General"/>
    </odxf>
    <ndxf>
      <numFmt numFmtId="14" formatCode="0.00%"/>
    </ndxf>
  </rcc>
  <rcc rId="40335" sId="5" odxf="1" dxf="1">
    <nc r="BZ37">
      <f>BY37/BU37</f>
    </nc>
    <odxf>
      <numFmt numFmtId="0" formatCode="General"/>
    </odxf>
    <ndxf>
      <numFmt numFmtId="14" formatCode="0.00%"/>
    </ndxf>
  </rcc>
  <rcc rId="40336" sId="5" odxf="1" dxf="1">
    <nc r="BZ38">
      <f>BY38/BU38</f>
    </nc>
    <odxf>
      <numFmt numFmtId="0" formatCode="General"/>
    </odxf>
    <ndxf>
      <numFmt numFmtId="14" formatCode="0.00%"/>
    </ndxf>
  </rcc>
  <rcc rId="40337" sId="5" odxf="1" dxf="1">
    <nc r="BZ39">
      <f>BY39/BU39</f>
    </nc>
    <odxf>
      <numFmt numFmtId="0" formatCode="General"/>
      <border outline="0">
        <bottom style="thin">
          <color indexed="64"/>
        </bottom>
      </border>
    </odxf>
    <ndxf>
      <numFmt numFmtId="14" formatCode="0.00%"/>
      <border outline="0">
        <bottom/>
      </border>
    </ndxf>
  </rcc>
  <rcc rId="40338" sId="5" odxf="1" dxf="1">
    <nc r="BZ40">
      <f>BY40/BU40</f>
    </nc>
    <odxf>
      <font>
        <b/>
      </font>
      <numFmt numFmtId="0" formatCode="General"/>
    </odxf>
    <ndxf>
      <font>
        <b val="0"/>
      </font>
      <numFmt numFmtId="14" formatCode="0.00%"/>
    </ndxf>
  </rcc>
  <rcc rId="40339" sId="5" odxf="1" dxf="1">
    <nc r="BZ50">
      <f>BY50/BU50</f>
    </nc>
    <odxf>
      <numFmt numFmtId="0" formatCode="General"/>
    </odxf>
    <ndxf>
      <numFmt numFmtId="14" formatCode="0.00%"/>
    </ndxf>
  </rcc>
  <rcc rId="40340" sId="5" odxf="1" dxf="1">
    <nc r="BZ51">
      <f>BY51/BU51</f>
    </nc>
    <odxf>
      <numFmt numFmtId="0" formatCode="General"/>
    </odxf>
    <ndxf>
      <numFmt numFmtId="14" formatCode="0.00%"/>
    </ndxf>
  </rcc>
  <rcc rId="40341" sId="5" odxf="1" dxf="1">
    <nc r="BZ52">
      <f>BY52/BU52</f>
    </nc>
    <odxf>
      <numFmt numFmtId="0" formatCode="General"/>
    </odxf>
    <ndxf>
      <numFmt numFmtId="14" formatCode="0.00%"/>
    </ndxf>
  </rcc>
  <rcc rId="40342" sId="5" odxf="1" dxf="1">
    <nc r="BZ53">
      <f>BY53/BU53</f>
    </nc>
    <odxf>
      <numFmt numFmtId="0" formatCode="General"/>
    </odxf>
    <ndxf>
      <numFmt numFmtId="14" formatCode="0.00%"/>
    </ndxf>
  </rcc>
  <rcc rId="40343" sId="5" odxf="1" dxf="1">
    <nc r="BZ54">
      <f>BY54/BU54</f>
    </nc>
    <odxf>
      <numFmt numFmtId="0" formatCode="General"/>
    </odxf>
    <ndxf>
      <numFmt numFmtId="14" formatCode="0.00%"/>
    </ndxf>
  </rcc>
  <rcc rId="40344" sId="5" odxf="1" dxf="1">
    <nc r="BZ55">
      <f>BY55/BU55</f>
    </nc>
    <odxf>
      <numFmt numFmtId="0" formatCode="General"/>
    </odxf>
    <ndxf>
      <numFmt numFmtId="14" formatCode="0.00%"/>
    </ndxf>
  </rcc>
  <rcc rId="40345" sId="5" odxf="1" dxf="1">
    <nc r="BZ56">
      <f>BY56/BU56</f>
    </nc>
    <odxf>
      <numFmt numFmtId="0" formatCode="General"/>
    </odxf>
    <ndxf>
      <numFmt numFmtId="14" formatCode="0.00%"/>
    </ndxf>
  </rcc>
  <rcc rId="40346" sId="5" odxf="1" dxf="1">
    <nc r="BZ57">
      <f>BY57/BU57</f>
    </nc>
    <odxf>
      <numFmt numFmtId="0" formatCode="General"/>
    </odxf>
    <ndxf>
      <numFmt numFmtId="14" formatCode="0.00%"/>
    </ndxf>
  </rcc>
  <rcc rId="40347" sId="5" odxf="1" dxf="1">
    <nc r="BZ58">
      <f>BY58/BU58</f>
    </nc>
    <odxf>
      <numFmt numFmtId="0" formatCode="General"/>
    </odxf>
    <ndxf>
      <numFmt numFmtId="14" formatCode="0.00%"/>
    </ndxf>
  </rcc>
  <rcc rId="40348" sId="5" odxf="1" dxf="1">
    <nc r="BZ59">
      <f>BY59/BU59</f>
    </nc>
    <odxf>
      <numFmt numFmtId="0" formatCode="General"/>
    </odxf>
    <ndxf>
      <numFmt numFmtId="14" formatCode="0.00%"/>
    </ndxf>
  </rcc>
  <rcc rId="40349" sId="5" odxf="1" dxf="1">
    <nc r="BZ60">
      <f>BY60/BU60</f>
    </nc>
    <odxf>
      <numFmt numFmtId="0" formatCode="General"/>
    </odxf>
    <ndxf>
      <numFmt numFmtId="14" formatCode="0.00%"/>
    </ndxf>
  </rcc>
  <rcc rId="40350" sId="5" odxf="1" dxf="1">
    <nc r="BZ61">
      <f>BY61/BU61</f>
    </nc>
    <odxf>
      <numFmt numFmtId="0" formatCode="General"/>
    </odxf>
    <ndxf>
      <numFmt numFmtId="14" formatCode="0.00%"/>
    </ndxf>
  </rcc>
  <rcc rId="40351" sId="5" odxf="1" dxf="1">
    <nc r="BZ62">
      <f>BY62/BU62</f>
    </nc>
    <odxf>
      <numFmt numFmtId="0" formatCode="General"/>
    </odxf>
    <ndxf>
      <numFmt numFmtId="14" formatCode="0.00%"/>
    </ndxf>
  </rcc>
  <rcc rId="40352" sId="5" odxf="1" dxf="1">
    <nc r="BZ63">
      <f>BY63/BU63</f>
    </nc>
    <odxf>
      <numFmt numFmtId="0" formatCode="General"/>
    </odxf>
    <ndxf>
      <numFmt numFmtId="14" formatCode="0.00%"/>
    </ndxf>
  </rcc>
  <rcc rId="40353" sId="5" odxf="1" dxf="1">
    <nc r="BZ64">
      <f>BY64/BU64</f>
    </nc>
    <odxf>
      <numFmt numFmtId="0" formatCode="General"/>
    </odxf>
    <ndxf>
      <numFmt numFmtId="14" formatCode="0.00%"/>
    </ndxf>
  </rcc>
  <rcc rId="40354" sId="5" odxf="1" dxf="1">
    <nc r="BZ65">
      <f>BY65/BU65</f>
    </nc>
    <odxf>
      <numFmt numFmtId="0" formatCode="General"/>
    </odxf>
    <ndxf>
      <numFmt numFmtId="14" formatCode="0.00%"/>
    </ndxf>
  </rcc>
  <rcc rId="40355" sId="5" odxf="1" dxf="1">
    <nc r="BZ66">
      <f>BY66/BU66</f>
    </nc>
    <odxf>
      <numFmt numFmtId="0" formatCode="General"/>
    </odxf>
    <ndxf>
      <numFmt numFmtId="14" formatCode="0.00%"/>
    </ndxf>
  </rcc>
  <rcc rId="40356" sId="5" odxf="1" dxf="1">
    <nc r="BZ67">
      <f>BY67/BU67</f>
    </nc>
    <odxf>
      <numFmt numFmtId="0" formatCode="General"/>
    </odxf>
    <ndxf>
      <numFmt numFmtId="14" formatCode="0.00%"/>
    </ndxf>
  </rcc>
  <rcc rId="40357" sId="5" odxf="1" dxf="1">
    <nc r="BZ68">
      <f>BY68/BU68</f>
    </nc>
    <odxf>
      <numFmt numFmtId="0" formatCode="General"/>
    </odxf>
    <ndxf>
      <numFmt numFmtId="14" formatCode="0.00%"/>
    </ndxf>
  </rcc>
  <rcc rId="40358" sId="5" odxf="1" dxf="1">
    <nc r="BZ69">
      <f>BY69/BU69</f>
    </nc>
    <odxf>
      <numFmt numFmtId="0" formatCode="General"/>
    </odxf>
    <ndxf>
      <numFmt numFmtId="14" formatCode="0.00%"/>
    </ndxf>
  </rcc>
  <rcc rId="40359" sId="5" odxf="1" dxf="1">
    <nc r="BZ70">
      <f>BY70/BU70</f>
    </nc>
    <odxf>
      <numFmt numFmtId="0" formatCode="General"/>
    </odxf>
    <ndxf>
      <numFmt numFmtId="14" formatCode="0.00%"/>
    </ndxf>
  </rcc>
  <rcc rId="40360" sId="5" odxf="1" dxf="1">
    <nc r="BZ71">
      <f>BY71/BU71</f>
    </nc>
    <odxf>
      <numFmt numFmtId="0" formatCode="General"/>
    </odxf>
    <ndxf>
      <numFmt numFmtId="14" formatCode="0.00%"/>
    </ndxf>
  </rcc>
  <rcc rId="40361" sId="5" odxf="1" dxf="1">
    <nc r="BZ72">
      <f>BY72/BU72</f>
    </nc>
    <odxf>
      <numFmt numFmtId="0" formatCode="General"/>
      <border outline="0">
        <bottom style="medium">
          <color indexed="64"/>
        </bottom>
      </border>
    </odxf>
    <ndxf>
      <numFmt numFmtId="14" formatCode="0.00%"/>
      <border outline="0">
        <bottom/>
      </border>
    </ndxf>
  </rcc>
  <rcc rId="40362" sId="5" odxf="1" dxf="1">
    <nc r="BZ73">
      <f>BY73/BU73</f>
    </nc>
    <odxf>
      <font>
        <b/>
      </font>
      <numFmt numFmtId="0" formatCode="General"/>
    </odxf>
    <ndxf>
      <font>
        <b val="0"/>
      </font>
      <numFmt numFmtId="14" formatCode="0.00%"/>
    </ndxf>
  </rcc>
  <rcc rId="40363" sId="5" odxf="1" dxf="1">
    <nc r="BZ84">
      <f>BY84/BU84</f>
    </nc>
    <odxf>
      <numFmt numFmtId="0" formatCode="General"/>
    </odxf>
    <ndxf>
      <numFmt numFmtId="14" formatCode="0.00%"/>
    </ndxf>
  </rcc>
  <rcc rId="40364" sId="5" odxf="1" dxf="1">
    <nc r="BZ85">
      <f>BY85/BU85</f>
    </nc>
    <odxf>
      <numFmt numFmtId="0" formatCode="General"/>
    </odxf>
    <ndxf>
      <numFmt numFmtId="14" formatCode="0.00%"/>
    </ndxf>
  </rcc>
  <rcc rId="40365" sId="5" odxf="1" dxf="1">
    <nc r="BZ86">
      <f>BY86/BU86</f>
    </nc>
    <odxf>
      <numFmt numFmtId="0" formatCode="General"/>
    </odxf>
    <ndxf>
      <numFmt numFmtId="14" formatCode="0.00%"/>
    </ndxf>
  </rcc>
  <rcc rId="40366" sId="5" odxf="1" dxf="1">
    <nc r="BZ87">
      <f>BY87/BU87</f>
    </nc>
    <odxf>
      <numFmt numFmtId="0" formatCode="General"/>
    </odxf>
    <ndxf>
      <numFmt numFmtId="14" formatCode="0.00%"/>
    </ndxf>
  </rcc>
  <rcc rId="40367" sId="5" odxf="1" dxf="1">
    <nc r="BZ88">
      <f>BY88/BU88</f>
    </nc>
    <odxf>
      <numFmt numFmtId="0" formatCode="General"/>
    </odxf>
    <ndxf>
      <numFmt numFmtId="14" formatCode="0.00%"/>
    </ndxf>
  </rcc>
  <rcc rId="40368" sId="5" odxf="1" dxf="1">
    <nc r="BZ89">
      <f>BY89/BU89</f>
    </nc>
    <odxf>
      <numFmt numFmtId="0" formatCode="General"/>
    </odxf>
    <ndxf>
      <numFmt numFmtId="14" formatCode="0.00%"/>
    </ndxf>
  </rcc>
  <rcc rId="40369" sId="5" odxf="1" dxf="1">
    <nc r="BZ90">
      <f>BY90/BU90</f>
    </nc>
    <odxf>
      <numFmt numFmtId="0" formatCode="General"/>
    </odxf>
    <ndxf>
      <numFmt numFmtId="14" formatCode="0.00%"/>
    </ndxf>
  </rcc>
  <rcc rId="40370" sId="5" odxf="1" dxf="1">
    <nc r="BZ91">
      <f>BY91/BU91</f>
    </nc>
    <odxf>
      <numFmt numFmtId="0" formatCode="General"/>
    </odxf>
    <ndxf>
      <numFmt numFmtId="14" formatCode="0.00%"/>
    </ndxf>
  </rcc>
  <rcc rId="40371" sId="5" odxf="1" dxf="1">
    <nc r="BZ92">
      <f>BY92/BU92</f>
    </nc>
    <odxf>
      <numFmt numFmtId="0" formatCode="General"/>
    </odxf>
    <ndxf>
      <numFmt numFmtId="14" formatCode="0.00%"/>
    </ndxf>
  </rcc>
  <rcc rId="40372" sId="5" odxf="1" dxf="1">
    <nc r="BZ93">
      <f>BY93/BU93</f>
    </nc>
    <odxf>
      <numFmt numFmtId="0" formatCode="General"/>
    </odxf>
    <ndxf>
      <numFmt numFmtId="14" formatCode="0.00%"/>
    </ndxf>
  </rcc>
  <rcc rId="40373" sId="5" odxf="1" dxf="1">
    <nc r="BZ94">
      <f>BY94/BU94</f>
    </nc>
    <odxf>
      <numFmt numFmtId="0" formatCode="General"/>
    </odxf>
    <ndxf>
      <numFmt numFmtId="14" formatCode="0.00%"/>
    </ndxf>
  </rcc>
  <rcc rId="40374" sId="5" odxf="1" dxf="1">
    <nc r="BZ95">
      <f>BY95/BU95</f>
    </nc>
    <odxf>
      <numFmt numFmtId="0" formatCode="General"/>
    </odxf>
    <ndxf>
      <numFmt numFmtId="14" formatCode="0.00%"/>
    </ndxf>
  </rcc>
  <rcc rId="40375" sId="5" odxf="1" dxf="1">
    <nc r="BZ96">
      <f>BY96/BU96</f>
    </nc>
    <odxf>
      <numFmt numFmtId="0" formatCode="General"/>
    </odxf>
    <ndxf>
      <numFmt numFmtId="14" formatCode="0.00%"/>
    </ndxf>
  </rcc>
  <rcc rId="40376" sId="5" odxf="1" dxf="1">
    <nc r="BZ97">
      <f>BY97/BU97</f>
    </nc>
    <odxf>
      <numFmt numFmtId="0" formatCode="General"/>
    </odxf>
    <ndxf>
      <numFmt numFmtId="14" formatCode="0.00%"/>
    </ndxf>
  </rcc>
  <rcc rId="40377" sId="5" odxf="1" dxf="1">
    <nc r="BZ98">
      <f>BY98/BU98</f>
    </nc>
    <odxf>
      <numFmt numFmtId="0" formatCode="General"/>
    </odxf>
    <ndxf>
      <numFmt numFmtId="14" formatCode="0.00%"/>
    </ndxf>
  </rcc>
  <rcc rId="40378" sId="5" odxf="1" dxf="1">
    <nc r="BZ99">
      <f>BY99/BU99</f>
    </nc>
    <odxf>
      <numFmt numFmtId="0" formatCode="General"/>
    </odxf>
    <ndxf>
      <numFmt numFmtId="14" formatCode="0.00%"/>
    </ndxf>
  </rcc>
  <rcc rId="40379" sId="5" odxf="1" dxf="1">
    <nc r="BZ100">
      <f>BY100/BU100</f>
    </nc>
    <odxf>
      <numFmt numFmtId="0" formatCode="General"/>
    </odxf>
    <ndxf>
      <numFmt numFmtId="14" formatCode="0.00%"/>
    </ndxf>
  </rcc>
  <rcc rId="40380" sId="5" odxf="1" dxf="1">
    <nc r="BZ101">
      <f>BY101/BU101</f>
    </nc>
    <odxf>
      <numFmt numFmtId="0" formatCode="General"/>
    </odxf>
    <ndxf>
      <numFmt numFmtId="14" formatCode="0.00%"/>
    </ndxf>
  </rcc>
  <rcc rId="40381" sId="5" odxf="1" dxf="1">
    <nc r="BZ102">
      <f>BY102/BU102</f>
    </nc>
    <odxf>
      <numFmt numFmtId="0" formatCode="General"/>
    </odxf>
    <ndxf>
      <numFmt numFmtId="14" formatCode="0.00%"/>
    </ndxf>
  </rcc>
  <rcc rId="40382" sId="5" odxf="1" dxf="1">
    <nc r="BZ103">
      <f>BY103/BU103</f>
    </nc>
    <odxf>
      <numFmt numFmtId="0" formatCode="General"/>
    </odxf>
    <ndxf>
      <numFmt numFmtId="14" formatCode="0.00%"/>
    </ndxf>
  </rcc>
  <rcc rId="40383" sId="5" odxf="1" dxf="1">
    <nc r="BZ104">
      <f>BY104/BU104</f>
    </nc>
    <odxf>
      <numFmt numFmtId="0" formatCode="General"/>
    </odxf>
    <ndxf>
      <numFmt numFmtId="14" formatCode="0.00%"/>
    </ndxf>
  </rcc>
  <rcc rId="40384" sId="5" odxf="1" dxf="1">
    <nc r="BZ105">
      <f>BY105/BU105</f>
    </nc>
    <odxf>
      <numFmt numFmtId="0" formatCode="General"/>
    </odxf>
    <ndxf>
      <numFmt numFmtId="14" formatCode="0.00%"/>
    </ndxf>
  </rcc>
  <rcc rId="40385" sId="5" odxf="1" dxf="1">
    <nc r="BZ106">
      <f>BY106/BU106</f>
    </nc>
    <odxf>
      <numFmt numFmtId="0" formatCode="General"/>
      <border outline="0">
        <bottom style="medium">
          <color indexed="64"/>
        </bottom>
      </border>
    </odxf>
    <ndxf>
      <numFmt numFmtId="14" formatCode="0.00%"/>
      <border outline="0">
        <bottom/>
      </border>
    </ndxf>
  </rcc>
  <rcc rId="40386" sId="5" odxf="1" dxf="1">
    <nc r="BZ107">
      <f>BY107/BU107</f>
    </nc>
    <odxf>
      <font>
        <b/>
      </font>
      <numFmt numFmtId="0" formatCode="General"/>
    </odxf>
    <ndxf>
      <font>
        <b val="0"/>
      </font>
      <numFmt numFmtId="14" formatCode="0.00%"/>
    </ndxf>
  </rcc>
  <rcc rId="40387" sId="5" odxf="1" dxf="1">
    <nc r="BZ118">
      <f>BY118/BU118</f>
    </nc>
    <odxf>
      <numFmt numFmtId="0" formatCode="General"/>
    </odxf>
    <ndxf>
      <numFmt numFmtId="14" formatCode="0.00%"/>
    </ndxf>
  </rcc>
  <rcc rId="40388" sId="5" odxf="1" dxf="1">
    <nc r="BZ119">
      <f>BY119/BU119</f>
    </nc>
    <odxf>
      <numFmt numFmtId="0" formatCode="General"/>
    </odxf>
    <ndxf>
      <numFmt numFmtId="14" formatCode="0.00%"/>
    </ndxf>
  </rcc>
  <rcc rId="40389" sId="5" odxf="1" dxf="1">
    <nc r="BZ120">
      <f>BY120/BU120</f>
    </nc>
    <odxf>
      <numFmt numFmtId="0" formatCode="General"/>
    </odxf>
    <ndxf>
      <numFmt numFmtId="14" formatCode="0.00%"/>
    </ndxf>
  </rcc>
  <rcc rId="40390" sId="5" odxf="1" dxf="1">
    <nc r="BZ121">
      <f>BY121/BU121</f>
    </nc>
    <odxf>
      <numFmt numFmtId="0" formatCode="General"/>
    </odxf>
    <ndxf>
      <numFmt numFmtId="14" formatCode="0.00%"/>
    </ndxf>
  </rcc>
  <rcc rId="40391" sId="5" odxf="1" dxf="1">
    <nc r="BZ122">
      <f>BY122/BU122</f>
    </nc>
    <odxf>
      <numFmt numFmtId="0" formatCode="General"/>
    </odxf>
    <ndxf>
      <numFmt numFmtId="14" formatCode="0.00%"/>
    </ndxf>
  </rcc>
  <rcc rId="40392" sId="5" odxf="1" dxf="1">
    <nc r="BZ123">
      <f>BY123/BU123</f>
    </nc>
    <odxf>
      <numFmt numFmtId="0" formatCode="General"/>
    </odxf>
    <ndxf>
      <numFmt numFmtId="14" formatCode="0.00%"/>
    </ndxf>
  </rcc>
  <rcc rId="40393" sId="5" odxf="1" dxf="1">
    <nc r="BZ124">
      <f>BY124/BU124</f>
    </nc>
    <odxf>
      <numFmt numFmtId="0" formatCode="General"/>
    </odxf>
    <ndxf>
      <numFmt numFmtId="14" formatCode="0.00%"/>
    </ndxf>
  </rcc>
  <rcc rId="40394" sId="5" odxf="1" dxf="1">
    <nc r="BZ125">
      <f>BY125/BU125</f>
    </nc>
    <odxf>
      <numFmt numFmtId="0" formatCode="General"/>
    </odxf>
    <ndxf>
      <numFmt numFmtId="14" formatCode="0.00%"/>
    </ndxf>
  </rcc>
  <rcc rId="40395" sId="5" odxf="1" dxf="1">
    <nc r="BZ126">
      <f>BY126/BU126</f>
    </nc>
    <odxf>
      <numFmt numFmtId="0" formatCode="General"/>
    </odxf>
    <ndxf>
      <numFmt numFmtId="14" formatCode="0.00%"/>
    </ndxf>
  </rcc>
  <rcc rId="40396" sId="5" odxf="1" dxf="1">
    <nc r="BZ127">
      <f>BY127/BU127</f>
    </nc>
    <odxf>
      <numFmt numFmtId="0" formatCode="General"/>
    </odxf>
    <ndxf>
      <numFmt numFmtId="14" formatCode="0.00%"/>
    </ndxf>
  </rcc>
  <rcc rId="40397" sId="5" odxf="1" dxf="1">
    <nc r="BZ128">
      <f>BY128/BU128</f>
    </nc>
    <odxf>
      <numFmt numFmtId="0" formatCode="General"/>
    </odxf>
    <ndxf>
      <numFmt numFmtId="14" formatCode="0.00%"/>
    </ndxf>
  </rcc>
  <rcc rId="40398" sId="5" odxf="1" dxf="1">
    <nc r="BZ129">
      <f>BY129/BU129</f>
    </nc>
    <odxf>
      <numFmt numFmtId="0" formatCode="General"/>
    </odxf>
    <ndxf>
      <numFmt numFmtId="14" formatCode="0.00%"/>
    </ndxf>
  </rcc>
  <rcc rId="40399" sId="5" odxf="1" dxf="1">
    <nc r="BZ130">
      <f>BY130/BU130</f>
    </nc>
    <odxf>
      <numFmt numFmtId="0" formatCode="General"/>
      <border outline="0">
        <bottom style="medium">
          <color indexed="64"/>
        </bottom>
      </border>
    </odxf>
    <ndxf>
      <numFmt numFmtId="14" formatCode="0.00%"/>
      <border outline="0">
        <bottom/>
      </border>
    </ndxf>
  </rcc>
  <rcc rId="40400" sId="5" odxf="1" dxf="1">
    <nc r="BZ131">
      <f>BY131/BU131</f>
    </nc>
    <odxf>
      <font>
        <b/>
      </font>
      <numFmt numFmtId="0" formatCode="General"/>
    </odxf>
    <ndxf>
      <font>
        <b val="0"/>
      </font>
      <numFmt numFmtId="14" formatCode="0.00%"/>
    </ndxf>
  </rcc>
  <rcc rId="40401" sId="5" odxf="1" dxf="1">
    <nc r="BZ144">
      <f>BY144/BU144</f>
    </nc>
    <odxf>
      <numFmt numFmtId="0" formatCode="General"/>
    </odxf>
    <ndxf>
      <numFmt numFmtId="14" formatCode="0.00%"/>
    </ndxf>
  </rcc>
  <rcc rId="40402" sId="5" odxf="1" dxf="1">
    <nc r="BZ145">
      <f>BY145/BU145</f>
    </nc>
    <odxf>
      <numFmt numFmtId="0" formatCode="General"/>
    </odxf>
    <ndxf>
      <numFmt numFmtId="14" formatCode="0.00%"/>
    </ndxf>
  </rcc>
  <rcc rId="40403" sId="5" odxf="1" dxf="1">
    <nc r="BZ146">
      <f>BY146/BU146</f>
    </nc>
    <odxf>
      <numFmt numFmtId="0" formatCode="General"/>
    </odxf>
    <ndxf>
      <numFmt numFmtId="14" formatCode="0.00%"/>
    </ndxf>
  </rcc>
  <rcc rId="40404" sId="5" odxf="1" dxf="1">
    <nc r="BZ147">
      <f>BY147/BU147</f>
    </nc>
    <odxf>
      <numFmt numFmtId="0" formatCode="General"/>
    </odxf>
    <ndxf>
      <numFmt numFmtId="14" formatCode="0.00%"/>
    </ndxf>
  </rcc>
  <rcc rId="40405" sId="5" odxf="1" dxf="1">
    <nc r="BZ148">
      <f>BY148/BU148</f>
    </nc>
    <odxf>
      <numFmt numFmtId="0" formatCode="General"/>
    </odxf>
    <ndxf>
      <numFmt numFmtId="14" formatCode="0.00%"/>
    </ndxf>
  </rcc>
  <rcc rId="40406" sId="5" odxf="1" dxf="1">
    <nc r="BZ149">
      <f>BY149/BU149</f>
    </nc>
    <odxf>
      <numFmt numFmtId="0" formatCode="General"/>
    </odxf>
    <ndxf>
      <numFmt numFmtId="14" formatCode="0.00%"/>
    </ndxf>
  </rcc>
  <rcc rId="40407" sId="5" odxf="1" dxf="1">
    <nc r="BZ150">
      <f>BY150/BU150</f>
    </nc>
    <odxf>
      <numFmt numFmtId="0" formatCode="General"/>
    </odxf>
    <ndxf>
      <numFmt numFmtId="14" formatCode="0.00%"/>
    </ndxf>
  </rcc>
  <rcc rId="40408" sId="5" odxf="1" dxf="1">
    <nc r="BZ151">
      <f>BY151/BU151</f>
    </nc>
    <odxf>
      <numFmt numFmtId="0" formatCode="General"/>
    </odxf>
    <ndxf>
      <numFmt numFmtId="14" formatCode="0.00%"/>
    </ndxf>
  </rcc>
  <rcc rId="40409" sId="5" odxf="1" dxf="1">
    <nc r="BZ152">
      <f>BY152/BU152</f>
    </nc>
    <odxf>
      <numFmt numFmtId="0" formatCode="General"/>
    </odxf>
    <ndxf>
      <numFmt numFmtId="14" formatCode="0.00%"/>
    </ndxf>
  </rcc>
  <rcc rId="40410" sId="5" odxf="1" dxf="1">
    <nc r="BZ153">
      <f>BY153/BU153</f>
    </nc>
    <odxf>
      <numFmt numFmtId="0" formatCode="General"/>
    </odxf>
    <ndxf>
      <numFmt numFmtId="14" formatCode="0.00%"/>
    </ndxf>
  </rcc>
  <rcc rId="40411" sId="5" odxf="1" dxf="1">
    <nc r="BZ154">
      <f>BY154/BU154</f>
    </nc>
    <odxf>
      <numFmt numFmtId="0" formatCode="General"/>
    </odxf>
    <ndxf>
      <numFmt numFmtId="14" formatCode="0.00%"/>
    </ndxf>
  </rcc>
  <rcc rId="40412" sId="5" odxf="1" dxf="1">
    <nc r="BZ155">
      <f>BY155/BU155</f>
    </nc>
    <odxf>
      <numFmt numFmtId="0" formatCode="General"/>
    </odxf>
    <ndxf>
      <numFmt numFmtId="14" formatCode="0.00%"/>
    </ndxf>
  </rcc>
  <rcc rId="40413" sId="5" odxf="1" dxf="1">
    <nc r="BZ156">
      <f>BY156/BU156</f>
    </nc>
    <odxf>
      <numFmt numFmtId="0" formatCode="General"/>
    </odxf>
    <ndxf>
      <numFmt numFmtId="14" formatCode="0.00%"/>
    </ndxf>
  </rcc>
  <rcc rId="40414" sId="5" odxf="1" dxf="1">
    <nc r="BZ157">
      <f>BY157/BU157</f>
    </nc>
    <odxf>
      <numFmt numFmtId="0" formatCode="General"/>
    </odxf>
    <ndxf>
      <numFmt numFmtId="14" formatCode="0.00%"/>
    </ndxf>
  </rcc>
  <rcc rId="40415" sId="5" odxf="1" dxf="1">
    <nc r="BZ158">
      <f>BY158/BU158</f>
    </nc>
    <odxf>
      <numFmt numFmtId="0" formatCode="General"/>
    </odxf>
    <ndxf>
      <numFmt numFmtId="14" formatCode="0.00%"/>
    </ndxf>
  </rcc>
  <rcc rId="40416" sId="5" odxf="1" dxf="1">
    <nc r="BZ159">
      <f>BY159/BU159</f>
    </nc>
    <odxf>
      <numFmt numFmtId="0" formatCode="General"/>
    </odxf>
    <ndxf>
      <numFmt numFmtId="14" formatCode="0.00%"/>
    </ndxf>
  </rcc>
  <rcc rId="40417" sId="5" odxf="1" dxf="1">
    <nc r="BZ160">
      <f>BY160/BU160</f>
    </nc>
    <odxf>
      <numFmt numFmtId="0" formatCode="General"/>
    </odxf>
    <ndxf>
      <numFmt numFmtId="14" formatCode="0.00%"/>
    </ndxf>
  </rcc>
  <rcc rId="40418" sId="5" odxf="1" dxf="1">
    <nc r="BZ161">
      <f>BY161/BU161</f>
    </nc>
    <odxf>
      <numFmt numFmtId="0" formatCode="General"/>
      <border outline="0">
        <bottom style="medium">
          <color indexed="64"/>
        </bottom>
      </border>
    </odxf>
    <ndxf>
      <numFmt numFmtId="14" formatCode="0.00%"/>
      <border outline="0">
        <bottom/>
      </border>
    </ndxf>
  </rcc>
  <rcc rId="40419" sId="5" odxf="1" dxf="1">
    <nc r="BZ162">
      <f>BY162/BU162</f>
    </nc>
    <odxf>
      <numFmt numFmtId="0" formatCode="General"/>
    </odxf>
    <ndxf>
      <numFmt numFmtId="14" formatCode="0.00%"/>
    </ndxf>
  </rcc>
  <rcc rId="40420" sId="5" odxf="1" dxf="1">
    <nc r="BZ163">
      <f>BY163/BU163</f>
    </nc>
    <odxf>
      <font>
        <b/>
      </font>
      <numFmt numFmtId="0" formatCode="General"/>
      <border outline="0">
        <top style="medium">
          <color indexed="64"/>
        </top>
      </border>
    </odxf>
    <ndxf>
      <font>
        <b val="0"/>
      </font>
      <numFmt numFmtId="14" formatCode="0.00%"/>
      <border outline="0">
        <top/>
      </border>
    </ndxf>
  </rcc>
  <rcc rId="40421" sId="5" odxf="1" dxf="1">
    <nc r="BZ176">
      <f>BY176/BU176</f>
    </nc>
    <odxf>
      <numFmt numFmtId="0" formatCode="General"/>
    </odxf>
    <ndxf>
      <numFmt numFmtId="14" formatCode="0.00%"/>
    </ndxf>
  </rcc>
  <rcc rId="40422" sId="5" odxf="1" dxf="1">
    <nc r="BZ177">
      <f>BY177/BU177</f>
    </nc>
    <odxf>
      <numFmt numFmtId="0" formatCode="General"/>
    </odxf>
    <ndxf>
      <numFmt numFmtId="14" formatCode="0.00%"/>
    </ndxf>
  </rcc>
  <rcc rId="40423" sId="5" odxf="1" dxf="1">
    <nc r="BZ178">
      <f>BY178/BU178</f>
    </nc>
    <odxf>
      <numFmt numFmtId="0" formatCode="General"/>
    </odxf>
    <ndxf>
      <numFmt numFmtId="14" formatCode="0.00%"/>
    </ndxf>
  </rcc>
  <rcc rId="40424" sId="5" odxf="1" dxf="1">
    <nc r="BZ179">
      <f>BY179/BU179</f>
    </nc>
    <odxf>
      <numFmt numFmtId="0" formatCode="General"/>
    </odxf>
    <ndxf>
      <numFmt numFmtId="14" formatCode="0.00%"/>
    </ndxf>
  </rcc>
  <rcc rId="40425" sId="5" odxf="1" dxf="1">
    <nc r="BZ180">
      <f>BY180/BU180</f>
    </nc>
    <odxf>
      <numFmt numFmtId="0" formatCode="General"/>
    </odxf>
    <ndxf>
      <numFmt numFmtId="14" formatCode="0.00%"/>
    </ndxf>
  </rcc>
  <rcc rId="40426" sId="5" odxf="1" dxf="1">
    <nc r="BZ181">
      <f>BY181/BU181</f>
    </nc>
    <odxf>
      <numFmt numFmtId="0" formatCode="General"/>
    </odxf>
    <ndxf>
      <numFmt numFmtId="14" formatCode="0.00%"/>
    </ndxf>
  </rcc>
  <rcc rId="40427" sId="5" odxf="1" dxf="1">
    <nc r="BZ182">
      <f>BY182/BU182</f>
    </nc>
    <odxf>
      <numFmt numFmtId="0" formatCode="General"/>
    </odxf>
    <ndxf>
      <numFmt numFmtId="14" formatCode="0.00%"/>
    </ndxf>
  </rcc>
  <rcc rId="40428" sId="5" odxf="1" dxf="1">
    <nc r="BZ183">
      <f>BY183/BU183</f>
    </nc>
    <odxf>
      <numFmt numFmtId="0" formatCode="General"/>
    </odxf>
    <ndxf>
      <numFmt numFmtId="14" formatCode="0.00%"/>
    </ndxf>
  </rcc>
  <rcc rId="40429" sId="5" odxf="1" dxf="1">
    <nc r="BZ184">
      <f>BY184/BU184</f>
    </nc>
    <odxf>
      <font>
        <b/>
      </font>
      <numFmt numFmtId="0" formatCode="General"/>
      <border outline="0">
        <top style="medium">
          <color indexed="64"/>
        </top>
      </border>
    </odxf>
    <ndxf>
      <font>
        <b val="0"/>
      </font>
      <numFmt numFmtId="14" formatCode="0.00%"/>
      <border outline="0">
        <top/>
      </border>
    </ndxf>
  </rcc>
  <rcc rId="40430" sId="5" odxf="1" dxf="1">
    <nc r="BZ194">
      <f>BY194/BU194</f>
    </nc>
    <odxf>
      <numFmt numFmtId="0" formatCode="General"/>
    </odxf>
    <ndxf>
      <numFmt numFmtId="14" formatCode="0.00%"/>
    </ndxf>
  </rcc>
  <rcc rId="40431" sId="5" odxf="1" dxf="1">
    <nc r="BZ195">
      <f>BY195/BU195</f>
    </nc>
    <odxf>
      <numFmt numFmtId="0" formatCode="General"/>
    </odxf>
    <ndxf>
      <numFmt numFmtId="14" formatCode="0.00%"/>
    </ndxf>
  </rcc>
  <rcc rId="40432" sId="5" odxf="1" dxf="1">
    <nc r="BZ196">
      <f>BY196/BU196</f>
    </nc>
    <odxf>
      <numFmt numFmtId="0" formatCode="General"/>
    </odxf>
    <ndxf>
      <numFmt numFmtId="14" formatCode="0.00%"/>
    </ndxf>
  </rcc>
  <rcc rId="40433" sId="5" odxf="1" dxf="1">
    <nc r="BZ197">
      <f>BY197/BU197</f>
    </nc>
    <odxf>
      <numFmt numFmtId="0" formatCode="General"/>
    </odxf>
    <ndxf>
      <numFmt numFmtId="14" formatCode="0.00%"/>
    </ndxf>
  </rcc>
  <rcc rId="40434" sId="5" odxf="1" dxf="1">
    <nc r="BZ198">
      <f>BY198/BU198</f>
    </nc>
    <odxf>
      <numFmt numFmtId="0" formatCode="General"/>
    </odxf>
    <ndxf>
      <numFmt numFmtId="14" formatCode="0.00%"/>
    </ndxf>
  </rcc>
  <rcc rId="40435" sId="5" odxf="1" dxf="1">
    <nc r="BZ199">
      <f>BY199/BU199</f>
    </nc>
    <odxf>
      <numFmt numFmtId="0" formatCode="General"/>
    </odxf>
    <ndxf>
      <numFmt numFmtId="14" formatCode="0.00%"/>
    </ndxf>
  </rcc>
  <rcc rId="40436" sId="5" odxf="1" dxf="1">
    <nc r="BZ200">
      <f>BY200/BU200</f>
    </nc>
    <odxf>
      <numFmt numFmtId="0" formatCode="General"/>
    </odxf>
    <ndxf>
      <numFmt numFmtId="14" formatCode="0.00%"/>
    </ndxf>
  </rcc>
  <rcc rId="40437" sId="5" odxf="1" dxf="1">
    <nc r="BZ201">
      <f>BY201/BU201</f>
    </nc>
    <odxf>
      <numFmt numFmtId="0" formatCode="General"/>
    </odxf>
    <ndxf>
      <numFmt numFmtId="14" formatCode="0.00%"/>
    </ndxf>
  </rcc>
  <rcc rId="40438" sId="5" odxf="1" dxf="1">
    <nc r="BZ202">
      <f>BY202/BU202</f>
    </nc>
    <odxf>
      <numFmt numFmtId="0" formatCode="General"/>
    </odxf>
    <ndxf>
      <numFmt numFmtId="14" formatCode="0.00%"/>
    </ndxf>
  </rcc>
  <rcc rId="40439" sId="5" odxf="1" dxf="1">
    <nc r="BZ203">
      <f>BY203/BU203</f>
    </nc>
    <odxf>
      <numFmt numFmtId="0" formatCode="General"/>
    </odxf>
    <ndxf>
      <numFmt numFmtId="14" formatCode="0.00%"/>
    </ndxf>
  </rcc>
  <rcc rId="40440" sId="5" odxf="1" dxf="1">
    <nc r="BZ204">
      <f>BY204/BU204</f>
    </nc>
    <odxf>
      <numFmt numFmtId="0" formatCode="General"/>
    </odxf>
    <ndxf>
      <numFmt numFmtId="14" formatCode="0.00%"/>
    </ndxf>
  </rcc>
  <rcc rId="40441" sId="5" odxf="1" dxf="1">
    <nc r="BZ205">
      <f>BY205/BU205</f>
    </nc>
    <odxf>
      <numFmt numFmtId="0" formatCode="General"/>
    </odxf>
    <ndxf>
      <numFmt numFmtId="14" formatCode="0.00%"/>
    </ndxf>
  </rcc>
  <rcc rId="40442" sId="5" odxf="1" dxf="1">
    <nc r="BZ206">
      <f>BY206/BU206</f>
    </nc>
    <odxf>
      <numFmt numFmtId="0" formatCode="General"/>
    </odxf>
    <ndxf>
      <numFmt numFmtId="14" formatCode="0.00%"/>
    </ndxf>
  </rcc>
  <rcc rId="40443" sId="5" odxf="1" dxf="1">
    <nc r="BZ207">
      <f>BY207/BU207</f>
    </nc>
    <odxf>
      <numFmt numFmtId="0" formatCode="General"/>
    </odxf>
    <ndxf>
      <numFmt numFmtId="14" formatCode="0.00%"/>
    </ndxf>
  </rcc>
  <rcc rId="40444" sId="5" odxf="1" dxf="1">
    <nc r="BZ208">
      <f>BY208/BU208</f>
    </nc>
    <odxf>
      <numFmt numFmtId="0" formatCode="General"/>
    </odxf>
    <ndxf>
      <numFmt numFmtId="14" formatCode="0.00%"/>
    </ndxf>
  </rcc>
  <rcc rId="40445" sId="5" odxf="1" dxf="1">
    <nc r="BZ209">
      <f>BY209/BU209</f>
    </nc>
    <odxf>
      <numFmt numFmtId="0" formatCode="General"/>
    </odxf>
    <ndxf>
      <numFmt numFmtId="14" formatCode="0.00%"/>
    </ndxf>
  </rcc>
  <rcc rId="40446" sId="5" odxf="1" dxf="1">
    <nc r="BZ210">
      <f>BY210/BU210</f>
    </nc>
    <odxf>
      <numFmt numFmtId="0" formatCode="General"/>
    </odxf>
    <ndxf>
      <numFmt numFmtId="14" formatCode="0.00%"/>
    </ndxf>
  </rcc>
  <rcc rId="40447" sId="5" odxf="1" dxf="1">
    <nc r="BZ211">
      <f>BY211/BU211</f>
    </nc>
    <odxf>
      <numFmt numFmtId="0" formatCode="General"/>
    </odxf>
    <ndxf>
      <numFmt numFmtId="14" formatCode="0.00%"/>
    </ndxf>
  </rcc>
  <rcc rId="40448" sId="5" odxf="1" dxf="1">
    <nc r="BZ212">
      <f>BY212/BU212</f>
    </nc>
    <odxf>
      <numFmt numFmtId="0" formatCode="General"/>
    </odxf>
    <ndxf>
      <numFmt numFmtId="14" formatCode="0.00%"/>
    </ndxf>
  </rcc>
  <rcc rId="40449" sId="5" odxf="1" dxf="1">
    <nc r="BZ213">
      <f>BY213/BU213</f>
    </nc>
    <odxf>
      <numFmt numFmtId="0" formatCode="General"/>
    </odxf>
    <ndxf>
      <numFmt numFmtId="14" formatCode="0.00%"/>
    </ndxf>
  </rcc>
  <rcc rId="40450" sId="5" odxf="1" dxf="1">
    <nc r="BZ214">
      <f>BY214/BU214</f>
    </nc>
    <odxf>
      <numFmt numFmtId="0" formatCode="General"/>
    </odxf>
    <ndxf>
      <numFmt numFmtId="14" formatCode="0.00%"/>
    </ndxf>
  </rcc>
  <rcc rId="40451" sId="5" odxf="1" dxf="1">
    <nc r="BZ215">
      <f>BY215/BU215</f>
    </nc>
    <odxf>
      <numFmt numFmtId="0" formatCode="General"/>
    </odxf>
    <ndxf>
      <numFmt numFmtId="14" formatCode="0.00%"/>
    </ndxf>
  </rcc>
  <rcc rId="40452" sId="5" odxf="1" dxf="1">
    <nc r="BZ216">
      <f>BY216/BU216</f>
    </nc>
    <odxf>
      <numFmt numFmtId="0" formatCode="General"/>
    </odxf>
    <ndxf>
      <numFmt numFmtId="14" formatCode="0.00%"/>
    </ndxf>
  </rcc>
  <rcc rId="40453" sId="5" odxf="1" dxf="1">
    <nc r="BZ217">
      <f>BY217/BU217</f>
    </nc>
    <odxf>
      <numFmt numFmtId="0" formatCode="General"/>
      <border outline="0">
        <bottom style="thin">
          <color indexed="64"/>
        </bottom>
      </border>
    </odxf>
    <ndxf>
      <numFmt numFmtId="14" formatCode="0.00%"/>
      <border outline="0">
        <bottom/>
      </border>
    </ndxf>
  </rcc>
  <rcc rId="40454" sId="5" odxf="1" dxf="1">
    <nc r="BZ218">
      <f>BY218/BU218</f>
    </nc>
    <odxf>
      <font>
        <b/>
      </font>
      <numFmt numFmtId="0" formatCode="General"/>
    </odxf>
    <ndxf>
      <font>
        <b val="0"/>
      </font>
      <numFmt numFmtId="14" formatCode="0.00%"/>
    </ndxf>
  </rcc>
  <rcc rId="40455" sId="5" odxf="1" dxf="1">
    <nc r="BZ239">
      <f>BY239/BU239</f>
    </nc>
    <odxf>
      <font>
        <b/>
      </font>
      <numFmt numFmtId="0" formatCode="General"/>
      <fill>
        <patternFill patternType="solid">
          <bgColor theme="0" tint="-0.249977111117893"/>
        </patternFill>
      </fill>
      <border outline="0">
        <top style="medium">
          <color indexed="64"/>
        </top>
      </border>
    </odxf>
    <ndxf>
      <font>
        <b val="0"/>
      </font>
      <numFmt numFmtId="14" formatCode="0.00%"/>
      <fill>
        <patternFill patternType="none">
          <bgColor indexed="65"/>
        </patternFill>
      </fill>
      <border outline="0">
        <top/>
      </border>
    </ndxf>
  </rcc>
  <rfmt sheetId="5" sqref="BZ239">
    <dxf>
      <fill>
        <patternFill patternType="solid">
          <bgColor theme="0" tint="-0.249977111117893"/>
        </patternFill>
      </fill>
    </dxf>
  </rfmt>
  <rfmt sheetId="5" sqref="BX218:BZ218" start="0" length="0">
    <dxf>
      <border>
        <top style="thin">
          <color auto="1"/>
        </top>
      </border>
    </dxf>
  </rfmt>
  <rfmt sheetId="5" sqref="BX184:BZ184" start="0" length="0">
    <dxf>
      <border>
        <top style="medium">
          <color auto="1"/>
        </top>
      </border>
    </dxf>
  </rfmt>
  <rfmt sheetId="5" sqref="BX163:BZ163" start="0" length="0">
    <dxf>
      <border>
        <top style="medium">
          <color auto="1"/>
        </top>
      </border>
    </dxf>
  </rfmt>
  <rfmt sheetId="5" sqref="BX131:BZ131" start="0" length="0">
    <dxf>
      <border>
        <top style="medium">
          <color auto="1"/>
        </top>
      </border>
    </dxf>
  </rfmt>
  <rfmt sheetId="5" sqref="BX107:BZ107" start="0" length="0">
    <dxf>
      <border>
        <top style="medium">
          <color auto="1"/>
        </top>
      </border>
    </dxf>
  </rfmt>
  <rfmt sheetId="5" sqref="BX73:BZ73" start="0" length="0">
    <dxf>
      <border>
        <top style="medium">
          <color auto="1"/>
        </top>
      </border>
    </dxf>
  </rfmt>
  <rfmt sheetId="5" sqref="BX40:BZ40" start="0" length="0">
    <dxf>
      <border>
        <top style="medium">
          <color auto="1"/>
        </top>
      </border>
    </dxf>
  </rfmt>
  <rrc rId="40456" sId="5" ref="A39:XFD39" action="insertRow">
    <undo index="4" exp="area" ref3D="1" dr="$BO$1:$BT$1048576" dn="Z_455630F5_40FC_47DB_8AD4_712C20B8FB91_.wvu.Cols" sId="5"/>
    <undo index="2" exp="area" ref3D="1" dr="$AI$1:$BK$1048576" dn="Z_455630F5_40FC_47DB_8AD4_712C20B8FB91_.wvu.Cols" sId="5"/>
    <undo index="1" exp="area" ref3D="1" dr="$AD$1:$AE$1048576" dn="Z_455630F5_40FC_47DB_8AD4_712C20B8FB91_.wvu.Cols" sId="5"/>
    <undo index="10" exp="area" ref3D="1" dr="$A$224:$XFD$238" dn="Z_455630F5_40FC_47DB_8AD4_712C20B8FB91_.wvu.Rows" sId="5"/>
    <undo index="8" exp="area" ref3D="1" dr="$A$162:$XFD$162" dn="Z_455630F5_40FC_47DB_8AD4_712C20B8FB91_.wvu.Rows" sId="5"/>
    <undo index="6" exp="area" ref3D="1" dr="$A$155:$XFD$155" dn="Z_455630F5_40FC_47DB_8AD4_712C20B8FB91_.wvu.Rows" sId="5"/>
    <undo index="4" exp="area" ref3D="1" dr="$A$224:$XFD$238" dn="Z_F784130D_F647_4ABA_8943_C79CA5B0FDC4_.wvu.Rows" sId="5"/>
    <undo index="2" exp="area" ref3D="1" dr="$A$162:$XFD$162" dn="Z_F784130D_F647_4ABA_8943_C79CA5B0FDC4_.wvu.Rows" sId="5"/>
    <undo index="2" exp="area" ref3D="1" dr="$AZ$1:$BH$1048576" dn="Z_F784130D_F647_4ABA_8943_C79CA5B0FDC4_.wvu.Cols" sId="5"/>
    <undo index="1" exp="area" ref3D="1" dr="$AJ$1:$AM$1048576" dn="Z_F784130D_F647_4ABA_8943_C79CA5B0FDC4_.wvu.Cols" sId="5"/>
    <undo index="2" exp="area" ref3D="1" dr="$A$224:$XFD$238" dn="Z_E44F5FE1_54FC_4AB3_84F9_7D65ACF2DDE7_.wvu.Rows" sId="5"/>
    <undo index="2" exp="area" ref3D="1" dr="$BO$1:$BT$1048576" dn="Z_E44F5FE1_54FC_4AB3_84F9_7D65ACF2DDE7_.wvu.Cols" sId="5"/>
    <undo index="1" exp="area" ref3D="1" dr="$AI$1:$BK$1048576" dn="Z_E44F5FE1_54FC_4AB3_84F9_7D65ACF2DDE7_.wvu.Cols" sId="5"/>
    <undo index="2" exp="area" ref3D="1" dr="$A$224:$XFD$238" dn="Z_AEFEB150_9213_45F5_A178_7AC71E46DB11_.wvu.Rows" sId="5"/>
    <undo index="0" exp="area" ref3D="1" dr="$AJ$1:$AM$1048576" dn="Z_AEFEB150_9213_45F5_A178_7AC71E46DB11_.wvu.Cols" sId="5"/>
    <undo index="12" exp="area" ref3D="1" dr="$A$224:$XFD$238" dn="Z_9D4F0482_B164_4671_805A_E0D2D4DD4720_.wvu.Rows" sId="5"/>
    <undo index="10" exp="area" ref3D="1" dr="$A$162:$XFD$162" dn="Z_9D4F0482_B164_4671_805A_E0D2D4DD4720_.wvu.Rows" sId="5"/>
    <undo index="8" exp="area" ref3D="1" dr="$A$155:$XFD$155" dn="Z_9D4F0482_B164_4671_805A_E0D2D4DD4720_.wvu.Rows" sId="5"/>
    <undo index="6" exp="area" ref3D="1" dr="$A$147:$XFD$147" dn="Z_9D4F0482_B164_4671_805A_E0D2D4DD4720_.wvu.Rows" sId="5"/>
    <undo index="2" exp="area" ref3D="1" dr="$AI$1:$BJ$1048576" dn="Z_9D4F0482_B164_4671_805A_E0D2D4DD4720_.wvu.Cols" sId="5"/>
    <undo index="1" exp="area" ref3D="1" dr="$AD$1:$AE$1048576" dn="Z_9D4F0482_B164_4671_805A_E0D2D4DD4720_.wvu.Cols" sId="5"/>
    <undo index="2" exp="area" ref3D="1" dr="$A$224:$XFD$238" dn="Z_94DA13B6_7351_40F3_8CF7_A4211EC439DA_.wvu.Rows" sId="5"/>
    <undo index="4" exp="area" ref3D="1" dr="$AP$1:$AS$1048576" dn="Z_94DA13B6_7351_40F3_8CF7_A4211EC439DA_.wvu.Cols" sId="5"/>
    <undo index="2" exp="area" ref3D="1" dr="$AJ$1:$AM$1048576" dn="Z_94DA13B6_7351_40F3_8CF7_A4211EC439DA_.wvu.Cols" sId="5"/>
    <undo index="1" exp="area" ref3D="1" dr="$V$1:$AB$1048576" dn="Z_94DA13B6_7351_40F3_8CF7_A4211EC439DA_.wvu.Cols" sId="5"/>
    <undo index="2" exp="area" ref3D="1" dr="$A$224:$XFD$238" dn="Z_8F508F4D_4777_42BE_9707_8CB9355F7BDB_.wvu.Rows" sId="5"/>
    <undo index="2" exp="area" ref3D="1" dr="$AJ$1:$AM$1048576" dn="Z_8F508F4D_4777_42BE_9707_8CB9355F7BDB_.wvu.Cols" sId="5"/>
    <undo index="1" exp="area" ref3D="1" dr="$V$1:$AB$1048576" dn="Z_8F508F4D_4777_42BE_9707_8CB9355F7BDB_.wvu.Cols" sId="5"/>
    <undo index="10" exp="area" ref3D="1" dr="$A$224:$XFD$238" dn="Z_78CA186D_B240_44D5_8A24_D241DE0B0FD9_.wvu.Rows" sId="5"/>
    <undo index="8" exp="area" ref3D="1" dr="$A$162:$XFD$162" dn="Z_78CA186D_B240_44D5_8A24_D241DE0B0FD9_.wvu.Rows" sId="5"/>
    <undo index="6" exp="area" ref3D="1" dr="$A$155:$XFD$155" dn="Z_78CA186D_B240_44D5_8A24_D241DE0B0FD9_.wvu.Rows" sId="5"/>
    <undo index="4" exp="area" ref3D="1" dr="$BO$1:$BT$1048576" dn="Z_78CA186D_B240_44D5_8A24_D241DE0B0FD9_.wvu.Cols" sId="5"/>
    <undo index="2" exp="area" ref3D="1" dr="$AI$1:$BK$1048576" dn="Z_78CA186D_B240_44D5_8A24_D241DE0B0FD9_.wvu.Cols" sId="5"/>
    <undo index="1" exp="area" ref3D="1" dr="$AD$1:$AE$1048576" dn="Z_78CA186D_B240_44D5_8A24_D241DE0B0FD9_.wvu.Cols" sId="5"/>
    <undo index="2" exp="area" ref3D="1" dr="$A$224:$XFD$238" dn="Z_567C3053_2D8E_4705_8DC7_18896C5303CA_.wvu.Rows" sId="5"/>
    <undo index="4" exp="area" ref3D="1" dr="$AP$1:$AS$1048576" dn="Z_567C3053_2D8E_4705_8DC7_18896C5303CA_.wvu.Cols" sId="5"/>
    <undo index="2" exp="area" ref3D="1" dr="$AJ$1:$AM$1048576" dn="Z_567C3053_2D8E_4705_8DC7_18896C5303CA_.wvu.Cols" sId="5"/>
    <undo index="1" exp="area" ref3D="1" dr="$V$1:$AB$1048576" dn="Z_567C3053_2D8E_4705_8DC7_18896C5303CA_.wvu.Cols" sId="5"/>
    <undo index="2" exp="area" ref3D="1" dr="$A$224:$XFD$238" dn="Z_1E5198E1_BA46_4CE0_8628_4F695B0D7A3B_.wvu.Rows" sId="5"/>
  </rrc>
  <rcc rId="40457" sId="5" odxf="1" dxf="1">
    <nc r="A39" t="inlineStr">
      <is>
        <t>Department of Real Estate Services</t>
      </is>
    </nc>
    <odxf>
      <font/>
      <fill>
        <patternFill patternType="none">
          <bgColor indexed="65"/>
        </patternFill>
      </fill>
      <alignment horizontal="general" vertical="bottom" readingOrder="0"/>
    </odxf>
    <ndxf>
      <font/>
      <fill>
        <patternFill patternType="solid">
          <bgColor rgb="FFFFFF00"/>
        </patternFill>
      </fill>
      <alignment horizontal="left" vertical="top" readingOrder="0"/>
    </ndxf>
  </rcc>
  <rcc rId="40458" sId="5">
    <nc r="BX39">
      <f>'FY 2013 by Agency'!BT39*Inflator!E15</f>
    </nc>
  </rcc>
  <rcc rId="40459" sId="5">
    <nc r="BX40">
      <f>'FY 2013 by Agency'!BT41*Inflator!E16</f>
    </nc>
  </rcc>
  <rcc rId="40460" sId="5">
    <nc r="BX51">
      <f>'FY 2013 by Agency'!BT51*Inflator!E15</f>
    </nc>
  </rcc>
  <rcc rId="40461" sId="5">
    <nc r="BX52">
      <f>'FY 2013 by Agency'!BT52*Inflator!E15</f>
    </nc>
  </rcc>
  <rcc rId="40462" sId="5">
    <nc r="BX53">
      <f>'FY 2013 by Agency'!BT53*Inflator!E15</f>
    </nc>
  </rcc>
  <rcc rId="40463" sId="5">
    <nc r="BX54">
      <f>'FY 2013 by Agency'!BT54*Inflator!E15</f>
    </nc>
  </rcc>
  <rcc rId="40464" sId="5">
    <nc r="BX55">
      <f>'FY 2013 by Agency'!BT55*Inflator!E15</f>
    </nc>
  </rcc>
  <rcc rId="40465" sId="5">
    <nc r="BX56">
      <f>'FY 2013 by Agency'!BT56*Inflator!E15</f>
    </nc>
  </rcc>
  <rcc rId="40466" sId="5">
    <nc r="BX57">
      <f>'FY 2013 by Agency'!BT57*Inflator!E15</f>
    </nc>
  </rcc>
  <rcc rId="40467" sId="5">
    <nc r="BX58">
      <f>'FY 2013 by Agency'!BT58*Inflator!E15</f>
    </nc>
  </rcc>
  <rcc rId="40468" sId="5">
    <nc r="BX59">
      <f>'FY 2013 by Agency'!BT59*Inflator!E15</f>
    </nc>
  </rcc>
  <rfmt sheetId="5" sqref="BX60">
    <dxf>
      <fill>
        <patternFill patternType="solid">
          <bgColor rgb="FFFFC000"/>
        </patternFill>
      </fill>
    </dxf>
  </rfmt>
  <rrc rId="40469" sId="5" ref="A164:XFD164" action="insertRow">
    <undo index="4" exp="area" ref3D="1" dr="$BO$1:$BT$1048576" dn="Z_455630F5_40FC_47DB_8AD4_712C20B8FB91_.wvu.Cols" sId="5"/>
    <undo index="2" exp="area" ref3D="1" dr="$AI$1:$BK$1048576" dn="Z_455630F5_40FC_47DB_8AD4_712C20B8FB91_.wvu.Cols" sId="5"/>
    <undo index="1" exp="area" ref3D="1" dr="$AD$1:$AE$1048576" dn="Z_455630F5_40FC_47DB_8AD4_712C20B8FB91_.wvu.Cols" sId="5"/>
    <undo index="10" exp="area" ref3D="1" dr="$A$225:$XFD$239" dn="Z_455630F5_40FC_47DB_8AD4_712C20B8FB91_.wvu.Rows" sId="5"/>
    <undo index="4" exp="area" ref3D="1" dr="$A$225:$XFD$239" dn="Z_F784130D_F647_4ABA_8943_C79CA5B0FDC4_.wvu.Rows" sId="5"/>
    <undo index="2" exp="area" ref3D="1" dr="$AZ$1:$BH$1048576" dn="Z_F784130D_F647_4ABA_8943_C79CA5B0FDC4_.wvu.Cols" sId="5"/>
    <undo index="1" exp="area" ref3D="1" dr="$AJ$1:$AM$1048576" dn="Z_F784130D_F647_4ABA_8943_C79CA5B0FDC4_.wvu.Cols" sId="5"/>
    <undo index="2" exp="area" ref3D="1" dr="$A$225:$XFD$239" dn="Z_E44F5FE1_54FC_4AB3_84F9_7D65ACF2DDE7_.wvu.Rows" sId="5"/>
    <undo index="2" exp="area" ref3D="1" dr="$BO$1:$BT$1048576" dn="Z_E44F5FE1_54FC_4AB3_84F9_7D65ACF2DDE7_.wvu.Cols" sId="5"/>
    <undo index="1" exp="area" ref3D="1" dr="$AI$1:$BK$1048576" dn="Z_E44F5FE1_54FC_4AB3_84F9_7D65ACF2DDE7_.wvu.Cols" sId="5"/>
    <undo index="2" exp="area" ref3D="1" dr="$A$225:$XFD$239" dn="Z_AEFEB150_9213_45F5_A178_7AC71E46DB11_.wvu.Rows" sId="5"/>
    <undo index="0" exp="area" ref3D="1" dr="$AJ$1:$AM$1048576" dn="Z_AEFEB150_9213_45F5_A178_7AC71E46DB11_.wvu.Cols" sId="5"/>
    <undo index="12" exp="area" ref3D="1" dr="$A$225:$XFD$239" dn="Z_9D4F0482_B164_4671_805A_E0D2D4DD4720_.wvu.Rows" sId="5"/>
    <undo index="2" exp="area" ref3D="1" dr="$AI$1:$BJ$1048576" dn="Z_9D4F0482_B164_4671_805A_E0D2D4DD4720_.wvu.Cols" sId="5"/>
    <undo index="1" exp="area" ref3D="1" dr="$AD$1:$AE$1048576" dn="Z_9D4F0482_B164_4671_805A_E0D2D4DD4720_.wvu.Cols" sId="5"/>
    <undo index="2" exp="area" ref3D="1" dr="$A$225:$XFD$239" dn="Z_94DA13B6_7351_40F3_8CF7_A4211EC439DA_.wvu.Rows" sId="5"/>
    <undo index="4" exp="area" ref3D="1" dr="$AP$1:$AS$1048576" dn="Z_94DA13B6_7351_40F3_8CF7_A4211EC439DA_.wvu.Cols" sId="5"/>
    <undo index="2" exp="area" ref3D="1" dr="$AJ$1:$AM$1048576" dn="Z_94DA13B6_7351_40F3_8CF7_A4211EC439DA_.wvu.Cols" sId="5"/>
    <undo index="1" exp="area" ref3D="1" dr="$V$1:$AB$1048576" dn="Z_94DA13B6_7351_40F3_8CF7_A4211EC439DA_.wvu.Cols" sId="5"/>
    <undo index="2" exp="area" ref3D="1" dr="$A$225:$XFD$239" dn="Z_8F508F4D_4777_42BE_9707_8CB9355F7BDB_.wvu.Rows" sId="5"/>
    <undo index="2" exp="area" ref3D="1" dr="$AJ$1:$AM$1048576" dn="Z_8F508F4D_4777_42BE_9707_8CB9355F7BDB_.wvu.Cols" sId="5"/>
    <undo index="1" exp="area" ref3D="1" dr="$V$1:$AB$1048576" dn="Z_8F508F4D_4777_42BE_9707_8CB9355F7BDB_.wvu.Cols" sId="5"/>
    <undo index="10" exp="area" ref3D="1" dr="$A$225:$XFD$239" dn="Z_78CA186D_B240_44D5_8A24_D241DE0B0FD9_.wvu.Rows" sId="5"/>
    <undo index="4" exp="area" ref3D="1" dr="$BO$1:$BT$1048576" dn="Z_78CA186D_B240_44D5_8A24_D241DE0B0FD9_.wvu.Cols" sId="5"/>
    <undo index="2" exp="area" ref3D="1" dr="$AI$1:$BK$1048576" dn="Z_78CA186D_B240_44D5_8A24_D241DE0B0FD9_.wvu.Cols" sId="5"/>
    <undo index="1" exp="area" ref3D="1" dr="$AD$1:$AE$1048576" dn="Z_78CA186D_B240_44D5_8A24_D241DE0B0FD9_.wvu.Cols" sId="5"/>
    <undo index="2" exp="area" ref3D="1" dr="$A$225:$XFD$239" dn="Z_567C3053_2D8E_4705_8DC7_18896C5303CA_.wvu.Rows" sId="5"/>
    <undo index="4" exp="area" ref3D="1" dr="$AP$1:$AS$1048576" dn="Z_567C3053_2D8E_4705_8DC7_18896C5303CA_.wvu.Cols" sId="5"/>
    <undo index="2" exp="area" ref3D="1" dr="$AJ$1:$AM$1048576" dn="Z_567C3053_2D8E_4705_8DC7_18896C5303CA_.wvu.Cols" sId="5"/>
    <undo index="1" exp="area" ref3D="1" dr="$V$1:$AB$1048576" dn="Z_567C3053_2D8E_4705_8DC7_18896C5303CA_.wvu.Cols" sId="5"/>
    <undo index="2" exp="area" ref3D="1" dr="$A$225:$XFD$239" dn="Z_1E5198E1_BA46_4CE0_8628_4F695B0D7A3B_.wvu.Rows" sId="5"/>
  </rrc>
  <rcc rId="40470" sId="5" odxf="1" dxf="1">
    <nc r="A164" t="inlineStr">
      <is>
        <t>Section 103: Judgments - Human Services</t>
      </is>
    </nc>
    <odxf>
      <font/>
      <fill>
        <patternFill patternType="none">
          <bgColor indexed="65"/>
        </patternFill>
      </fill>
    </odxf>
    <ndxf>
      <font/>
      <fill>
        <patternFill patternType="solid">
          <bgColor rgb="FFFFFF00"/>
        </patternFill>
      </fill>
    </ndxf>
  </rcc>
  <rfmt sheetId="5" sqref="BN164:BZ164" start="0" length="0">
    <dxf>
      <border>
        <bottom style="thin">
          <color auto="1"/>
        </bottom>
      </border>
    </dxf>
  </rfmt>
  <rfmt sheetId="5" sqref="BN162:BW162" start="0" length="0">
    <dxf>
      <border>
        <bottom/>
      </border>
    </dxf>
  </rfmt>
  <rcc rId="40471" sId="5" odxf="1" dxf="1">
    <nc r="BX165">
      <f>SUM(BX145:BX163)</f>
    </nc>
    <ndxf>
      <font>
        <b/>
      </font>
      <numFmt numFmtId="10" formatCode="&quot;$&quot;#,##0_);[Red]\(&quot;$&quot;#,##0\)"/>
    </ndxf>
  </rcc>
  <rcc rId="40472" sId="5" odxf="1" dxf="1">
    <nc r="BX132">
      <f>SUM(BX119:BX131)</f>
    </nc>
    <ndxf>
      <font>
        <b/>
      </font>
      <numFmt numFmtId="10" formatCode="&quot;$&quot;#,##0_);[Red]\(&quot;$&quot;#,##0\)"/>
      <border outline="0">
        <top/>
      </border>
    </ndxf>
  </rcc>
  <rcc rId="40473" sId="5" odxf="1" dxf="1">
    <nc r="BX108">
      <f>SUM(BX85:BX107)</f>
    </nc>
    <ndxf>
      <font>
        <b/>
      </font>
      <numFmt numFmtId="10" formatCode="&quot;$&quot;#,##0_);[Red]\(&quot;$&quot;#,##0\)"/>
      <border outline="0">
        <top/>
      </border>
    </ndxf>
  </rcc>
  <rcc rId="40474" sId="5" odxf="1" dxf="1">
    <nc r="BX74">
      <f>SUM(BX51:BX73)</f>
    </nc>
    <ndxf>
      <font>
        <b/>
      </font>
      <numFmt numFmtId="10" formatCode="&quot;$&quot;#,##0_);[Red]\(&quot;$&quot;#,##0\)"/>
      <border outline="0">
        <top/>
      </border>
    </ndxf>
  </rcc>
  <rcc rId="40475" sId="5" odxf="1" dxf="1">
    <nc r="BX41">
      <f>SUM(BX7:BX40)</f>
    </nc>
    <ndxf>
      <font>
        <b/>
      </font>
      <numFmt numFmtId="10" formatCode="&quot;$&quot;#,##0_);[Red]\(&quot;$&quot;#,##0\)"/>
      <border outline="0">
        <top/>
      </border>
    </ndxf>
  </rcc>
  <rcc rId="40476" sId="5" odxf="1" dxf="1">
    <nc r="BX186">
      <f>SUM(BX178:BX185)</f>
    </nc>
    <ndxf>
      <font>
        <b/>
      </font>
      <numFmt numFmtId="10" formatCode="&quot;$&quot;#,##0_);[Red]\(&quot;$&quot;#,##0\)"/>
      <border outline="0">
        <top/>
      </border>
    </ndxf>
  </rcc>
  <rcc rId="40477" sId="5" odxf="1" dxf="1">
    <nc r="BX220">
      <f>SUM(BX196:BX219)</f>
    </nc>
    <ndxf>
      <font>
        <b/>
      </font>
      <numFmt numFmtId="10" formatCode="&quot;$&quot;#,##0_);[Red]\(&quot;$&quot;#,##0\)"/>
      <border outline="0">
        <top/>
      </border>
    </ndxf>
  </rcc>
  <rcv guid="{455630F5-40FC-47DB-8AD4-712C20B8FB91}" action="delete"/>
  <rdn rId="0" localSheetId="2" customView="1" name="Z_455630F5_40FC_47DB_8AD4_712C20B8FB91_.wvu.Cols" hidden="1" oldHidden="1">
    <formula>'FY2013 by Approp Title'!$AA:$AA</formula>
    <oldFormula>'FY2013 by Approp Title'!$AA:$AA</oldFormula>
  </rdn>
  <rdn rId="0" localSheetId="3" customView="1" name="Z_455630F5_40FC_47DB_8AD4_712C20B8FB91_.wvu.Cols" hidden="1" oldHidden="1">
    <formula>'FY2013 By Approp Title-Adj'!$AA:$AA</formula>
    <oldFormula>'FY2013 By Approp Title-Adj'!$AA:$AA</oldFormula>
  </rdn>
  <rdn rId="0" localSheetId="4" customView="1" name="Z_455630F5_40FC_47DB_8AD4_712C20B8FB91_.wvu.Rows" hidden="1" oldHidden="1">
    <formula>'FY 2013 by Agency'!$1:$3,'FY 2013 by Agency'!$226:$240</formula>
    <oldFormula>'FY 2013 by Agency'!$1:$3,'FY 2013 by Agency'!$226:$240</oldFormula>
  </rdn>
  <rdn rId="0" localSheetId="4" customView="1" name="Z_455630F5_40FC_47DB_8AD4_712C20B8FB91_.wvu.Cols" hidden="1" oldHidden="1">
    <formula>'FY 2013 by Agency'!$D:$E,'FY 2013 by Agency'!$G:$H,'FY 2013 by Agency'!$J:$K,'FY 2013 by Agency'!$M:$N,'FY 2013 by Agency'!$P:$Q,'FY 2013 by Agency'!$S:$T,'FY 2013 by Agency'!$V:$W,'FY 2013 by Agency'!$Y:$Z,'FY 2013 by Agency'!$AB:$AE,'FY 2013 by Agency'!$AG:$AO,'FY 2013 by Agency'!$AV:$AW,'FY 2013 by Agency'!$AY:$AZ,'FY 2013 by Agency'!$BF:$BG</formula>
    <oldFormula>'FY 2013 by Agency'!$D:$E,'FY 2013 by Agency'!$G:$H,'FY 2013 by Agency'!$J:$K,'FY 2013 by Agency'!$M:$N,'FY 2013 by Agency'!$P:$Q,'FY 2013 by Agency'!$S:$T,'FY 2013 by Agency'!$V:$W,'FY 2013 by Agency'!$Y:$Z,'FY 2013 by Agency'!$AB:$AE,'FY 2013 by Agency'!$AG:$AO,'FY 2013 by Agency'!$AV:$AW,'FY 2013 by Agency'!$AY:$AZ,'FY 2013 by Agency'!$BF:$BG</oldFormula>
  </rdn>
  <rdn rId="0" localSheetId="5" customView="1" name="Z_455630F5_40FC_47DB_8AD4_712C20B8FB91_.wvu.Rows" hidden="1" oldHidden="1">
    <formula>'FY 2013 by Agency-Adj'!$1:$3,'FY 2013 by Agency-Adj'!$14:$14,'FY 2013 by Agency-Adj'!$19:$19,'FY 2013 by Agency-Adj'!$156:$156,'FY 2013 by Agency-Adj'!$163:$163,'FY 2013 by Agency-Adj'!$226:$240</formula>
    <oldFormula>'FY 2013 by Agency-Adj'!$1:$3,'FY 2013 by Agency-Adj'!$14:$14,'FY 2013 by Agency-Adj'!$19:$19,'FY 2013 by Agency-Adj'!$156:$156,'FY 2013 by Agency-Adj'!$163:$163,'FY 2013 by Agency-Adj'!$226:$240</oldFormula>
  </rdn>
  <rdn rId="0" localSheetId="5" customView="1" name="Z_455630F5_40FC_47DB_8AD4_712C20B8FB91_.wvu.Cols" hidden="1" oldHidden="1">
    <formula>'FY 2013 by Agency-Adj'!$AD:$AE,'FY 2013 by Agency-Adj'!$AI:$BK,'FY 2013 by Agency-Adj'!$BO:$BT</formula>
    <oldFormula>'FY 2013 by Agency-Adj'!$AD:$AE,'FY 2013 by Agency-Adj'!$AI:$BK,'FY 2013 by Agency-Adj'!$BO:$BT</oldFormula>
  </rdn>
  <rdn rId="0" localSheetId="8" customView="1" name="Z_455630F5_40FC_47DB_8AD4_712C20B8FB91_.wvu.Rows" hidden="1" oldHidden="1">
    <formula>'Sheet 4'!$1:$6</formula>
    <oldFormula>'Sheet 4'!$1:$6</oldFormula>
  </rdn>
  <rcv guid="{455630F5-40FC-47DB-8AD4-712C20B8FB91}" action="add"/>
</revisions>
</file>

<file path=xl/revisions/revisionLog13111.xml><?xml version="1.0" encoding="utf-8"?>
<revisions xmlns="http://schemas.openxmlformats.org/spreadsheetml/2006/main" xmlns:r="http://schemas.openxmlformats.org/officeDocument/2006/relationships">
  <rcc rId="39290" sId="9">
    <nc r="E15">
      <f>339.8/339.8</f>
    </nc>
  </rcc>
  <rcc rId="39291" sId="9">
    <oc r="E14">
      <f>328.5/328.5</f>
    </oc>
    <nc r="E14">
      <f>339.8/334.9</f>
    </nc>
  </rcc>
  <rcc rId="39292" sId="9">
    <oc r="E13">
      <f>328.5/324.4</f>
    </oc>
    <nc r="E13">
      <f>339.8/327.7</f>
    </nc>
  </rcc>
  <rcc rId="39293" sId="9">
    <oc r="E12">
      <f>328.5/319.2</f>
    </oc>
    <nc r="E12">
      <f>339.8/319.2</f>
    </nc>
  </rcc>
  <rcc rId="39294" sId="9">
    <oc r="E2">
      <f>328.5/250.8</f>
    </oc>
    <nc r="E2">
      <f>339.8/250.8</f>
    </nc>
  </rcc>
  <rcc rId="39295" sId="9">
    <oc r="E3">
      <f>328.5/258.8</f>
    </oc>
    <nc r="E3">
      <f>339.8/258.8</f>
    </nc>
  </rcc>
  <rcc rId="39296" sId="9">
    <oc r="E4">
      <f>328.5/262.7</f>
    </oc>
    <nc r="E4">
      <f>339.8/262.7</f>
    </nc>
  </rcc>
  <rcc rId="39297" sId="9">
    <oc r="E5">
      <f>328.5/268.9</f>
    </oc>
    <nc r="E5">
      <f>339.8/268.9</f>
    </nc>
  </rcc>
  <rcc rId="39298" sId="9">
    <oc r="E6">
      <f>328.5/275.1</f>
    </oc>
    <nc r="E6">
      <f>339.8/275.1</f>
    </nc>
  </rcc>
  <rcc rId="39299" sId="9">
    <oc r="E7">
      <f>328.5/284.1</f>
    </oc>
    <nc r="E7">
      <f>339.8/284.1</f>
    </nc>
  </rcc>
  <rcc rId="39300" sId="9">
    <oc r="E8">
      <f>328.5/294.6</f>
    </oc>
    <nc r="E8">
      <f>339.8/294.6</f>
    </nc>
  </rcc>
  <rcc rId="39301" sId="9">
    <oc r="E9">
      <f>328.5/301.6</f>
    </oc>
    <nc r="E9">
      <f>339.8/301.6</f>
    </nc>
  </rcc>
  <rcc rId="39302" sId="9">
    <oc r="E10">
      <f>328.5/314.9</f>
    </oc>
    <nc r="E10">
      <f>339.8/314.9</f>
    </nc>
  </rcc>
  <rcc rId="39303" sId="9">
    <oc r="E11">
      <f>328.5/313.9</f>
    </oc>
    <nc r="E11">
      <f>339.8/313.9</f>
    </nc>
  </rcc>
  <rfmt sheetId="4" sqref="BO4" start="0" length="0">
    <dxf>
      <font>
        <b/>
      </font>
      <numFmt numFmtId="164" formatCode="0.0%"/>
      <fill>
        <patternFill patternType="solid">
          <bgColor theme="5" tint="0.59999389629810485"/>
        </patternFill>
      </fill>
      <alignment horizontal="center" vertical="top" readingOrder="0"/>
      <border outline="0">
        <left/>
        <bottom style="medium">
          <color indexed="64"/>
        </bottom>
      </border>
    </dxf>
  </rfmt>
  <rfmt sheetId="4" sqref="BP4" start="0" length="0">
    <dxf>
      <font>
        <b/>
      </font>
      <numFmt numFmtId="164" formatCode="0.0%"/>
      <fill>
        <patternFill patternType="solid">
          <bgColor theme="5" tint="0.59999389629810485"/>
        </patternFill>
      </fill>
      <alignment horizontal="center" vertical="top" readingOrder="0"/>
      <border outline="0">
        <left style="medium">
          <color indexed="64"/>
        </left>
        <bottom style="medium">
          <color indexed="64"/>
        </bottom>
      </border>
    </dxf>
  </rfmt>
  <rfmt sheetId="4" sqref="BQ4" start="0" length="0">
    <dxf>
      <font>
        <b/>
      </font>
      <numFmt numFmtId="164" formatCode="0.0%"/>
      <fill>
        <patternFill patternType="solid">
          <bgColor theme="5" tint="0.59999389629810485"/>
        </patternFill>
      </fill>
      <alignment horizontal="center" vertical="top" readingOrder="0"/>
      <border outline="0">
        <left style="medium">
          <color indexed="64"/>
        </left>
        <right style="medium">
          <color indexed="64"/>
        </right>
        <bottom style="medium">
          <color indexed="64"/>
        </bottom>
      </border>
    </dxf>
  </rfmt>
  <rfmt sheetId="4" sqref="BR4" start="0" length="0">
    <dxf>
      <font>
        <b/>
      </font>
      <numFmt numFmtId="164" formatCode="0.0%"/>
      <fill>
        <patternFill patternType="solid">
          <bgColor theme="5" tint="0.59999389629810485"/>
        </patternFill>
      </fill>
      <alignment horizontal="center" vertical="top" readingOrder="0"/>
      <border outline="0">
        <left style="medium">
          <color indexed="64"/>
        </left>
        <bottom style="medium">
          <color indexed="64"/>
        </bottom>
      </border>
    </dxf>
  </rfmt>
  <rfmt sheetId="4" sqref="BS4" start="0" length="0">
    <dxf>
      <font>
        <b/>
      </font>
      <fill>
        <patternFill patternType="solid">
          <bgColor theme="5" tint="0.59999389629810485"/>
        </patternFill>
      </fill>
      <alignment horizontal="center" vertical="top" readingOrder="0"/>
      <border outline="0">
        <left style="medium">
          <color indexed="64"/>
        </left>
        <bottom style="medium">
          <color indexed="64"/>
        </bottom>
      </border>
    </dxf>
  </rfmt>
  <rfmt sheetId="4" sqref="BT4" start="0" length="0">
    <dxf>
      <font>
        <b/>
      </font>
      <fill>
        <patternFill patternType="solid">
          <bgColor theme="5" tint="0.59999389629810485"/>
        </patternFill>
      </fill>
      <border outline="0">
        <left style="medium">
          <color indexed="64"/>
        </left>
        <bottom style="medium">
          <color indexed="64"/>
        </bottom>
      </border>
    </dxf>
  </rfmt>
  <rfmt sheetId="4" sqref="BU4" start="0" length="0">
    <dxf>
      <fill>
        <patternFill patternType="solid">
          <bgColor theme="5" tint="0.59999389629810485"/>
        </patternFill>
      </fill>
      <border outline="0">
        <bottom style="medium">
          <color indexed="64"/>
        </bottom>
      </border>
    </dxf>
  </rfmt>
  <rcc rId="39304" sId="4" odxf="1" dxf="1">
    <nc r="BO5" t="inlineStr">
      <is>
        <t>Fixed Costs</t>
      </is>
    </nc>
    <odxf>
      <font>
        <b val="0"/>
      </font>
      <numFmt numFmtId="0" formatCode="General"/>
      <fill>
        <patternFill patternType="none">
          <bgColor indexed="65"/>
        </patternFill>
      </fill>
      <alignment horizontal="general" vertical="bottom" readingOrder="0"/>
      <border outline="0">
        <left style="medium">
          <color indexed="64"/>
        </left>
        <bottom/>
      </border>
    </odxf>
    <ndxf>
      <font>
        <b/>
      </font>
      <numFmt numFmtId="164" formatCode="0.0%"/>
      <fill>
        <patternFill patternType="solid">
          <bgColor theme="5" tint="0.59999389629810485"/>
        </patternFill>
      </fill>
      <alignment horizontal="center" vertical="top" readingOrder="0"/>
      <border outline="0">
        <left/>
        <bottom style="medium">
          <color indexed="64"/>
        </bottom>
      </border>
    </ndxf>
  </rcc>
  <rcc rId="39305" sId="4" odxf="1" dxf="1">
    <nc r="BP5" t="inlineStr">
      <is>
        <t>OCP</t>
      </is>
    </nc>
    <odxf>
      <font>
        <b val="0"/>
      </font>
      <numFmt numFmtId="0" formatCode="General"/>
      <fill>
        <patternFill patternType="none">
          <bgColor indexed="65"/>
        </patternFill>
      </fill>
      <alignment horizontal="general" vertical="bottom" readingOrder="0"/>
      <border outline="0">
        <left/>
        <top/>
        <bottom/>
      </border>
    </odxf>
    <ndxf>
      <font>
        <b/>
      </font>
      <numFmt numFmtId="164" formatCode="0.0%"/>
      <fill>
        <patternFill patternType="solid">
          <bgColor theme="5" tint="0.59999389629810485"/>
        </patternFill>
      </fill>
      <alignment horizontal="center" vertical="top" readingOrder="0"/>
      <border outline="0">
        <left style="medium">
          <color indexed="64"/>
        </left>
        <top style="medium">
          <color indexed="64"/>
        </top>
        <bottom style="medium">
          <color indexed="64"/>
        </bottom>
      </border>
    </ndxf>
  </rcc>
  <rcc rId="39306" sId="4" odxf="1" dxf="1">
    <nc r="BQ5" t="inlineStr">
      <is>
        <t>HR Costs</t>
      </is>
    </nc>
    <odxf>
      <font>
        <b val="0"/>
      </font>
      <numFmt numFmtId="0" formatCode="General"/>
      <fill>
        <patternFill patternType="none">
          <bgColor indexed="65"/>
        </patternFill>
      </fill>
      <alignment horizontal="general" vertical="bottom" readingOrder="0"/>
      <border outline="0">
        <left/>
        <right/>
        <top/>
        <bottom/>
      </border>
    </odxf>
    <ndxf>
      <font>
        <b/>
      </font>
      <numFmt numFmtId="164" formatCode="0.0%"/>
      <fill>
        <patternFill patternType="solid">
          <bgColor theme="5" tint="0.59999389629810485"/>
        </patternFill>
      </fill>
      <alignment horizontal="center" vertical="top" readingOrder="0"/>
      <border outline="0">
        <left style="medium">
          <color indexed="64"/>
        </left>
        <right style="medium">
          <color indexed="64"/>
        </right>
        <top style="medium">
          <color indexed="64"/>
        </top>
        <bottom style="medium">
          <color indexed="64"/>
        </bottom>
      </border>
    </ndxf>
  </rcc>
  <rcc rId="39307" sId="4" odxf="1" dxf="1">
    <nc r="BR5" t="inlineStr">
      <is>
        <t>OCTO Shifts</t>
      </is>
    </nc>
    <odxf>
      <font>
        <b val="0"/>
      </font>
      <numFmt numFmtId="0" formatCode="General"/>
      <fill>
        <patternFill patternType="none">
          <bgColor indexed="65"/>
        </patternFill>
      </fill>
      <alignment horizontal="general" vertical="bottom" readingOrder="0"/>
      <border outline="0">
        <left/>
        <top/>
        <bottom/>
      </border>
    </odxf>
    <ndxf>
      <font>
        <b/>
      </font>
      <numFmt numFmtId="164" formatCode="0.0%"/>
      <fill>
        <patternFill patternType="solid">
          <bgColor theme="5" tint="0.59999389629810485"/>
        </patternFill>
      </fill>
      <alignment horizontal="center" vertical="top" readingOrder="0"/>
      <border outline="0">
        <left style="medium">
          <color indexed="64"/>
        </left>
        <top style="medium">
          <color indexed="64"/>
        </top>
        <bottom style="medium">
          <color indexed="64"/>
        </bottom>
      </border>
    </ndxf>
  </rcc>
  <rcc rId="39308" sId="4" odxf="1" dxf="1">
    <nc r="BS5" t="inlineStr">
      <is>
        <t>Proposed &amp; With Fixed Costs Added Back In</t>
      </is>
    </nc>
    <odxf>
      <font>
        <b val="0"/>
      </font>
      <fill>
        <patternFill patternType="none">
          <bgColor indexed="65"/>
        </patternFill>
      </fill>
      <alignment horizontal="general" vertical="bottom" wrapText="0" readingOrder="0"/>
      <border outline="0">
        <left/>
        <top/>
        <bottom/>
      </border>
    </odxf>
    <ndxf>
      <font>
        <b/>
      </font>
      <fill>
        <patternFill patternType="solid">
          <bgColor theme="5" tint="0.59999389629810485"/>
        </patternFill>
      </fill>
      <alignment horizontal="left" vertical="top" wrapText="1" readingOrder="0"/>
      <border outline="0">
        <left style="medium">
          <color indexed="64"/>
        </left>
        <top style="medium">
          <color indexed="64"/>
        </top>
        <bottom style="medium">
          <color indexed="64"/>
        </bottom>
      </border>
    </ndxf>
  </rcc>
  <rcc rId="39309" sId="4" odxf="1" dxf="1">
    <nc r="BT5" t="inlineStr">
      <is>
        <t>$</t>
      </is>
    </nc>
    <odxf>
      <font>
        <b val="0"/>
      </font>
      <fill>
        <patternFill patternType="none">
          <bgColor indexed="65"/>
        </patternFill>
      </fill>
      <alignment horizontal="general" vertical="bottom" readingOrder="0"/>
      <border outline="0">
        <left/>
        <top/>
        <bottom/>
      </border>
    </odxf>
    <ndxf>
      <font>
        <b/>
      </font>
      <fill>
        <patternFill patternType="solid">
          <bgColor theme="5" tint="0.59999389629810485"/>
        </patternFill>
      </fill>
      <alignment horizontal="center" vertical="top" readingOrder="0"/>
      <border outline="0">
        <left style="medium">
          <color indexed="64"/>
        </left>
        <top style="medium">
          <color indexed="64"/>
        </top>
        <bottom style="medium">
          <color indexed="64"/>
        </bottom>
      </border>
    </ndxf>
  </rcc>
  <rcc rId="39310" sId="4" odxf="1" dxf="1">
    <nc r="BU5" t="inlineStr">
      <is>
        <t>%</t>
      </is>
    </nc>
    <odxf>
      <font>
        <b val="0"/>
      </font>
      <fill>
        <patternFill patternType="none">
          <bgColor indexed="65"/>
        </patternFill>
      </fill>
      <alignment horizontal="general" vertical="bottom" readingOrder="0"/>
      <border outline="0">
        <top/>
        <bottom/>
      </border>
    </odxf>
    <ndxf>
      <font>
        <b/>
      </font>
      <fill>
        <patternFill patternType="solid">
          <bgColor theme="5" tint="0.59999389629810485"/>
        </patternFill>
      </fill>
      <alignment horizontal="center" vertical="top" readingOrder="0"/>
      <border outline="0">
        <top style="medium">
          <color indexed="64"/>
        </top>
        <bottom style="medium">
          <color indexed="64"/>
        </bottom>
      </border>
    </ndxf>
  </rcc>
  <rfmt sheetId="4" sqref="BO4:BU5">
    <dxf>
      <fill>
        <patternFill>
          <bgColor rgb="FFFFFF00"/>
        </patternFill>
      </fill>
    </dxf>
  </rfmt>
  <rcc rId="39311" sId="4">
    <nc r="BO4" t="inlineStr">
      <is>
        <t>FY 2013</t>
      </is>
    </nc>
  </rcc>
  <rcc rId="39312" sId="4">
    <nc r="BP4" t="inlineStr">
      <is>
        <t>FY 2013</t>
      </is>
    </nc>
  </rcc>
  <rcc rId="39313" sId="4">
    <nc r="BQ4" t="inlineStr">
      <is>
        <t>FY 2013</t>
      </is>
    </nc>
  </rcc>
  <rcc rId="39314" sId="4">
    <nc r="BR4" t="inlineStr">
      <is>
        <t>FY 2013</t>
      </is>
    </nc>
  </rcc>
  <rcc rId="39315" sId="4">
    <nc r="BS4" t="inlineStr">
      <is>
        <t>FY 2013</t>
      </is>
    </nc>
  </rcc>
  <rcc rId="39316" sId="4">
    <nc r="BT4" t="inlineStr">
      <is>
        <t>Change FY '12A (+fixed costs) -'13 (+fixed costs)</t>
      </is>
    </nc>
  </rcc>
  <rrc rId="39317" sId="4" ref="BO1:BO1048576" action="insertCol">
    <undo index="2" exp="area" ref3D="1" dr="$A$226:$XFD$240" dn="Z_F784130D_F647_4ABA_8943_C79CA5B0FDC4_.wvu.Rows" sId="4"/>
    <undo index="1" exp="area" ref3D="1" dr="$A$1:$XFD$3" dn="Z_F784130D_F647_4ABA_8943_C79CA5B0FDC4_.wvu.Rows" sId="4"/>
    <undo index="2" exp="area" ref3D="1" dr="$A$226:$XFD$240" dn="Z_E44F5FE1_54FC_4AB3_84F9_7D65ACF2DDE7_.wvu.Rows" sId="4"/>
    <undo index="1" exp="area" ref3D="1" dr="$A$1:$XFD$3" dn="Z_E44F5FE1_54FC_4AB3_84F9_7D65ACF2DDE7_.wvu.Rows" sId="4"/>
    <undo index="2" exp="area" ref3D="1" dr="$A$226:$XFD$240" dn="Z_AEFEB150_9213_45F5_A178_7AC71E46DB11_.wvu.Rows" sId="4"/>
    <undo index="1" exp="area" ref3D="1" dr="$A$1:$XFD$3" dn="Z_AEFEB150_9213_45F5_A178_7AC71E46DB11_.wvu.Rows" sId="4"/>
    <undo index="2" exp="area" ref3D="1" dr="$A$226:$XFD$240" dn="Z_9D4F0482_B164_4671_805A_E0D2D4DD4720_.wvu.Rows" sId="4"/>
    <undo index="1" exp="area" ref3D="1" dr="$A$1:$XFD$3" dn="Z_9D4F0482_B164_4671_805A_E0D2D4DD4720_.wvu.Rows" sId="4"/>
    <undo index="2" exp="area" ref3D="1" dr="$A$226:$XFD$240" dn="Z_94DA13B6_7351_40F3_8CF7_A4211EC439DA_.wvu.Rows" sId="4"/>
    <undo index="1" exp="area" ref3D="1" dr="$A$1:$XFD$3" dn="Z_94DA13B6_7351_40F3_8CF7_A4211EC439DA_.wvu.Rows" sId="4"/>
    <undo index="2" exp="area" ref3D="1" dr="$A$226:$XFD$240" dn="Z_8F508F4D_4777_42BE_9707_8CB9355F7BDB_.wvu.Rows" sId="4"/>
    <undo index="1" exp="area" ref3D="1" dr="$A$1:$XFD$3" dn="Z_8F508F4D_4777_42BE_9707_8CB9355F7BDB_.wvu.Rows" sId="4"/>
    <undo index="2" exp="area" ref3D="1" dr="$A$226:$XFD$240" dn="Z_78CA186D_B240_44D5_8A24_D241DE0B0FD9_.wvu.Rows" sId="4"/>
    <undo index="1" exp="area" ref3D="1" dr="$A$1:$XFD$3" dn="Z_78CA186D_B240_44D5_8A24_D241DE0B0FD9_.wvu.Rows" sId="4"/>
    <undo index="2" exp="area" ref3D="1" dr="$A$226:$XFD$240" dn="Z_567C3053_2D8E_4705_8DC7_18896C5303CA_.wvu.Rows" sId="4"/>
    <undo index="1" exp="area" ref3D="1" dr="$A$1:$XFD$3" dn="Z_567C3053_2D8E_4705_8DC7_18896C5303CA_.wvu.Rows" sId="4"/>
    <undo index="2" exp="area" ref3D="1" dr="$A$226:$XFD$240" dn="Z_455630F5_40FC_47DB_8AD4_712C20B8FB91_.wvu.Rows" sId="4"/>
    <undo index="1" exp="area" ref3D="1" dr="$A$1:$XFD$3" dn="Z_455630F5_40FC_47DB_8AD4_712C20B8FB91_.wvu.Rows" sId="4"/>
    <undo index="2" exp="area" ref3D="1" dr="$A$226:$XFD$240" dn="Z_1E5198E1_BA46_4CE0_8628_4F695B0D7A3B_.wvu.Rows" sId="4"/>
    <undo index="1" exp="area" ref3D="1" dr="$A$1:$XFD$3" dn="Z_1E5198E1_BA46_4CE0_8628_4F695B0D7A3B_.wvu.Rows" sId="4"/>
  </rrc>
  <rrc rId="39318" sId="4" ref="BO1:BO1048576" action="insertCol">
    <undo index="2" exp="area" ref3D="1" dr="$A$226:$XFD$240" dn="Z_F784130D_F647_4ABA_8943_C79CA5B0FDC4_.wvu.Rows" sId="4"/>
    <undo index="1" exp="area" ref3D="1" dr="$A$1:$XFD$3" dn="Z_F784130D_F647_4ABA_8943_C79CA5B0FDC4_.wvu.Rows" sId="4"/>
    <undo index="2" exp="area" ref3D="1" dr="$A$226:$XFD$240" dn="Z_E44F5FE1_54FC_4AB3_84F9_7D65ACF2DDE7_.wvu.Rows" sId="4"/>
    <undo index="1" exp="area" ref3D="1" dr="$A$1:$XFD$3" dn="Z_E44F5FE1_54FC_4AB3_84F9_7D65ACF2DDE7_.wvu.Rows" sId="4"/>
    <undo index="2" exp="area" ref3D="1" dr="$A$226:$XFD$240" dn="Z_AEFEB150_9213_45F5_A178_7AC71E46DB11_.wvu.Rows" sId="4"/>
    <undo index="1" exp="area" ref3D="1" dr="$A$1:$XFD$3" dn="Z_AEFEB150_9213_45F5_A178_7AC71E46DB11_.wvu.Rows" sId="4"/>
    <undo index="2" exp="area" ref3D="1" dr="$A$226:$XFD$240" dn="Z_9D4F0482_B164_4671_805A_E0D2D4DD4720_.wvu.Rows" sId="4"/>
    <undo index="1" exp="area" ref3D="1" dr="$A$1:$XFD$3" dn="Z_9D4F0482_B164_4671_805A_E0D2D4DD4720_.wvu.Rows" sId="4"/>
    <undo index="2" exp="area" ref3D="1" dr="$A$226:$XFD$240" dn="Z_94DA13B6_7351_40F3_8CF7_A4211EC439DA_.wvu.Rows" sId="4"/>
    <undo index="1" exp="area" ref3D="1" dr="$A$1:$XFD$3" dn="Z_94DA13B6_7351_40F3_8CF7_A4211EC439DA_.wvu.Rows" sId="4"/>
    <undo index="2" exp="area" ref3D="1" dr="$A$226:$XFD$240" dn="Z_8F508F4D_4777_42BE_9707_8CB9355F7BDB_.wvu.Rows" sId="4"/>
    <undo index="1" exp="area" ref3D="1" dr="$A$1:$XFD$3" dn="Z_8F508F4D_4777_42BE_9707_8CB9355F7BDB_.wvu.Rows" sId="4"/>
    <undo index="2" exp="area" ref3D="1" dr="$A$226:$XFD$240" dn="Z_78CA186D_B240_44D5_8A24_D241DE0B0FD9_.wvu.Rows" sId="4"/>
    <undo index="1" exp="area" ref3D="1" dr="$A$1:$XFD$3" dn="Z_78CA186D_B240_44D5_8A24_D241DE0B0FD9_.wvu.Rows" sId="4"/>
    <undo index="2" exp="area" ref3D="1" dr="$A$226:$XFD$240" dn="Z_567C3053_2D8E_4705_8DC7_18896C5303CA_.wvu.Rows" sId="4"/>
    <undo index="1" exp="area" ref3D="1" dr="$A$1:$XFD$3" dn="Z_567C3053_2D8E_4705_8DC7_18896C5303CA_.wvu.Rows" sId="4"/>
    <undo index="2" exp="area" ref3D="1" dr="$A$226:$XFD$240" dn="Z_455630F5_40FC_47DB_8AD4_712C20B8FB91_.wvu.Rows" sId="4"/>
    <undo index="1" exp="area" ref3D="1" dr="$A$1:$XFD$3" dn="Z_455630F5_40FC_47DB_8AD4_712C20B8FB91_.wvu.Rows" sId="4"/>
    <undo index="2" exp="area" ref3D="1" dr="$A$226:$XFD$240" dn="Z_1E5198E1_BA46_4CE0_8628_4F695B0D7A3B_.wvu.Rows" sId="4"/>
    <undo index="1" exp="area" ref3D="1" dr="$A$1:$XFD$3" dn="Z_1E5198E1_BA46_4CE0_8628_4F695B0D7A3B_.wvu.Rows" sId="4"/>
  </rrc>
  <rfmt sheetId="4" sqref="BO4:BP5">
    <dxf>
      <fill>
        <patternFill>
          <bgColor rgb="FFFFFF00"/>
        </patternFill>
      </fill>
    </dxf>
  </rfmt>
  <rfmt sheetId="4" sqref="BO4:BO5" start="0" length="0">
    <dxf>
      <border>
        <left style="medium">
          <color indexed="64"/>
        </left>
      </border>
    </dxf>
  </rfmt>
  <rfmt sheetId="4" sqref="BO4:BP4" start="0" length="0">
    <dxf>
      <border>
        <top style="medium">
          <color indexed="64"/>
        </top>
      </border>
    </dxf>
  </rfmt>
  <rfmt sheetId="4" sqref="BP4:BP5" start="0" length="0">
    <dxf>
      <border>
        <right style="medium">
          <color indexed="64"/>
        </right>
      </border>
    </dxf>
  </rfmt>
  <rfmt sheetId="4" sqref="BO4:BO5" start="0" length="0">
    <dxf>
      <border>
        <right style="medium">
          <color indexed="64"/>
        </right>
      </border>
    </dxf>
  </rfmt>
  <rfmt sheetId="4" sqref="BO4" start="0" length="0">
    <dxf>
      <font>
        <b/>
      </font>
    </dxf>
  </rfmt>
  <rcc rId="39319" sId="4" odxf="1" dxf="1">
    <nc r="BO4" t="inlineStr">
      <is>
        <t>FY 2013</t>
      </is>
    </nc>
    <ndxf>
      <numFmt numFmtId="164" formatCode="0.0%"/>
      <alignment horizontal="center" vertical="top" readingOrder="0"/>
      <border outline="0">
        <left/>
        <right/>
        <top/>
      </border>
    </ndxf>
  </rcc>
  <rcc rId="39320" sId="4" odxf="1" dxf="1">
    <nc r="BP4" t="inlineStr">
      <is>
        <t>FY 2013</t>
      </is>
    </nc>
    <odxf>
      <font>
        <b val="0"/>
      </font>
      <numFmt numFmtId="0" formatCode="General"/>
      <alignment horizontal="general" vertical="bottom" readingOrder="0"/>
      <border outline="0">
        <right style="medium">
          <color indexed="64"/>
        </right>
        <top style="medium">
          <color indexed="64"/>
        </top>
      </border>
    </odxf>
    <ndxf>
      <font>
        <b/>
      </font>
      <numFmt numFmtId="164" formatCode="0.0%"/>
      <alignment horizontal="center" vertical="top" readingOrder="0"/>
      <border outline="0">
        <right/>
        <top/>
      </border>
    </ndxf>
  </rcc>
  <rcc rId="39321" sId="4">
    <nc r="BO5" t="inlineStr">
      <is>
        <t>Proposed</t>
      </is>
    </nc>
  </rcc>
  <rcc rId="39322" sId="4">
    <nc r="BP5" t="inlineStr">
      <is>
        <t>Approved</t>
      </is>
    </nc>
  </rcc>
  <rcc rId="39323" sId="4">
    <oc r="BM7">
      <f>BL7-AS7</f>
    </oc>
    <nc r="BM7">
      <f>BL7-AS7</f>
    </nc>
  </rcc>
  <rcc rId="39324" sId="4" odxf="1" dxf="1">
    <nc r="BV7">
      <f>BU7-BL7</f>
    </nc>
    <odxf>
      <numFmt numFmtId="0" formatCode="General"/>
    </odxf>
    <ndxf>
      <numFmt numFmtId="165" formatCode="&quot;$&quot;#,##0"/>
    </ndxf>
  </rcc>
  <rcc rId="39325" sId="4">
    <nc r="BW7">
      <f>BV7/BL7</f>
    </nc>
  </rcc>
  <rfmt sheetId="4" sqref="BV7:BV241">
    <dxf>
      <numFmt numFmtId="3" formatCode="#,##0"/>
    </dxf>
  </rfmt>
  <rfmt sheetId="4" sqref="BV7:BV241">
    <dxf>
      <numFmt numFmtId="165" formatCode="&quot;$&quot;#,##0"/>
    </dxf>
  </rfmt>
  <rfmt sheetId="4" sqref="BW7:BW241">
    <dxf>
      <numFmt numFmtId="14" formatCode="0.00%"/>
    </dxf>
  </rfmt>
  <rcc rId="39326" sId="4">
    <nc r="BV8">
      <f>BU8-BL8</f>
    </nc>
  </rcc>
  <rcc rId="39327" sId="4">
    <nc r="BV9">
      <f>BU9-BL9</f>
    </nc>
  </rcc>
  <rcc rId="39328" sId="4" odxf="1">
    <nc r="BV10">
      <f>BU10-BL10</f>
    </nc>
    <odxf/>
  </rcc>
  <rcc rId="39329" sId="4" odxf="1">
    <nc r="BV11">
      <f>BU11-BL11</f>
    </nc>
    <odxf/>
  </rcc>
  <rcc rId="39330" sId="4" odxf="1">
    <nc r="BV12">
      <f>BU12-BL12</f>
    </nc>
    <odxf/>
  </rcc>
  <rcc rId="39331" sId="4" odxf="1">
    <nc r="BV13">
      <f>BU13-BL13</f>
    </nc>
    <odxf/>
  </rcc>
  <rcc rId="39332" sId="4">
    <nc r="BV14">
      <f>BU14-BL14</f>
    </nc>
  </rcc>
  <rcc rId="39333" sId="4" odxf="1">
    <nc r="BV15">
      <f>BU15-BL15</f>
    </nc>
    <odxf/>
  </rcc>
  <rcc rId="39334" sId="4" odxf="1">
    <nc r="BV16">
      <f>BU16-BL16</f>
    </nc>
    <odxf/>
  </rcc>
  <rcc rId="39335" sId="4">
    <nc r="BV17">
      <f>BU17-BL17</f>
    </nc>
  </rcc>
  <rcc rId="39336" sId="4" odxf="1">
    <nc r="BV18">
      <f>BU18-BL18</f>
    </nc>
    <odxf/>
  </rcc>
  <rcc rId="39337" sId="4">
    <nc r="BV19">
      <f>BU19-BL19</f>
    </nc>
  </rcc>
  <rcc rId="39338" sId="4" odxf="1">
    <nc r="BV20">
      <f>BU20-BL20</f>
    </nc>
    <odxf/>
  </rcc>
  <rcc rId="39339" sId="4" odxf="1">
    <nc r="BV21">
      <f>BU21-BL21</f>
    </nc>
    <odxf/>
  </rcc>
  <rcc rId="39340" sId="4">
    <nc r="BV22">
      <f>BU22-BL22</f>
    </nc>
  </rcc>
  <rcc rId="39341" sId="4" odxf="1">
    <nc r="BV23">
      <f>BU23-BL23</f>
    </nc>
    <odxf/>
  </rcc>
  <rcc rId="39342" sId="4" odxf="1">
    <nc r="BV24">
      <f>BU24-BL24</f>
    </nc>
    <odxf/>
  </rcc>
  <rcc rId="39343" sId="4" odxf="1">
    <nc r="BV25">
      <f>BU25-BL25</f>
    </nc>
    <odxf/>
  </rcc>
  <rcc rId="39344" sId="4" odxf="1">
    <nc r="BV26">
      <f>BU26-BL26</f>
    </nc>
    <odxf/>
  </rcc>
  <rcc rId="39345" sId="4" odxf="1">
    <nc r="BV27">
      <f>BU27-BL27</f>
    </nc>
    <odxf/>
  </rcc>
  <rcc rId="39346" sId="4" odxf="1">
    <nc r="BV28">
      <f>BU28-BL28</f>
    </nc>
    <odxf/>
  </rcc>
  <rcc rId="39347" sId="4">
    <nc r="BV29">
      <f>BU29-BL29</f>
    </nc>
  </rcc>
  <rcc rId="39348" sId="4">
    <nc r="BV30">
      <f>BU30-BL30</f>
    </nc>
  </rcc>
  <rcc rId="39349" sId="4">
    <nc r="BV31">
      <f>BU31-BL31</f>
    </nc>
  </rcc>
  <rcc rId="39350" sId="4" odxf="1">
    <nc r="BV32">
      <f>BU32-BL32</f>
    </nc>
    <odxf/>
  </rcc>
  <rcc rId="39351" sId="4" odxf="1" dxf="1">
    <nc r="BV33">
      <f>BU33-BL33</f>
    </nc>
    <odxf/>
    <ndxf/>
  </rcc>
  <rcc rId="39352" sId="4" odxf="1" dxf="1">
    <nc r="BV34">
      <f>BU34-BL34</f>
    </nc>
    <odxf/>
    <ndxf/>
  </rcc>
  <rcc rId="39353" sId="4" odxf="1" dxf="1">
    <nc r="BV35">
      <f>BU35-BL35</f>
    </nc>
    <odxf/>
    <ndxf/>
  </rcc>
  <rcc rId="39354" sId="4" odxf="1" dxf="1">
    <nc r="BV36">
      <f>BU36-BL36</f>
    </nc>
    <odxf/>
    <ndxf/>
  </rcc>
  <rcc rId="39355" sId="4" odxf="1" dxf="1">
    <nc r="BV37">
      <f>BU37-BL37</f>
    </nc>
    <odxf/>
    <ndxf/>
  </rcc>
  <rcc rId="39356" sId="4" odxf="1" dxf="1">
    <nc r="BV38">
      <f>BU38-BL38</f>
    </nc>
    <odxf>
      <font>
        <i/>
      </font>
    </odxf>
    <ndxf>
      <font>
        <i val="0"/>
      </font>
    </ndxf>
  </rcc>
  <rcc rId="39357" sId="4" odxf="1" dxf="1">
    <nc r="BV39">
      <f>BU39-BL39</f>
    </nc>
    <odxf>
      <font>
        <i/>
      </font>
    </odxf>
    <ndxf>
      <font>
        <i val="0"/>
      </font>
    </ndxf>
  </rcc>
  <rcc rId="39358" sId="4" odxf="1" dxf="1">
    <nc r="BV40">
      <f>BU40-BL40</f>
    </nc>
    <odxf>
      <border outline="0">
        <bottom style="medium">
          <color indexed="64"/>
        </bottom>
      </border>
    </odxf>
    <ndxf>
      <border outline="0">
        <bottom/>
      </border>
    </ndxf>
  </rcc>
  <rcc rId="39359" sId="4" odxf="1" dxf="1">
    <nc r="BV41">
      <f>BU41-BL41</f>
    </nc>
    <odxf>
      <font>
        <b/>
      </font>
    </odxf>
    <ndxf>
      <font>
        <b val="0"/>
      </font>
    </ndxf>
  </rcc>
  <rcc rId="39360" sId="4" odxf="1" dxf="1">
    <nc r="BV42">
      <f>BU42-BL42</f>
    </nc>
    <odxf>
      <font>
        <b/>
      </font>
    </odxf>
    <ndxf>
      <font>
        <b val="0"/>
      </font>
    </ndxf>
  </rcc>
  <rcc rId="39361" sId="4" odxf="1" dxf="1">
    <nc r="BV43">
      <f>BU43-BL43</f>
    </nc>
    <odxf>
      <font>
        <b/>
      </font>
    </odxf>
    <ndxf>
      <font>
        <b val="0"/>
      </font>
    </ndxf>
  </rcc>
  <rcc rId="39362" sId="4" odxf="1" dxf="1">
    <nc r="BV44">
      <f>BU44-BL44</f>
    </nc>
    <odxf>
      <font>
        <b/>
      </font>
    </odxf>
    <ndxf>
      <font>
        <b val="0"/>
      </font>
    </ndxf>
  </rcc>
  <rcc rId="39363" sId="4" odxf="1" dxf="1">
    <nc r="BV45">
      <f>BU45-BL45</f>
    </nc>
    <odxf>
      <font>
        <b/>
      </font>
    </odxf>
    <ndxf>
      <font>
        <b val="0"/>
      </font>
    </ndxf>
  </rcc>
  <rcc rId="39364" sId="4" odxf="1" dxf="1">
    <nc r="BV46">
      <f>BU46-BL46</f>
    </nc>
    <odxf>
      <font>
        <b/>
      </font>
    </odxf>
    <ndxf>
      <font>
        <b val="0"/>
      </font>
    </ndxf>
  </rcc>
  <rcc rId="39365" sId="4" odxf="1" dxf="1">
    <nc r="BV47">
      <f>BU47-BL47</f>
    </nc>
    <odxf>
      <font>
        <b/>
      </font>
    </odxf>
    <ndxf>
      <font>
        <b val="0"/>
      </font>
    </ndxf>
  </rcc>
  <rcc rId="39366" sId="4">
    <nc r="BV48">
      <f>BU48-BL48</f>
    </nc>
  </rcc>
  <rcc rId="39367" sId="4">
    <nc r="BV49">
      <f>BU49-BL49</f>
    </nc>
  </rcc>
  <rfmt sheetId="4" sqref="BV50" start="0" length="0">
    <dxf>
      <fill>
        <patternFill patternType="none">
          <bgColor indexed="65"/>
        </patternFill>
      </fill>
    </dxf>
  </rfmt>
  <rcc rId="39368" sId="4" odxf="1">
    <nc r="BV51">
      <f>BU51-BL51</f>
    </nc>
    <odxf/>
  </rcc>
  <rcc rId="39369" sId="4" odxf="1">
    <nc r="BV52">
      <f>BU52-BL52</f>
    </nc>
    <odxf/>
  </rcc>
  <rcc rId="39370" sId="4" odxf="1">
    <nc r="BV53">
      <f>BU53-BL53</f>
    </nc>
    <odxf/>
  </rcc>
  <rcc rId="39371" sId="4" odxf="1">
    <nc r="BV54">
      <f>BU54-BL54</f>
    </nc>
    <odxf/>
  </rcc>
  <rcc rId="39372" sId="4" odxf="1">
    <nc r="BV55">
      <f>BU55-BL55</f>
    </nc>
    <odxf/>
  </rcc>
  <rcc rId="39373" sId="4" odxf="1">
    <nc r="BV56">
      <f>BU56-BL56</f>
    </nc>
    <odxf/>
  </rcc>
  <rcc rId="39374" sId="4">
    <nc r="BV57">
      <f>BU57-BL57</f>
    </nc>
  </rcc>
  <rcc rId="39375" sId="4" odxf="1">
    <nc r="BV58">
      <f>BU58-BL58</f>
    </nc>
    <odxf/>
  </rcc>
  <rcc rId="39376" sId="4">
    <nc r="BV59">
      <f>BU59-BL59</f>
    </nc>
  </rcc>
  <rcc rId="39377" sId="4" odxf="1">
    <nc r="BV60">
      <f>BU60-BL60</f>
    </nc>
    <odxf/>
  </rcc>
  <rcc rId="39378" sId="4" odxf="1">
    <nc r="BV61">
      <f>BU61-BL61</f>
    </nc>
    <odxf/>
  </rcc>
  <rcc rId="39379" sId="4">
    <nc r="BV62">
      <f>BU62-BL62</f>
    </nc>
  </rcc>
  <rcc rId="39380" sId="4" odxf="1">
    <nc r="BV63">
      <f>BU63-BL63</f>
    </nc>
    <odxf/>
  </rcc>
  <rcc rId="39381" sId="4">
    <nc r="BV64">
      <f>BU64-BL64</f>
    </nc>
  </rcc>
  <rcc rId="39382" sId="4">
    <nc r="BV65">
      <f>BU65-BL65</f>
    </nc>
  </rcc>
  <rcc rId="39383" sId="4" odxf="1">
    <nc r="BV66">
      <f>BU66-BL66</f>
    </nc>
    <odxf/>
  </rcc>
  <rcc rId="39384" sId="4">
    <nc r="BV67">
      <f>BU67-BL67</f>
    </nc>
  </rcc>
  <rcc rId="39385" sId="4">
    <nc r="BV68">
      <f>BU68-BL68</f>
    </nc>
  </rcc>
  <rcc rId="39386" sId="4">
    <nc r="BV69">
      <f>BU69-BL69</f>
    </nc>
  </rcc>
  <rcc rId="39387" sId="4">
    <nc r="BV70">
      <f>BU70-BL70</f>
    </nc>
  </rcc>
  <rcc rId="39388" sId="4">
    <nc r="BV71">
      <f>BU71-BL71</f>
    </nc>
  </rcc>
  <rcc rId="39389" sId="4" odxf="1" dxf="1">
    <nc r="BV72">
      <f>BU72-BL72</f>
    </nc>
    <odxf/>
    <ndxf/>
  </rcc>
  <rcc rId="39390" sId="4" odxf="1" dxf="1">
    <nc r="BV73">
      <f>BU73-BL73</f>
    </nc>
    <odxf>
      <border outline="0">
        <bottom style="medium">
          <color indexed="64"/>
        </bottom>
      </border>
    </odxf>
    <ndxf>
      <border outline="0">
        <bottom/>
      </border>
    </ndxf>
  </rcc>
  <rcc rId="39391" sId="4" odxf="1" dxf="1">
    <nc r="BV74">
      <f>BU74-BL74</f>
    </nc>
    <odxf>
      <font>
        <b/>
      </font>
    </odxf>
    <ndxf>
      <font>
        <b val="0"/>
      </font>
    </ndxf>
  </rcc>
  <rcc rId="39392" sId="4" odxf="1" dxf="1">
    <nc r="BV75">
      <f>BU75-BL75</f>
    </nc>
    <odxf>
      <font>
        <b/>
      </font>
    </odxf>
    <ndxf>
      <font>
        <b val="0"/>
      </font>
    </ndxf>
  </rcc>
  <rcc rId="39393" sId="4" odxf="1" dxf="1">
    <nc r="BV76">
      <f>BU76-BL76</f>
    </nc>
    <odxf>
      <font>
        <b/>
      </font>
    </odxf>
    <ndxf>
      <font>
        <b val="0"/>
      </font>
    </ndxf>
  </rcc>
  <rcc rId="39394" sId="4" odxf="1" dxf="1">
    <nc r="BV77">
      <f>BU77-BL77</f>
    </nc>
    <odxf>
      <font>
        <b/>
      </font>
    </odxf>
    <ndxf>
      <font>
        <b val="0"/>
      </font>
    </ndxf>
  </rcc>
  <rcc rId="39395" sId="4" odxf="1" dxf="1">
    <nc r="BV78">
      <f>BU78-BL78</f>
    </nc>
    <odxf>
      <font>
        <b/>
      </font>
    </odxf>
    <ndxf>
      <font>
        <b val="0"/>
      </font>
    </ndxf>
  </rcc>
  <rcc rId="39396" sId="4" odxf="1" dxf="1">
    <nc r="BV79">
      <f>BU79-BL79</f>
    </nc>
    <odxf>
      <font>
        <b/>
      </font>
    </odxf>
    <ndxf>
      <font>
        <b val="0"/>
      </font>
    </ndxf>
  </rcc>
  <rcc rId="39397" sId="4" odxf="1" dxf="1">
    <nc r="BV80">
      <f>BU80-BL80</f>
    </nc>
    <odxf>
      <font>
        <b/>
      </font>
    </odxf>
    <ndxf>
      <font>
        <b val="0"/>
      </font>
    </ndxf>
  </rcc>
  <rcc rId="39398" sId="4" odxf="1" dxf="1">
    <nc r="BV81">
      <f>BU81-BL81</f>
    </nc>
    <odxf>
      <font>
        <b/>
      </font>
    </odxf>
    <ndxf>
      <font>
        <b val="0"/>
      </font>
    </ndxf>
  </rcc>
  <rcc rId="39399" sId="4" odxf="1" dxf="1">
    <nc r="BV82">
      <f>BU82-BL82</f>
    </nc>
    <odxf>
      <font>
        <b/>
      </font>
    </odxf>
    <ndxf>
      <font>
        <b val="0"/>
      </font>
    </ndxf>
  </rcc>
  <rcc rId="39400" sId="4">
    <nc r="BV83">
      <f>BU83-BL83</f>
    </nc>
  </rcc>
  <rfmt sheetId="4" sqref="BV84" start="0" length="0">
    <dxf>
      <fill>
        <patternFill patternType="none">
          <bgColor indexed="65"/>
        </patternFill>
      </fill>
    </dxf>
  </rfmt>
  <rcc rId="39401" sId="4" odxf="1">
    <nc r="BV85">
      <f>BU85-BL85</f>
    </nc>
    <odxf/>
  </rcc>
  <rcc rId="39402" sId="4" odxf="1">
    <nc r="BV86">
      <f>BU86-BL86</f>
    </nc>
    <odxf/>
  </rcc>
  <rcc rId="39403" sId="4">
    <nc r="BV87">
      <f>BU87-BL87</f>
    </nc>
  </rcc>
  <rcc rId="39404" sId="4" odxf="1">
    <nc r="BV88">
      <f>BU88-BL88</f>
    </nc>
    <odxf/>
  </rcc>
  <rcc rId="39405" sId="4">
    <nc r="BV89">
      <f>BU89-BL89</f>
    </nc>
  </rcc>
  <rcc rId="39406" sId="4" odxf="1">
    <nc r="BV90">
      <f>BU90-BL90</f>
    </nc>
    <odxf/>
  </rcc>
  <rcc rId="39407" sId="4">
    <nc r="BV91">
      <f>BU91-BL91</f>
    </nc>
  </rcc>
  <rcc rId="39408" sId="4">
    <nc r="BV92">
      <f>BU92-BL92</f>
    </nc>
  </rcc>
  <rcc rId="39409" sId="4">
    <nc r="BV93">
      <f>BU93-BL93</f>
    </nc>
  </rcc>
  <rcc rId="39410" sId="4" odxf="1">
    <nc r="BV94">
      <f>BU94-BL94</f>
    </nc>
    <odxf/>
  </rcc>
  <rcc rId="39411" sId="4" odxf="1">
    <nc r="BV95">
      <f>BU95-BL95</f>
    </nc>
    <odxf/>
  </rcc>
  <rcc rId="39412" sId="4" odxf="1">
    <nc r="BV96">
      <f>BU96-BL96</f>
    </nc>
    <odxf/>
  </rcc>
  <rcc rId="39413" sId="4" odxf="1">
    <nc r="BV97">
      <f>BU97-BL97</f>
    </nc>
    <odxf/>
  </rcc>
  <rcc rId="39414" sId="4">
    <nc r="BV98">
      <f>BU98-BL98</f>
    </nc>
  </rcc>
  <rcc rId="39415" sId="4">
    <nc r="BV99">
      <f>BU99-BL99</f>
    </nc>
  </rcc>
  <rcc rId="39416" sId="4">
    <nc r="BV100">
      <f>BU100-BL100</f>
    </nc>
  </rcc>
  <rcc rId="39417" sId="4">
    <nc r="BV101">
      <f>BU101-BL101</f>
    </nc>
  </rcc>
  <rcc rId="39418" sId="4">
    <nc r="BV102">
      <f>BU102-BL102</f>
    </nc>
  </rcc>
  <rcc rId="39419" sId="4">
    <nc r="BV103">
      <f>BU103-BL103</f>
    </nc>
  </rcc>
  <rcc rId="39420" sId="4" odxf="1" dxf="1">
    <nc r="BV104">
      <f>BU104-BL104</f>
    </nc>
    <odxf/>
    <ndxf/>
  </rcc>
  <rcc rId="39421" sId="4">
    <nc r="BV105">
      <f>BU105-BL105</f>
    </nc>
  </rcc>
  <rcc rId="39422" sId="4">
    <nc r="BV106">
      <f>BU106-BL106</f>
    </nc>
  </rcc>
  <rcc rId="39423" sId="4" odxf="1" dxf="1">
    <nc r="BV107">
      <f>BU107-BL107</f>
    </nc>
    <odxf>
      <border outline="0">
        <bottom style="medium">
          <color indexed="64"/>
        </bottom>
      </border>
    </odxf>
    <ndxf>
      <border outline="0">
        <bottom/>
      </border>
    </ndxf>
  </rcc>
  <rcc rId="39424" sId="4" odxf="1" dxf="1">
    <nc r="BV108">
      <f>BU108-BL108</f>
    </nc>
    <odxf>
      <font>
        <b/>
      </font>
    </odxf>
    <ndxf>
      <font>
        <b val="0"/>
      </font>
    </ndxf>
  </rcc>
  <rcc rId="39425" sId="4" odxf="1" dxf="1">
    <nc r="BV109">
      <f>BU109-BL109</f>
    </nc>
    <odxf>
      <font>
        <b/>
      </font>
    </odxf>
    <ndxf>
      <font>
        <b val="0"/>
      </font>
    </ndxf>
  </rcc>
  <rcc rId="39426" sId="4" odxf="1" dxf="1">
    <nc r="BV110">
      <f>BU110-BL110</f>
    </nc>
    <odxf>
      <font>
        <b/>
      </font>
    </odxf>
    <ndxf>
      <font>
        <b val="0"/>
      </font>
    </ndxf>
  </rcc>
  <rcc rId="39427" sId="4" odxf="1" dxf="1">
    <nc r="BV111">
      <f>BU111-BL111</f>
    </nc>
    <odxf>
      <font>
        <b/>
      </font>
    </odxf>
    <ndxf>
      <font>
        <b val="0"/>
      </font>
    </ndxf>
  </rcc>
  <rcc rId="39428" sId="4" odxf="1" dxf="1">
    <nc r="BV112">
      <f>BU112-BL112</f>
    </nc>
    <odxf>
      <font>
        <b/>
      </font>
    </odxf>
    <ndxf>
      <font>
        <b val="0"/>
      </font>
    </ndxf>
  </rcc>
  <rcc rId="39429" sId="4" odxf="1" dxf="1">
    <nc r="BV113">
      <f>BU113-BL113</f>
    </nc>
    <odxf>
      <font>
        <b/>
      </font>
    </odxf>
    <ndxf>
      <font>
        <b val="0"/>
      </font>
    </ndxf>
  </rcc>
  <rcc rId="39430" sId="4" odxf="1" dxf="1">
    <nc r="BV114">
      <f>BU114-BL114</f>
    </nc>
    <odxf>
      <font>
        <b/>
      </font>
    </odxf>
    <ndxf>
      <font>
        <b val="0"/>
      </font>
    </ndxf>
  </rcc>
  <rcc rId="39431" sId="4">
    <nc r="BV115">
      <f>BU115-BL115</f>
    </nc>
  </rcc>
  <rcc rId="39432" sId="4">
    <nc r="BV116">
      <f>BU116-BL116</f>
    </nc>
  </rcc>
  <rcc rId="39433" sId="4">
    <nc r="BV117">
      <f>BU117-BL117</f>
    </nc>
  </rcc>
  <rfmt sheetId="4" sqref="BV118" start="0" length="0">
    <dxf>
      <fill>
        <patternFill patternType="none">
          <bgColor indexed="65"/>
        </patternFill>
      </fill>
    </dxf>
  </rfmt>
  <rcc rId="39434" sId="4" odxf="1">
    <nc r="BV119">
      <f>BU119-BL119</f>
    </nc>
    <odxf/>
  </rcc>
  <rcc rId="39435" sId="4">
    <nc r="BV120">
      <f>BU120-BL120</f>
    </nc>
  </rcc>
  <rcc rId="39436" sId="4">
    <nc r="BV121">
      <f>BU121-BL121</f>
    </nc>
  </rcc>
  <rcc rId="39437" sId="4">
    <nc r="BV122">
      <f>BU122-BL122</f>
    </nc>
  </rcc>
  <rcc rId="39438" sId="4" odxf="1">
    <nc r="BV123">
      <f>BU123-BL123</f>
    </nc>
    <odxf/>
  </rcc>
  <rcc rId="39439" sId="4">
    <nc r="BV124">
      <f>BU124-BL124</f>
    </nc>
  </rcc>
  <rcc rId="39440" sId="4" odxf="1" dxf="1">
    <nc r="BV125">
      <f>BU125-BL125</f>
    </nc>
    <odxf/>
    <ndxf/>
  </rcc>
  <rcc rId="39441" sId="4" odxf="1" dxf="1">
    <nc r="BV126">
      <f>BU126-BL126</f>
    </nc>
    <odxf/>
    <ndxf/>
  </rcc>
  <rcc rId="39442" sId="4" odxf="1" dxf="1">
    <nc r="BV127">
      <f>BU127-BL127</f>
    </nc>
    <odxf/>
    <ndxf/>
  </rcc>
  <rcc rId="39443" sId="4" odxf="1">
    <nc r="BV128">
      <f>BU128-BL128</f>
    </nc>
    <odxf/>
  </rcc>
  <rcc rId="39444" sId="4">
    <nc r="BV129">
      <f>BU129-BL129</f>
    </nc>
  </rcc>
  <rcc rId="39445" sId="4">
    <nc r="BV130">
      <f>BU130-BL130</f>
    </nc>
  </rcc>
  <rcc rId="39446" sId="4" odxf="1" dxf="1">
    <nc r="BV131">
      <f>BU131-BL131</f>
    </nc>
    <odxf>
      <border outline="0">
        <bottom style="medium">
          <color indexed="64"/>
        </bottom>
      </border>
    </odxf>
    <ndxf>
      <border outline="0">
        <bottom/>
      </border>
    </ndxf>
  </rcc>
  <rcc rId="39447" sId="4" odxf="1" dxf="1">
    <nc r="BV132">
      <f>BU132-BL132</f>
    </nc>
    <odxf>
      <font>
        <b/>
      </font>
    </odxf>
    <ndxf>
      <font>
        <b val="0"/>
      </font>
    </ndxf>
  </rcc>
  <rcc rId="39448" sId="4" odxf="1" dxf="1">
    <nc r="BV133">
      <f>BU133-BL133</f>
    </nc>
    <odxf>
      <font>
        <b/>
      </font>
    </odxf>
    <ndxf>
      <font>
        <b val="0"/>
      </font>
    </ndxf>
  </rcc>
  <rcc rId="39449" sId="4" odxf="1" dxf="1">
    <nc r="BV134">
      <f>BU134-BL134</f>
    </nc>
    <odxf>
      <font>
        <b/>
      </font>
    </odxf>
    <ndxf>
      <font>
        <b val="0"/>
      </font>
    </ndxf>
  </rcc>
  <rcc rId="39450" sId="4" odxf="1" dxf="1">
    <nc r="BV135">
      <f>BU135-BL135</f>
    </nc>
    <odxf>
      <font>
        <b/>
      </font>
    </odxf>
    <ndxf>
      <font>
        <b val="0"/>
      </font>
    </ndxf>
  </rcc>
  <rcc rId="39451" sId="4">
    <nc r="BV136">
      <f>BU136-BL136</f>
    </nc>
  </rcc>
  <rcc rId="39452" sId="4">
    <nc r="BV137">
      <f>BU137-BL137</f>
    </nc>
  </rcc>
  <rcc rId="39453" sId="4">
    <nc r="BV138">
      <f>BU138-BL138</f>
    </nc>
  </rcc>
  <rcc rId="39454" sId="4">
    <nc r="BV139">
      <f>BU139-BL139</f>
    </nc>
  </rcc>
  <rcc rId="39455" sId="4">
    <nc r="BV140">
      <f>BU140-BL140</f>
    </nc>
  </rcc>
  <rcc rId="39456" sId="4">
    <nc r="BV141">
      <f>BU141-BL141</f>
    </nc>
  </rcc>
  <rcc rId="39457" sId="4">
    <nc r="BV142">
      <f>BU142-BL142</f>
    </nc>
  </rcc>
  <rcc rId="39458" sId="4">
    <nc r="BV143">
      <f>BU143-BL143</f>
    </nc>
  </rcc>
  <rfmt sheetId="4" sqref="BV144" start="0" length="0">
    <dxf>
      <fill>
        <patternFill patternType="none">
          <bgColor indexed="65"/>
        </patternFill>
      </fill>
    </dxf>
  </rfmt>
  <rcc rId="39459" sId="4">
    <nc r="BV145">
      <f>BU145-BL145</f>
    </nc>
  </rcc>
  <rcc rId="39460" sId="4">
    <nc r="BV146">
      <f>BU146-BL146</f>
    </nc>
  </rcc>
  <rcc rId="39461" sId="4">
    <nc r="BV147">
      <f>BU147-BL147</f>
    </nc>
  </rcc>
  <rcc rId="39462" sId="4">
    <nc r="BV148">
      <f>BU148-BL148</f>
    </nc>
  </rcc>
  <rcc rId="39463" sId="4">
    <nc r="BV149">
      <f>BU149-BL149</f>
    </nc>
  </rcc>
  <rcc rId="39464" sId="4" odxf="1">
    <nc r="BV150">
      <f>BU150-BL150</f>
    </nc>
    <odxf/>
  </rcc>
  <rcc rId="39465" sId="4" odxf="1">
    <nc r="BV151">
      <f>BU151-BL151</f>
    </nc>
    <odxf/>
  </rcc>
  <rcc rId="39466" sId="4">
    <nc r="BV152">
      <f>BU152-BL152</f>
    </nc>
  </rcc>
  <rcc rId="39467" sId="4">
    <nc r="BV153">
      <f>BU153-BL153</f>
    </nc>
  </rcc>
  <rcc rId="39468" sId="4" odxf="1">
    <nc r="BV154">
      <f>BU154-BL154</f>
    </nc>
    <odxf/>
  </rcc>
  <rcc rId="39469" sId="4" odxf="1">
    <nc r="BV155">
      <f>BU155-BL155</f>
    </nc>
    <odxf/>
  </rcc>
  <rcc rId="39470" sId="4">
    <nc r="BV156">
      <f>BU156-BL156</f>
    </nc>
  </rcc>
  <rcc rId="39471" sId="4">
    <nc r="BV157">
      <f>BU157-BL157</f>
    </nc>
  </rcc>
  <rcc rId="39472" sId="4" odxf="1">
    <nc r="BV158">
      <f>BU158-BL158</f>
    </nc>
    <odxf/>
  </rcc>
  <rcc rId="39473" sId="4" odxf="1">
    <nc r="BV159">
      <f>BU159-BL159</f>
    </nc>
    <odxf/>
  </rcc>
  <rcc rId="39474" sId="4" odxf="1">
    <nc r="BV160">
      <f>BU160-BL160</f>
    </nc>
    <odxf/>
  </rcc>
  <rcc rId="39475" sId="4">
    <nc r="BV161">
      <f>BU161-BL161</f>
    </nc>
  </rcc>
  <rcc rId="39476" sId="4">
    <nc r="BV162">
      <f>BU162-BL162</f>
    </nc>
  </rcc>
  <rcc rId="39477" sId="4">
    <nc r="BV163">
      <f>BU163-BL163</f>
    </nc>
  </rcc>
  <rcc rId="39478" sId="4" odxf="1" dxf="1">
    <nc r="BV164">
      <f>BU164-BL164</f>
    </nc>
    <odxf>
      <border outline="0">
        <bottom style="medium">
          <color indexed="64"/>
        </bottom>
      </border>
    </odxf>
    <ndxf>
      <border outline="0">
        <bottom/>
      </border>
    </ndxf>
  </rcc>
  <rcc rId="39479" sId="4" odxf="1" dxf="1">
    <nc r="BV165">
      <f>BU165-BL165</f>
    </nc>
    <odxf>
      <font>
        <b/>
      </font>
    </odxf>
    <ndxf>
      <font>
        <b val="0"/>
      </font>
    </ndxf>
  </rcc>
  <rcc rId="39480" sId="4" odxf="1" dxf="1">
    <nc r="BV166">
      <f>BU166-BL166</f>
    </nc>
    <odxf>
      <font>
        <b/>
      </font>
    </odxf>
    <ndxf>
      <font>
        <b val="0"/>
      </font>
    </ndxf>
  </rcc>
  <rcc rId="39481" sId="4" odxf="1" dxf="1">
    <nc r="BV167">
      <f>BU167-BL167</f>
    </nc>
    <odxf>
      <font>
        <b/>
      </font>
    </odxf>
    <ndxf>
      <font>
        <b val="0"/>
      </font>
    </ndxf>
  </rcc>
  <rcc rId="39482" sId="4" odxf="1" dxf="1">
    <nc r="BV168">
      <f>BU168-BL168</f>
    </nc>
    <odxf>
      <font>
        <b/>
      </font>
    </odxf>
    <ndxf>
      <font>
        <b val="0"/>
      </font>
    </ndxf>
  </rcc>
  <rcc rId="39483" sId="4" odxf="1" dxf="1">
    <nc r="BV169">
      <f>BU169-BL169</f>
    </nc>
    <odxf>
      <font>
        <b/>
      </font>
    </odxf>
    <ndxf>
      <font>
        <b val="0"/>
      </font>
    </ndxf>
  </rcc>
  <rcc rId="39484" sId="4" odxf="1" dxf="1">
    <nc r="BV170">
      <f>BU170-BL170</f>
    </nc>
    <odxf>
      <font>
        <b/>
      </font>
    </odxf>
    <ndxf>
      <font>
        <b val="0"/>
      </font>
    </ndxf>
  </rcc>
  <rcc rId="39485" sId="4" odxf="1" dxf="1">
    <nc r="BV171">
      <f>BU171-BL171</f>
    </nc>
    <odxf>
      <font>
        <b/>
      </font>
    </odxf>
    <ndxf>
      <font>
        <b val="0"/>
      </font>
    </ndxf>
  </rcc>
  <rcc rId="39486" sId="4" odxf="1" dxf="1">
    <nc r="BV172">
      <f>BU172-BL172</f>
    </nc>
    <odxf>
      <font>
        <b/>
      </font>
    </odxf>
    <ndxf>
      <font>
        <b val="0"/>
      </font>
    </ndxf>
  </rcc>
  <rcc rId="39487" sId="4" odxf="1" dxf="1">
    <nc r="BV173">
      <f>BU173-BL173</f>
    </nc>
    <odxf>
      <font>
        <b/>
      </font>
    </odxf>
    <ndxf>
      <font>
        <b val="0"/>
      </font>
    </ndxf>
  </rcc>
  <rcc rId="39488" sId="4" odxf="1" dxf="1">
    <nc r="BV174">
      <f>BU174-BL174</f>
    </nc>
    <odxf>
      <font>
        <b/>
      </font>
    </odxf>
    <ndxf>
      <font>
        <b val="0"/>
      </font>
    </ndxf>
  </rcc>
  <rcc rId="39489" sId="4">
    <nc r="BV175">
      <f>BU175-BL175</f>
    </nc>
  </rcc>
  <rcc rId="39490" sId="4">
    <nc r="BV176">
      <f>BU176-BL176</f>
    </nc>
  </rcc>
  <rfmt sheetId="4" sqref="BV177" start="0" length="0">
    <dxf>
      <fill>
        <patternFill patternType="none">
          <bgColor indexed="65"/>
        </patternFill>
      </fill>
    </dxf>
  </rfmt>
  <rcc rId="39491" sId="4" odxf="1">
    <nc r="BV178">
      <f>BU178-BL178</f>
    </nc>
    <odxf/>
  </rcc>
  <rcc rId="39492" sId="4" odxf="1">
    <nc r="BV179">
      <f>BU179-BL179</f>
    </nc>
    <odxf/>
  </rcc>
  <rcc rId="39493" sId="4" odxf="1">
    <nc r="BV180">
      <f>BU180-BL180</f>
    </nc>
    <odxf/>
  </rcc>
  <rcc rId="39494" sId="4" odxf="1">
    <nc r="BV181">
      <f>BU181-BL181</f>
    </nc>
    <odxf/>
  </rcc>
  <rcc rId="39495" sId="4" odxf="1">
    <nc r="BV182">
      <f>BU182-BL182</f>
    </nc>
    <odxf/>
  </rcc>
  <rcc rId="39496" sId="4">
    <nc r="BV183">
      <f>BU183-BL183</f>
    </nc>
  </rcc>
  <rcc rId="39497" sId="4">
    <nc r="BV184">
      <f>BU184-BL184</f>
    </nc>
  </rcc>
  <rcc rId="39498" sId="4">
    <nc r="BV185">
      <f>BU185-BL185</f>
    </nc>
  </rcc>
  <rcc rId="39499" sId="4" odxf="1" dxf="1">
    <nc r="BV186">
      <f>BU186-BL186</f>
    </nc>
    <odxf>
      <border outline="0">
        <bottom style="medium">
          <color indexed="64"/>
        </bottom>
      </border>
    </odxf>
    <ndxf>
      <border outline="0">
        <bottom/>
      </border>
    </ndxf>
  </rcc>
  <rcc rId="39500" sId="4" odxf="1" dxf="1">
    <nc r="BV187">
      <f>BU187-BL187</f>
    </nc>
    <odxf>
      <font>
        <b/>
      </font>
    </odxf>
    <ndxf>
      <font>
        <b val="0"/>
      </font>
    </ndxf>
  </rcc>
  <rcc rId="39501" sId="4" odxf="1" dxf="1">
    <nc r="BV188">
      <f>BU188-BL188</f>
    </nc>
    <odxf>
      <font>
        <b/>
      </font>
    </odxf>
    <ndxf>
      <font>
        <b val="0"/>
      </font>
    </ndxf>
  </rcc>
  <rcc rId="39502" sId="4" odxf="1" dxf="1">
    <nc r="BV189">
      <f>BU189-BL189</f>
    </nc>
    <odxf>
      <font>
        <b/>
      </font>
    </odxf>
    <ndxf>
      <font>
        <b val="0"/>
      </font>
    </ndxf>
  </rcc>
  <rcc rId="39503" sId="4">
    <nc r="BV190">
      <f>BU190-BL190</f>
    </nc>
  </rcc>
  <rcc rId="39504" sId="4">
    <nc r="BV191">
      <f>BU191-BL191</f>
    </nc>
  </rcc>
  <rcc rId="39505" sId="4">
    <nc r="BV192">
      <f>BU192-BL192</f>
    </nc>
  </rcc>
  <rcc rId="39506" sId="4">
    <nc r="BV193">
      <f>BU193-BL193</f>
    </nc>
  </rcc>
  <rcc rId="39507" sId="4">
    <nc r="BV194">
      <f>BU194-BL194</f>
    </nc>
  </rcc>
  <rcc rId="39508" sId="4">
    <nc r="BV195">
      <f>BU195-BL195</f>
    </nc>
  </rcc>
  <rfmt sheetId="4" sqref="BV196" start="0" length="0">
    <dxf>
      <fill>
        <patternFill patternType="none">
          <bgColor indexed="65"/>
        </patternFill>
      </fill>
    </dxf>
  </rfmt>
  <rcc rId="39509" sId="4">
    <nc r="BV197">
      <f>BU197-BL197</f>
    </nc>
  </rcc>
  <rcc rId="39510" sId="4">
    <nc r="BV198">
      <f>BU198-BL198</f>
    </nc>
  </rcc>
  <rcc rId="39511" sId="4">
    <nc r="BV199">
      <f>BU199-BL199</f>
    </nc>
  </rcc>
  <rcc rId="39512" sId="4">
    <nc r="BV200">
      <f>BU200-BL200</f>
    </nc>
  </rcc>
  <rcc rId="39513" sId="4">
    <nc r="BV201">
      <f>BU201-BL201</f>
    </nc>
  </rcc>
  <rcc rId="39514" sId="4">
    <nc r="BV202">
      <f>BU202-BL202</f>
    </nc>
  </rcc>
  <rcc rId="39515" sId="4">
    <nc r="BV203">
      <f>BU203-BL203</f>
    </nc>
  </rcc>
  <rcc rId="39516" sId="4">
    <nc r="BV204">
      <f>BU204-BL204</f>
    </nc>
  </rcc>
  <rcc rId="39517" sId="4">
    <nc r="BV205">
      <f>BU205-BL205</f>
    </nc>
  </rcc>
  <rcc rId="39518" sId="4">
    <nc r="BV206">
      <f>BU206-BL206</f>
    </nc>
  </rcc>
  <rcc rId="39519" sId="4">
    <nc r="BV207">
      <f>BU207-BL207</f>
    </nc>
  </rcc>
  <rcc rId="39520" sId="4">
    <nc r="BV208">
      <f>BU208-BL208</f>
    </nc>
  </rcc>
  <rcc rId="39521" sId="4">
    <nc r="BV209">
      <f>BU209-BL209</f>
    </nc>
  </rcc>
  <rcc rId="39522" sId="4" odxf="1" dxf="1">
    <nc r="BV210">
      <f>BU210-BL210</f>
    </nc>
    <odxf/>
    <ndxf/>
  </rcc>
  <rcc rId="39523" sId="4" odxf="1" dxf="1">
    <nc r="BV211">
      <f>BU211-BL211</f>
    </nc>
    <odxf/>
    <ndxf/>
  </rcc>
  <rcc rId="39524" sId="4" odxf="1" dxf="1">
    <nc r="BV212">
      <f>BU212-BL212</f>
    </nc>
    <odxf/>
    <ndxf/>
  </rcc>
  <rcc rId="39525" sId="4" odxf="1" dxf="1">
    <nc r="BV213">
      <f>BU213-BL213</f>
    </nc>
    <odxf/>
    <ndxf/>
  </rcc>
  <rcc rId="39526" sId="4" odxf="1" dxf="1">
    <nc r="BV214">
      <f>BU214-BL214</f>
    </nc>
    <odxf/>
    <ndxf/>
  </rcc>
  <rcc rId="39527" sId="4" odxf="1" dxf="1">
    <nc r="BV215">
      <f>BU215-BL215</f>
    </nc>
    <odxf/>
    <ndxf/>
  </rcc>
  <rcc rId="39528" sId="4" odxf="1" dxf="1">
    <nc r="BV216">
      <f>BU216-BL216</f>
    </nc>
    <odxf/>
    <ndxf/>
  </rcc>
  <rcc rId="39529" sId="4" odxf="1" dxf="1">
    <nc r="BV217">
      <f>BU217-BL217</f>
    </nc>
    <odxf/>
    <ndxf/>
  </rcc>
  <rcc rId="39530" sId="4" odxf="1" dxf="1">
    <nc r="BV218">
      <f>BU218-BL218</f>
    </nc>
    <odxf/>
    <ndxf/>
  </rcc>
  <rcc rId="39531" sId="4" odxf="1" dxf="1">
    <nc r="BV219">
      <f>BU219-BL219</f>
    </nc>
    <odxf/>
    <ndxf/>
  </rcc>
  <rcc rId="39532" sId="4" odxf="1" dxf="1">
    <nc r="BV220">
      <f>BU220-BL220</f>
    </nc>
    <odxf/>
    <ndxf/>
  </rcc>
  <rcc rId="39533" sId="4" odxf="1" dxf="1">
    <nc r="BV221">
      <f>BU221-BL221</f>
    </nc>
    <odxf>
      <font>
        <b/>
      </font>
      <border outline="0">
        <top style="medium">
          <color indexed="64"/>
        </top>
      </border>
    </odxf>
    <ndxf>
      <font>
        <b val="0"/>
      </font>
      <border outline="0">
        <top/>
      </border>
    </ndxf>
  </rcc>
  <rcc rId="39534" sId="4" odxf="1" dxf="1">
    <nc r="BV222">
      <f>BU222-BL222</f>
    </nc>
    <odxf/>
    <ndxf/>
  </rcc>
  <rcc rId="39535" sId="4" odxf="1" dxf="1">
    <nc r="BV223">
      <f>BU223-BL223</f>
    </nc>
    <odxf/>
    <ndxf/>
  </rcc>
  <rcc rId="39536" sId="4" odxf="1" dxf="1">
    <nc r="BV224">
      <f>BU224-BL224</f>
    </nc>
    <odxf/>
    <ndxf/>
  </rcc>
  <rcc rId="39537" sId="4" odxf="1" dxf="1">
    <nc r="BV225">
      <f>BU225-BL225</f>
    </nc>
    <odxf>
      <border outline="0">
        <bottom style="medium">
          <color indexed="64"/>
        </bottom>
      </border>
    </odxf>
    <ndxf>
      <border outline="0">
        <bottom/>
      </border>
    </ndxf>
  </rcc>
  <rcc rId="39538" sId="4" odxf="1" dxf="1">
    <nc r="BV226">
      <f>BU226-BL226</f>
    </nc>
    <odxf/>
    <ndxf/>
  </rcc>
  <rcc rId="39539" sId="4" odxf="1" dxf="1">
    <nc r="BV227">
      <f>BU227-BL227</f>
    </nc>
    <odxf/>
    <ndxf/>
  </rcc>
  <rcc rId="39540" sId="4" odxf="1" dxf="1">
    <nc r="BV228">
      <f>BU228-BL228</f>
    </nc>
    <odxf/>
    <ndxf/>
  </rcc>
  <rcc rId="39541" sId="4" odxf="1" dxf="1">
    <nc r="BV229">
      <f>BU229-BL229</f>
    </nc>
    <odxf/>
    <ndxf/>
  </rcc>
  <rcc rId="39542" sId="4" odxf="1" dxf="1">
    <nc r="BV230">
      <f>BU230-BL230</f>
    </nc>
    <odxf/>
    <ndxf/>
  </rcc>
  <rcc rId="39543" sId="4" odxf="1" dxf="1">
    <nc r="BV231">
      <f>BU231-BL231</f>
    </nc>
    <odxf/>
    <ndxf/>
  </rcc>
  <rcc rId="39544" sId="4" odxf="1" dxf="1">
    <nc r="BV232">
      <f>BU232-BL232</f>
    </nc>
    <odxf/>
    <ndxf/>
  </rcc>
  <rcc rId="39545" sId="4" odxf="1" dxf="1">
    <nc r="BV233">
      <f>BU233-BL233</f>
    </nc>
    <odxf/>
    <ndxf/>
  </rcc>
  <rcc rId="39546" sId="4" odxf="1" dxf="1">
    <nc r="BV234">
      <f>BU234-BL234</f>
    </nc>
    <odxf/>
    <ndxf/>
  </rcc>
  <rcc rId="39547" sId="4" odxf="1" dxf="1">
    <nc r="BV235">
      <f>BU235-BL235</f>
    </nc>
    <odxf/>
    <ndxf/>
  </rcc>
  <rcc rId="39548" sId="4" odxf="1" dxf="1">
    <nc r="BV236">
      <f>BU236-BL236</f>
    </nc>
    <odxf/>
    <ndxf/>
  </rcc>
  <rcc rId="39549" sId="4" odxf="1" dxf="1">
    <nc r="BV237">
      <f>BU237-BL237</f>
    </nc>
    <odxf/>
    <ndxf/>
  </rcc>
  <rcc rId="39550" sId="4" odxf="1" dxf="1">
    <nc r="BV238">
      <f>BU238-BL238</f>
    </nc>
    <odxf/>
    <ndxf/>
  </rcc>
  <rcc rId="39551" sId="4" odxf="1" dxf="1">
    <nc r="BV239">
      <f>BU239-BL239</f>
    </nc>
    <odxf/>
    <ndxf/>
  </rcc>
  <rcc rId="39552" sId="4">
    <nc r="BV240">
      <f>BU240-BL240</f>
    </nc>
  </rcc>
  <rfmt sheetId="4" sqref="BV241" start="0" length="0">
    <dxf>
      <font>
        <b val="0"/>
      </font>
      <fill>
        <patternFill patternType="none">
          <bgColor indexed="65"/>
        </patternFill>
      </fill>
    </dxf>
  </rfmt>
  <rcc rId="39553" sId="4">
    <nc r="BW8">
      <f>BV8/BL8</f>
    </nc>
  </rcc>
  <rcc rId="39554" sId="4">
    <nc r="BW9">
      <f>BV9/BL9</f>
    </nc>
  </rcc>
  <rcc rId="39555" sId="4" odxf="1">
    <nc r="BW10">
      <f>BV10/BL10</f>
    </nc>
    <odxf/>
  </rcc>
  <rcc rId="39556" sId="4" odxf="1">
    <nc r="BW11">
      <f>BV11/BL11</f>
    </nc>
    <odxf/>
  </rcc>
  <rcc rId="39557" sId="4" odxf="1">
    <nc r="BW12">
      <f>BV12/BL12</f>
    </nc>
    <odxf/>
  </rcc>
  <rcc rId="39558" sId="4" odxf="1">
    <nc r="BW13">
      <f>BV13/BL13</f>
    </nc>
    <odxf/>
  </rcc>
  <rcc rId="39559" sId="4">
    <nc r="BW14">
      <f>BV14/BL14</f>
    </nc>
  </rcc>
  <rcc rId="39560" sId="4" odxf="1">
    <nc r="BW15">
      <f>BV15/BL15</f>
    </nc>
    <odxf/>
  </rcc>
  <rcc rId="39561" sId="4" odxf="1">
    <nc r="BW16">
      <f>BV16/BL16</f>
    </nc>
    <odxf/>
  </rcc>
  <rcc rId="39562" sId="4">
    <nc r="BW17">
      <f>BV17/BL17</f>
    </nc>
  </rcc>
  <rcc rId="39563" sId="4" odxf="1">
    <nc r="BW18">
      <f>BV18/BL18</f>
    </nc>
    <odxf/>
  </rcc>
  <rcc rId="39564" sId="4">
    <nc r="BW19">
      <f>BV19/BL19</f>
    </nc>
  </rcc>
  <rcc rId="39565" sId="4" odxf="1">
    <nc r="BW20">
      <f>BV20/BL20</f>
    </nc>
    <odxf/>
  </rcc>
  <rcc rId="39566" sId="4" odxf="1">
    <nc r="BW21">
      <f>BV21/BL21</f>
    </nc>
    <odxf/>
  </rcc>
  <rcc rId="39567" sId="4">
    <nc r="BW22">
      <f>BV22/BL22</f>
    </nc>
  </rcc>
  <rcc rId="39568" sId="4" odxf="1">
    <nc r="BW23">
      <f>BV23/BL23</f>
    </nc>
    <odxf/>
  </rcc>
  <rcc rId="39569" sId="4" odxf="1">
    <nc r="BW24">
      <f>BV24/BL24</f>
    </nc>
    <odxf/>
  </rcc>
  <rcc rId="39570" sId="4" odxf="1">
    <nc r="BW25">
      <f>BV25/BL25</f>
    </nc>
    <odxf/>
  </rcc>
  <rcc rId="39571" sId="4" odxf="1">
    <nc r="BW26">
      <f>BV26/BL26</f>
    </nc>
    <odxf/>
  </rcc>
  <rcc rId="39572" sId="4" odxf="1">
    <nc r="BW27">
      <f>BV27/BL27</f>
    </nc>
    <odxf/>
  </rcc>
  <rcc rId="39573" sId="4" odxf="1">
    <nc r="BW28">
      <f>BV28/BL28</f>
    </nc>
    <odxf/>
  </rcc>
  <rcc rId="39574" sId="4">
    <nc r="BW29">
      <f>BV29/BL29</f>
    </nc>
  </rcc>
  <rcc rId="39575" sId="4">
    <nc r="BW30">
      <f>BV30/BL30</f>
    </nc>
  </rcc>
  <rcc rId="39576" sId="4">
    <nc r="BW31">
      <f>BV31/BL31</f>
    </nc>
  </rcc>
  <rcc rId="39577" sId="4" odxf="1">
    <nc r="BW32">
      <f>BV32/BL32</f>
    </nc>
    <odxf/>
  </rcc>
  <rcc rId="39578" sId="4" odxf="1" dxf="1">
    <nc r="BW33">
      <f>BV33/BL33</f>
    </nc>
    <odxf/>
    <ndxf/>
  </rcc>
  <rcc rId="39579" sId="4" odxf="1" dxf="1">
    <nc r="BW34">
      <f>BV34/BL34</f>
    </nc>
    <odxf/>
    <ndxf/>
  </rcc>
  <rcc rId="39580" sId="4" odxf="1" dxf="1">
    <nc r="BW35">
      <f>BV35/BL35</f>
    </nc>
    <odxf/>
    <ndxf/>
  </rcc>
  <rcc rId="39581" sId="4" odxf="1" dxf="1">
    <nc r="BW36">
      <f>BV36/BL36</f>
    </nc>
    <odxf/>
    <ndxf/>
  </rcc>
  <rcc rId="39582" sId="4" odxf="1" dxf="1">
    <nc r="BW37">
      <f>BV37/BL37</f>
    </nc>
    <odxf/>
    <ndxf/>
  </rcc>
  <rcc rId="39583" sId="4" odxf="1" dxf="1">
    <nc r="BW38">
      <f>BV38/BL38</f>
    </nc>
    <odxf>
      <font>
        <i/>
      </font>
    </odxf>
    <ndxf>
      <font>
        <i val="0"/>
      </font>
    </ndxf>
  </rcc>
  <rcc rId="39584" sId="4" odxf="1" dxf="1">
    <nc r="BW39">
      <f>BV39/BL39</f>
    </nc>
    <odxf>
      <font>
        <i/>
      </font>
    </odxf>
    <ndxf>
      <font>
        <i val="0"/>
      </font>
    </ndxf>
  </rcc>
  <rcc rId="39585" sId="4" odxf="1" dxf="1">
    <nc r="BW40">
      <f>BV40/BL40</f>
    </nc>
    <odxf>
      <border outline="0">
        <bottom style="medium">
          <color indexed="64"/>
        </bottom>
      </border>
    </odxf>
    <ndxf>
      <border outline="0">
        <bottom/>
      </border>
    </ndxf>
  </rcc>
  <rcc rId="39586" sId="4" odxf="1" dxf="1">
    <nc r="BW41">
      <f>BV41/BL41</f>
    </nc>
    <odxf>
      <font>
        <b/>
      </font>
    </odxf>
    <ndxf>
      <font>
        <b val="0"/>
      </font>
    </ndxf>
  </rcc>
  <rcc rId="39587" sId="4" odxf="1" dxf="1">
    <nc r="BW42">
      <f>BV42/BL42</f>
    </nc>
    <odxf>
      <font>
        <b/>
      </font>
    </odxf>
    <ndxf>
      <font>
        <b val="0"/>
      </font>
    </ndxf>
  </rcc>
  <rcc rId="39588" sId="4" odxf="1" dxf="1">
    <nc r="BW43">
      <f>BV43/BL43</f>
    </nc>
    <odxf>
      <font>
        <b/>
      </font>
    </odxf>
    <ndxf>
      <font>
        <b val="0"/>
      </font>
    </ndxf>
  </rcc>
  <rcc rId="39589" sId="4" odxf="1" dxf="1">
    <nc r="BW44">
      <f>BV44/BL44</f>
    </nc>
    <odxf>
      <font>
        <b/>
      </font>
    </odxf>
    <ndxf>
      <font>
        <b val="0"/>
      </font>
    </ndxf>
  </rcc>
  <rcc rId="39590" sId="4" odxf="1" dxf="1">
    <nc r="BW45">
      <f>BV45/BL45</f>
    </nc>
    <odxf>
      <font>
        <b/>
      </font>
    </odxf>
    <ndxf>
      <font>
        <b val="0"/>
      </font>
    </ndxf>
  </rcc>
  <rcc rId="39591" sId="4" odxf="1" dxf="1">
    <nc r="BW46">
      <f>BV46/BL46</f>
    </nc>
    <odxf>
      <font>
        <b/>
      </font>
    </odxf>
    <ndxf>
      <font>
        <b val="0"/>
      </font>
    </ndxf>
  </rcc>
  <rcc rId="39592" sId="4" odxf="1" dxf="1">
    <nc r="BW47">
      <f>BV47/BL47</f>
    </nc>
    <odxf>
      <font>
        <b/>
      </font>
    </odxf>
    <ndxf>
      <font>
        <b val="0"/>
      </font>
    </ndxf>
  </rcc>
  <rcc rId="39593" sId="4">
    <nc r="BW48">
      <f>BV48/BL48</f>
    </nc>
  </rcc>
  <rcc rId="39594" sId="4">
    <nc r="BW49">
      <f>BV49/BL49</f>
    </nc>
  </rcc>
  <rfmt sheetId="4" sqref="BW50" start="0" length="0">
    <dxf>
      <fill>
        <patternFill patternType="none">
          <bgColor indexed="65"/>
        </patternFill>
      </fill>
    </dxf>
  </rfmt>
  <rcc rId="39595" sId="4" odxf="1">
    <nc r="BW51">
      <f>BV51/BL51</f>
    </nc>
    <odxf/>
  </rcc>
  <rcc rId="39596" sId="4" odxf="1">
    <nc r="BW52">
      <f>BV52/BL52</f>
    </nc>
    <odxf/>
  </rcc>
  <rcc rId="39597" sId="4" odxf="1">
    <nc r="BW53">
      <f>BV53/BL53</f>
    </nc>
    <odxf/>
  </rcc>
  <rcc rId="39598" sId="4" odxf="1">
    <nc r="BW54">
      <f>BV54/BL54</f>
    </nc>
    <odxf/>
  </rcc>
  <rcc rId="39599" sId="4" odxf="1">
    <nc r="BW55">
      <f>BV55/BL55</f>
    </nc>
    <odxf/>
  </rcc>
  <rcc rId="39600" sId="4" odxf="1">
    <nc r="BW56">
      <f>BV56/BL56</f>
    </nc>
    <odxf/>
  </rcc>
  <rcc rId="39601" sId="4">
    <nc r="BW57">
      <f>BV57/BL57</f>
    </nc>
  </rcc>
  <rcc rId="39602" sId="4" odxf="1">
    <nc r="BW58">
      <f>BV58/BL58</f>
    </nc>
    <odxf/>
  </rcc>
  <rcc rId="39603" sId="4">
    <nc r="BW59">
      <f>BV59/BL59</f>
    </nc>
  </rcc>
  <rcc rId="39604" sId="4" odxf="1">
    <nc r="BW60">
      <f>BV60/BL60</f>
    </nc>
    <odxf/>
  </rcc>
  <rcc rId="39605" sId="4" odxf="1">
    <nc r="BW61">
      <f>BV61/BL61</f>
    </nc>
    <odxf/>
  </rcc>
  <rcc rId="39606" sId="4">
    <nc r="BW62">
      <f>BV62/BL62</f>
    </nc>
  </rcc>
  <rcc rId="39607" sId="4" odxf="1">
    <nc r="BW63">
      <f>BV63/BL63</f>
    </nc>
    <odxf/>
  </rcc>
  <rcc rId="39608" sId="4">
    <nc r="BW64">
      <f>BV64/BL64</f>
    </nc>
  </rcc>
  <rcc rId="39609" sId="4">
    <nc r="BW65">
      <f>BV65/BL65</f>
    </nc>
  </rcc>
  <rcc rId="39610" sId="4" odxf="1">
    <nc r="BW66">
      <f>BV66/BL66</f>
    </nc>
    <odxf/>
  </rcc>
  <rcc rId="39611" sId="4">
    <nc r="BW67">
      <f>BV67/BL67</f>
    </nc>
  </rcc>
  <rcc rId="39612" sId="4">
    <nc r="BW68">
      <f>BV68/BL68</f>
    </nc>
  </rcc>
  <rcc rId="39613" sId="4">
    <nc r="BW69">
      <f>BV69/BL69</f>
    </nc>
  </rcc>
  <rcc rId="39614" sId="4">
    <nc r="BW70">
      <f>BV70/BL70</f>
    </nc>
  </rcc>
  <rcc rId="39615" sId="4">
    <nc r="BW71">
      <f>BV71/BL71</f>
    </nc>
  </rcc>
  <rcc rId="39616" sId="4" odxf="1" dxf="1">
    <nc r="BW72">
      <f>BV72/BL72</f>
    </nc>
    <odxf/>
    <ndxf/>
  </rcc>
  <rcc rId="39617" sId="4" odxf="1" dxf="1">
    <nc r="BW73">
      <f>BV73/BL73</f>
    </nc>
    <odxf>
      <border outline="0">
        <bottom style="medium">
          <color indexed="64"/>
        </bottom>
      </border>
    </odxf>
    <ndxf>
      <border outline="0">
        <bottom/>
      </border>
    </ndxf>
  </rcc>
  <rcc rId="39618" sId="4" odxf="1" dxf="1">
    <nc r="BW74">
      <f>BV74/BL74</f>
    </nc>
    <odxf>
      <font>
        <b/>
      </font>
    </odxf>
    <ndxf>
      <font>
        <b val="0"/>
      </font>
    </ndxf>
  </rcc>
  <rcc rId="39619" sId="4" odxf="1" dxf="1">
    <nc r="BW75">
      <f>BV75/BL75</f>
    </nc>
    <odxf>
      <font>
        <b/>
      </font>
    </odxf>
    <ndxf>
      <font>
        <b val="0"/>
      </font>
    </ndxf>
  </rcc>
  <rcc rId="39620" sId="4" odxf="1" dxf="1">
    <nc r="BW76">
      <f>BV76/BL76</f>
    </nc>
    <odxf>
      <font>
        <b/>
      </font>
    </odxf>
    <ndxf>
      <font>
        <b val="0"/>
      </font>
    </ndxf>
  </rcc>
  <rcc rId="39621" sId="4" odxf="1" dxf="1">
    <nc r="BW77">
      <f>BV77/BL77</f>
    </nc>
    <odxf>
      <font>
        <b/>
      </font>
    </odxf>
    <ndxf>
      <font>
        <b val="0"/>
      </font>
    </ndxf>
  </rcc>
  <rcc rId="39622" sId="4" odxf="1" dxf="1">
    <nc r="BW78">
      <f>BV78/BL78</f>
    </nc>
    <odxf>
      <font>
        <b/>
      </font>
    </odxf>
    <ndxf>
      <font>
        <b val="0"/>
      </font>
    </ndxf>
  </rcc>
  <rcc rId="39623" sId="4" odxf="1" dxf="1">
    <nc r="BW79">
      <f>BV79/BL79</f>
    </nc>
    <odxf>
      <font>
        <b/>
      </font>
    </odxf>
    <ndxf>
      <font>
        <b val="0"/>
      </font>
    </ndxf>
  </rcc>
  <rcc rId="39624" sId="4" odxf="1" dxf="1">
    <nc r="BW80">
      <f>BV80/BL80</f>
    </nc>
    <odxf>
      <font>
        <b/>
      </font>
    </odxf>
    <ndxf>
      <font>
        <b val="0"/>
      </font>
    </ndxf>
  </rcc>
  <rcc rId="39625" sId="4" odxf="1" dxf="1">
    <nc r="BW81">
      <f>BV81/BL81</f>
    </nc>
    <odxf>
      <font>
        <b/>
      </font>
    </odxf>
    <ndxf>
      <font>
        <b val="0"/>
      </font>
    </ndxf>
  </rcc>
  <rcc rId="39626" sId="4" odxf="1" dxf="1">
    <nc r="BW82">
      <f>BV82/BL82</f>
    </nc>
    <odxf>
      <font>
        <b/>
      </font>
    </odxf>
    <ndxf>
      <font>
        <b val="0"/>
      </font>
    </ndxf>
  </rcc>
  <rcc rId="39627" sId="4">
    <nc r="BW83">
      <f>BV83/BL83</f>
    </nc>
  </rcc>
  <rfmt sheetId="4" sqref="BW84" start="0" length="0">
    <dxf>
      <fill>
        <patternFill patternType="none">
          <bgColor indexed="65"/>
        </patternFill>
      </fill>
    </dxf>
  </rfmt>
  <rcc rId="39628" sId="4" odxf="1">
    <nc r="BW85">
      <f>BV85/BL85</f>
    </nc>
    <odxf/>
  </rcc>
  <rcc rId="39629" sId="4" odxf="1">
    <nc r="BW86">
      <f>BV86/BL86</f>
    </nc>
    <odxf/>
  </rcc>
  <rcc rId="39630" sId="4">
    <nc r="BW87">
      <f>BV87/BL87</f>
    </nc>
  </rcc>
  <rcc rId="39631" sId="4" odxf="1">
    <nc r="BW88">
      <f>BV88/BL88</f>
    </nc>
    <odxf/>
  </rcc>
  <rcc rId="39632" sId="4">
    <nc r="BW89">
      <f>BV89/BL89</f>
    </nc>
  </rcc>
  <rcc rId="39633" sId="4" odxf="1">
    <nc r="BW90">
      <f>BV90/BL90</f>
    </nc>
    <odxf/>
  </rcc>
  <rcc rId="39634" sId="4">
    <nc r="BW91">
      <f>BV91/BL91</f>
    </nc>
  </rcc>
  <rcc rId="39635" sId="4">
    <nc r="BW92">
      <f>BV92/BL92</f>
    </nc>
  </rcc>
  <rcc rId="39636" sId="4">
    <nc r="BW93">
      <f>BV93/BL93</f>
    </nc>
  </rcc>
  <rcc rId="39637" sId="4" odxf="1">
    <nc r="BW94">
      <f>BV94/BL94</f>
    </nc>
    <odxf/>
  </rcc>
  <rcc rId="39638" sId="4" odxf="1">
    <nc r="BW95">
      <f>BV95/BL95</f>
    </nc>
    <odxf/>
  </rcc>
  <rcc rId="39639" sId="4" odxf="1">
    <nc r="BW96">
      <f>BV96/BL96</f>
    </nc>
    <odxf/>
  </rcc>
  <rcc rId="39640" sId="4" odxf="1">
    <nc r="BW97">
      <f>BV97/BL97</f>
    </nc>
    <odxf/>
  </rcc>
  <rcc rId="39641" sId="4">
    <nc r="BW98">
      <f>BV98/BL98</f>
    </nc>
  </rcc>
  <rcc rId="39642" sId="4">
    <nc r="BW99">
      <f>BV99/BL99</f>
    </nc>
  </rcc>
  <rcc rId="39643" sId="4">
    <nc r="BW100">
      <f>BV100/BL100</f>
    </nc>
  </rcc>
  <rcc rId="39644" sId="4">
    <nc r="BW101">
      <f>BV101/BL101</f>
    </nc>
  </rcc>
  <rcc rId="39645" sId="4">
    <nc r="BW102">
      <f>BV102/BL102</f>
    </nc>
  </rcc>
  <rcc rId="39646" sId="4">
    <nc r="BW103">
      <f>BV103/BL103</f>
    </nc>
  </rcc>
  <rcc rId="39647" sId="4" odxf="1" dxf="1">
    <nc r="BW104">
      <f>BV104/BL104</f>
    </nc>
    <odxf/>
    <ndxf/>
  </rcc>
  <rcc rId="39648" sId="4">
    <nc r="BW105">
      <f>BV105/BL105</f>
    </nc>
  </rcc>
  <rcc rId="39649" sId="4">
    <nc r="BW106">
      <f>BV106/BL106</f>
    </nc>
  </rcc>
  <rcc rId="39650" sId="4" odxf="1" dxf="1">
    <nc r="BW107">
      <f>BV107/BL107</f>
    </nc>
    <odxf>
      <border outline="0">
        <bottom style="medium">
          <color indexed="64"/>
        </bottom>
      </border>
    </odxf>
    <ndxf>
      <border outline="0">
        <bottom/>
      </border>
    </ndxf>
  </rcc>
  <rcc rId="39651" sId="4" odxf="1" dxf="1">
    <nc r="BW108">
      <f>BV108/BL108</f>
    </nc>
    <odxf>
      <font>
        <b/>
      </font>
    </odxf>
    <ndxf>
      <font>
        <b val="0"/>
      </font>
    </ndxf>
  </rcc>
  <rcc rId="39652" sId="4" odxf="1" dxf="1">
    <nc r="BW109">
      <f>BV109/BL109</f>
    </nc>
    <odxf>
      <font>
        <b/>
      </font>
    </odxf>
    <ndxf>
      <font>
        <b val="0"/>
      </font>
    </ndxf>
  </rcc>
  <rcc rId="39653" sId="4" odxf="1" dxf="1">
    <nc r="BW110">
      <f>BV110/BL110</f>
    </nc>
    <odxf>
      <font>
        <b/>
      </font>
    </odxf>
    <ndxf>
      <font>
        <b val="0"/>
      </font>
    </ndxf>
  </rcc>
  <rcc rId="39654" sId="4" odxf="1" dxf="1">
    <nc r="BW111">
      <f>BV111/BL111</f>
    </nc>
    <odxf>
      <font>
        <b/>
      </font>
    </odxf>
    <ndxf>
      <font>
        <b val="0"/>
      </font>
    </ndxf>
  </rcc>
  <rcc rId="39655" sId="4" odxf="1" dxf="1">
    <nc r="BW112">
      <f>BV112/BL112</f>
    </nc>
    <odxf>
      <font>
        <b/>
      </font>
    </odxf>
    <ndxf>
      <font>
        <b val="0"/>
      </font>
    </ndxf>
  </rcc>
  <rcc rId="39656" sId="4" odxf="1" dxf="1">
    <nc r="BW113">
      <f>BV113/BL113</f>
    </nc>
    <odxf>
      <font>
        <b/>
      </font>
    </odxf>
    <ndxf>
      <font>
        <b val="0"/>
      </font>
    </ndxf>
  </rcc>
  <rcc rId="39657" sId="4" odxf="1" dxf="1">
    <nc r="BW114">
      <f>BV114/BL114</f>
    </nc>
    <odxf>
      <font>
        <b/>
      </font>
    </odxf>
    <ndxf>
      <font>
        <b val="0"/>
      </font>
    </ndxf>
  </rcc>
  <rcc rId="39658" sId="4">
    <nc r="BW115">
      <f>BV115/BL115</f>
    </nc>
  </rcc>
  <rcc rId="39659" sId="4">
    <nc r="BW116">
      <f>BV116/BL116</f>
    </nc>
  </rcc>
  <rcc rId="39660" sId="4">
    <nc r="BW117">
      <f>BV117/BL117</f>
    </nc>
  </rcc>
  <rfmt sheetId="4" sqref="BW118" start="0" length="0">
    <dxf>
      <fill>
        <patternFill patternType="none">
          <bgColor indexed="65"/>
        </patternFill>
      </fill>
    </dxf>
  </rfmt>
  <rcc rId="39661" sId="4" odxf="1">
    <nc r="BW119">
      <f>BV119/BL119</f>
    </nc>
    <odxf/>
  </rcc>
  <rcc rId="39662" sId="4">
    <nc r="BW120">
      <f>BV120/BL120</f>
    </nc>
  </rcc>
  <rcc rId="39663" sId="4">
    <nc r="BW121">
      <f>BV121/BL121</f>
    </nc>
  </rcc>
  <rcc rId="39664" sId="4">
    <nc r="BW122">
      <f>BV122/BL122</f>
    </nc>
  </rcc>
  <rcc rId="39665" sId="4" odxf="1">
    <nc r="BW123">
      <f>BV123/BL123</f>
    </nc>
    <odxf/>
  </rcc>
  <rcc rId="39666" sId="4">
    <nc r="BW124">
      <f>BV124/BL124</f>
    </nc>
  </rcc>
  <rcc rId="39667" sId="4" odxf="1" dxf="1">
    <nc r="BW125">
      <f>BV125/BL125</f>
    </nc>
    <odxf/>
    <ndxf/>
  </rcc>
  <rcc rId="39668" sId="4" odxf="1" dxf="1">
    <nc r="BW126">
      <f>BV126/BL126</f>
    </nc>
    <odxf/>
    <ndxf/>
  </rcc>
  <rcc rId="39669" sId="4" odxf="1" dxf="1">
    <nc r="BW127">
      <f>BV127/BL127</f>
    </nc>
    <odxf/>
    <ndxf/>
  </rcc>
  <rcc rId="39670" sId="4" odxf="1">
    <nc r="BW128">
      <f>BV128/BL128</f>
    </nc>
    <odxf/>
  </rcc>
  <rcc rId="39671" sId="4">
    <nc r="BW129">
      <f>BV129/BL129</f>
    </nc>
  </rcc>
  <rcc rId="39672" sId="4">
    <nc r="BW130">
      <f>BV130/BL130</f>
    </nc>
  </rcc>
  <rcc rId="39673" sId="4" odxf="1" dxf="1">
    <nc r="BW131">
      <f>BV131/BL131</f>
    </nc>
    <odxf>
      <border outline="0">
        <bottom style="medium">
          <color indexed="64"/>
        </bottom>
      </border>
    </odxf>
    <ndxf>
      <border outline="0">
        <bottom/>
      </border>
    </ndxf>
  </rcc>
  <rcc rId="39674" sId="4" odxf="1" dxf="1">
    <nc r="BW132">
      <f>BV132/BL132</f>
    </nc>
    <odxf>
      <font>
        <b/>
      </font>
    </odxf>
    <ndxf>
      <font>
        <b val="0"/>
      </font>
    </ndxf>
  </rcc>
  <rcc rId="39675" sId="4" odxf="1" dxf="1">
    <nc r="BW133">
      <f>BV133/BL133</f>
    </nc>
    <odxf>
      <font>
        <b/>
      </font>
    </odxf>
    <ndxf>
      <font>
        <b val="0"/>
      </font>
    </ndxf>
  </rcc>
  <rcc rId="39676" sId="4" odxf="1" dxf="1">
    <nc r="BW134">
      <f>BV134/BL134</f>
    </nc>
    <odxf>
      <font>
        <b/>
      </font>
    </odxf>
    <ndxf>
      <font>
        <b val="0"/>
      </font>
    </ndxf>
  </rcc>
  <rcc rId="39677" sId="4" odxf="1" dxf="1">
    <nc r="BW135">
      <f>BV135/BL135</f>
    </nc>
    <odxf>
      <font>
        <b/>
      </font>
    </odxf>
    <ndxf>
      <font>
        <b val="0"/>
      </font>
    </ndxf>
  </rcc>
  <rcc rId="39678" sId="4">
    <nc r="BW136">
      <f>BV136/BL136</f>
    </nc>
  </rcc>
  <rcc rId="39679" sId="4">
    <nc r="BW137">
      <f>BV137/BL137</f>
    </nc>
  </rcc>
  <rcc rId="39680" sId="4">
    <nc r="BW138">
      <f>BV138/BL138</f>
    </nc>
  </rcc>
  <rcc rId="39681" sId="4">
    <nc r="BW139">
      <f>BV139/BL139</f>
    </nc>
  </rcc>
  <rcc rId="39682" sId="4">
    <nc r="BW140">
      <f>BV140/BL140</f>
    </nc>
  </rcc>
  <rcc rId="39683" sId="4">
    <nc r="BW141">
      <f>BV141/BL141</f>
    </nc>
  </rcc>
  <rcc rId="39684" sId="4">
    <nc r="BW142">
      <f>BV142/BL142</f>
    </nc>
  </rcc>
  <rcc rId="39685" sId="4">
    <nc r="BW143">
      <f>BV143/BL143</f>
    </nc>
  </rcc>
  <rfmt sheetId="4" sqref="BW144" start="0" length="0">
    <dxf>
      <fill>
        <patternFill patternType="none">
          <bgColor indexed="65"/>
        </patternFill>
      </fill>
    </dxf>
  </rfmt>
  <rcc rId="39686" sId="4">
    <nc r="BW145">
      <f>BV145/BL145</f>
    </nc>
  </rcc>
  <rcc rId="39687" sId="4">
    <nc r="BW146">
      <f>BV146/BL146</f>
    </nc>
  </rcc>
  <rcc rId="39688" sId="4">
    <nc r="BW147">
      <f>BV147/BL147</f>
    </nc>
  </rcc>
  <rcc rId="39689" sId="4">
    <nc r="BW148">
      <f>BV148/BL148</f>
    </nc>
  </rcc>
  <rcc rId="39690" sId="4">
    <nc r="BW149">
      <f>BV149/BL149</f>
    </nc>
  </rcc>
  <rcc rId="39691" sId="4" odxf="1">
    <nc r="BW150">
      <f>BV150/BL150</f>
    </nc>
    <odxf/>
  </rcc>
  <rcc rId="39692" sId="4" odxf="1">
    <nc r="BW151">
      <f>BV151/BL151</f>
    </nc>
    <odxf/>
  </rcc>
  <rcc rId="39693" sId="4">
    <nc r="BW152">
      <f>BV152/BL152</f>
    </nc>
  </rcc>
  <rcc rId="39694" sId="4">
    <nc r="BW153">
      <f>BV153/BL153</f>
    </nc>
  </rcc>
  <rcc rId="39695" sId="4" odxf="1">
    <nc r="BW154">
      <f>BV154/BL154</f>
    </nc>
    <odxf/>
  </rcc>
  <rcc rId="39696" sId="4" odxf="1">
    <nc r="BW155">
      <f>BV155/BL155</f>
    </nc>
    <odxf/>
  </rcc>
  <rcc rId="39697" sId="4">
    <nc r="BW156">
      <f>BV156/BL156</f>
    </nc>
  </rcc>
  <rcc rId="39698" sId="4">
    <nc r="BW157">
      <f>BV157/BL157</f>
    </nc>
  </rcc>
  <rcc rId="39699" sId="4" odxf="1">
    <nc r="BW158">
      <f>BV158/BL158</f>
    </nc>
    <odxf/>
  </rcc>
  <rcc rId="39700" sId="4" odxf="1">
    <nc r="BW159">
      <f>BV159/BL159</f>
    </nc>
    <odxf/>
  </rcc>
  <rcc rId="39701" sId="4" odxf="1">
    <nc r="BW160">
      <f>BV160/BL160</f>
    </nc>
    <odxf/>
  </rcc>
  <rcc rId="39702" sId="4">
    <nc r="BW161">
      <f>BV161/BL161</f>
    </nc>
  </rcc>
  <rcc rId="39703" sId="4">
    <nc r="BW162">
      <f>BV162/BL162</f>
    </nc>
  </rcc>
  <rcc rId="39704" sId="4">
    <nc r="BW163">
      <f>BV163/BL163</f>
    </nc>
  </rcc>
  <rcc rId="39705" sId="4" odxf="1" dxf="1">
    <nc r="BW164">
      <f>BV164/BL164</f>
    </nc>
    <odxf>
      <border outline="0">
        <bottom style="medium">
          <color indexed="64"/>
        </bottom>
      </border>
    </odxf>
    <ndxf>
      <border outline="0">
        <bottom/>
      </border>
    </ndxf>
  </rcc>
  <rcc rId="39706" sId="4" odxf="1" dxf="1">
    <nc r="BW165">
      <f>BV165/BL165</f>
    </nc>
    <odxf>
      <font>
        <b/>
      </font>
    </odxf>
    <ndxf>
      <font>
        <b val="0"/>
      </font>
    </ndxf>
  </rcc>
  <rcc rId="39707" sId="4" odxf="1" dxf="1">
    <nc r="BW166">
      <f>BV166/BL166</f>
    </nc>
    <odxf>
      <font>
        <b/>
      </font>
    </odxf>
    <ndxf>
      <font>
        <b val="0"/>
      </font>
    </ndxf>
  </rcc>
  <rcc rId="39708" sId="4" odxf="1" dxf="1">
    <nc r="BW167">
      <f>BV167/BL167</f>
    </nc>
    <odxf>
      <font>
        <b/>
      </font>
    </odxf>
    <ndxf>
      <font>
        <b val="0"/>
      </font>
    </ndxf>
  </rcc>
  <rcc rId="39709" sId="4" odxf="1" dxf="1">
    <nc r="BW168">
      <f>BV168/BL168</f>
    </nc>
    <odxf>
      <font>
        <b/>
      </font>
    </odxf>
    <ndxf>
      <font>
        <b val="0"/>
      </font>
    </ndxf>
  </rcc>
  <rcc rId="39710" sId="4" odxf="1" dxf="1">
    <nc r="BW169">
      <f>BV169/BL169</f>
    </nc>
    <odxf>
      <font>
        <b/>
      </font>
    </odxf>
    <ndxf>
      <font>
        <b val="0"/>
      </font>
    </ndxf>
  </rcc>
  <rcc rId="39711" sId="4" odxf="1" dxf="1">
    <nc r="BW170">
      <f>BV170/BL170</f>
    </nc>
    <odxf>
      <font>
        <b/>
      </font>
    </odxf>
    <ndxf>
      <font>
        <b val="0"/>
      </font>
    </ndxf>
  </rcc>
  <rcc rId="39712" sId="4" odxf="1" dxf="1">
    <nc r="BW171">
      <f>BV171/BL171</f>
    </nc>
    <odxf>
      <font>
        <b/>
      </font>
    </odxf>
    <ndxf>
      <font>
        <b val="0"/>
      </font>
    </ndxf>
  </rcc>
  <rcc rId="39713" sId="4" odxf="1" dxf="1">
    <nc r="BW172">
      <f>BV172/BL172</f>
    </nc>
    <odxf>
      <font>
        <b/>
      </font>
    </odxf>
    <ndxf>
      <font>
        <b val="0"/>
      </font>
    </ndxf>
  </rcc>
  <rcc rId="39714" sId="4" odxf="1" dxf="1">
    <nc r="BW173">
      <f>BV173/BL173</f>
    </nc>
    <odxf>
      <font>
        <b/>
      </font>
    </odxf>
    <ndxf>
      <font>
        <b val="0"/>
      </font>
    </ndxf>
  </rcc>
  <rcc rId="39715" sId="4" odxf="1" dxf="1">
    <nc r="BW174">
      <f>BV174/BL174</f>
    </nc>
    <odxf>
      <font>
        <b/>
      </font>
    </odxf>
    <ndxf>
      <font>
        <b val="0"/>
      </font>
    </ndxf>
  </rcc>
  <rcc rId="39716" sId="4">
    <nc r="BW175">
      <f>BV175/BL175</f>
    </nc>
  </rcc>
  <rcc rId="39717" sId="4">
    <nc r="BW176">
      <f>BV176/BL176</f>
    </nc>
  </rcc>
  <rfmt sheetId="4" sqref="BW177" start="0" length="0">
    <dxf>
      <fill>
        <patternFill patternType="none">
          <bgColor indexed="65"/>
        </patternFill>
      </fill>
    </dxf>
  </rfmt>
  <rcc rId="39718" sId="4" odxf="1">
    <nc r="BW178">
      <f>BV178/BL178</f>
    </nc>
    <odxf/>
  </rcc>
  <rcc rId="39719" sId="4" odxf="1">
    <nc r="BW179">
      <f>BV179/BL179</f>
    </nc>
    <odxf/>
  </rcc>
  <rcc rId="39720" sId="4" odxf="1">
    <nc r="BW180">
      <f>BV180/BL180</f>
    </nc>
    <odxf/>
  </rcc>
  <rcc rId="39721" sId="4" odxf="1">
    <nc r="BW181">
      <f>BV181/BL181</f>
    </nc>
    <odxf/>
  </rcc>
  <rcc rId="39722" sId="4" odxf="1">
    <nc r="BW182">
      <f>BV182/BL182</f>
    </nc>
    <odxf/>
  </rcc>
  <rcc rId="39723" sId="4">
    <nc r="BW183">
      <f>BV183/BL183</f>
    </nc>
  </rcc>
  <rcc rId="39724" sId="4">
    <nc r="BW184">
      <f>BV184/BL184</f>
    </nc>
  </rcc>
  <rcc rId="39725" sId="4">
    <nc r="BW185">
      <f>BV185/BL185</f>
    </nc>
  </rcc>
  <rcc rId="39726" sId="4" odxf="1" dxf="1">
    <nc r="BW186">
      <f>BV186/BL186</f>
    </nc>
    <odxf>
      <border outline="0">
        <bottom style="medium">
          <color indexed="64"/>
        </bottom>
      </border>
    </odxf>
    <ndxf>
      <border outline="0">
        <bottom/>
      </border>
    </ndxf>
  </rcc>
  <rcc rId="39727" sId="4" odxf="1" dxf="1">
    <nc r="BW187">
      <f>BV187/BL187</f>
    </nc>
    <odxf>
      <font>
        <b/>
      </font>
    </odxf>
    <ndxf>
      <font>
        <b val="0"/>
      </font>
    </ndxf>
  </rcc>
  <rcc rId="39728" sId="4" odxf="1" dxf="1">
    <nc r="BW188">
      <f>BV188/BL188</f>
    </nc>
    <odxf>
      <font>
        <b/>
      </font>
    </odxf>
    <ndxf>
      <font>
        <b val="0"/>
      </font>
    </ndxf>
  </rcc>
  <rcc rId="39729" sId="4" odxf="1" dxf="1">
    <nc r="BW189">
      <f>BV189/BL189</f>
    </nc>
    <odxf>
      <font>
        <b/>
      </font>
    </odxf>
    <ndxf>
      <font>
        <b val="0"/>
      </font>
    </ndxf>
  </rcc>
  <rcc rId="39730" sId="4">
    <nc r="BW190">
      <f>BV190/BL190</f>
    </nc>
  </rcc>
  <rcc rId="39731" sId="4">
    <nc r="BW191">
      <f>BV191/BL191</f>
    </nc>
  </rcc>
  <rcc rId="39732" sId="4">
    <nc r="BW192">
      <f>BV192/BL192</f>
    </nc>
  </rcc>
  <rcc rId="39733" sId="4">
    <nc r="BW193">
      <f>BV193/BL193</f>
    </nc>
  </rcc>
  <rcc rId="39734" sId="4">
    <nc r="BW194">
      <f>BV194/BL194</f>
    </nc>
  </rcc>
  <rcc rId="39735" sId="4">
    <nc r="BW195">
      <f>BV195/BL195</f>
    </nc>
  </rcc>
  <rfmt sheetId="4" sqref="BW196" start="0" length="0">
    <dxf>
      <fill>
        <patternFill patternType="none">
          <bgColor indexed="65"/>
        </patternFill>
      </fill>
    </dxf>
  </rfmt>
  <rcc rId="39736" sId="4">
    <nc r="BW197">
      <f>BV197/BL197</f>
    </nc>
  </rcc>
  <rcc rId="39737" sId="4">
    <nc r="BW198">
      <f>BV198/BL198</f>
    </nc>
  </rcc>
  <rcc rId="39738" sId="4">
    <nc r="BW199">
      <f>BV199/BL199</f>
    </nc>
  </rcc>
  <rcc rId="39739" sId="4">
    <nc r="BW200">
      <f>BV200/BL200</f>
    </nc>
  </rcc>
  <rcc rId="39740" sId="4">
    <nc r="BW201">
      <f>BV201/BL201</f>
    </nc>
  </rcc>
  <rcc rId="39741" sId="4">
    <nc r="BW202">
      <f>BV202/BL202</f>
    </nc>
  </rcc>
  <rcc rId="39742" sId="4">
    <nc r="BW203">
      <f>BV203/BL203</f>
    </nc>
  </rcc>
  <rcc rId="39743" sId="4">
    <nc r="BW204">
      <f>BV204/BL204</f>
    </nc>
  </rcc>
  <rcc rId="39744" sId="4">
    <nc r="BW205">
      <f>BV205/BL205</f>
    </nc>
  </rcc>
  <rcc rId="39745" sId="4">
    <nc r="BW206">
      <f>BV206/BL206</f>
    </nc>
  </rcc>
  <rcc rId="39746" sId="4">
    <nc r="BW207">
      <f>BV207/BL207</f>
    </nc>
  </rcc>
  <rcc rId="39747" sId="4">
    <nc r="BW208">
      <f>BV208/BL208</f>
    </nc>
  </rcc>
  <rcc rId="39748" sId="4">
    <nc r="BW209">
      <f>BV209/BL209</f>
    </nc>
  </rcc>
  <rcc rId="39749" sId="4" odxf="1" dxf="1">
    <nc r="BW210">
      <f>BV210/BL210</f>
    </nc>
    <odxf/>
    <ndxf/>
  </rcc>
  <rcc rId="39750" sId="4" odxf="1" dxf="1">
    <nc r="BW211">
      <f>BV211/BL211</f>
    </nc>
    <odxf/>
    <ndxf/>
  </rcc>
  <rcc rId="39751" sId="4" odxf="1" dxf="1">
    <nc r="BW212">
      <f>BV212/BL212</f>
    </nc>
    <odxf/>
    <ndxf/>
  </rcc>
  <rcc rId="39752" sId="4" odxf="1" dxf="1">
    <nc r="BW213">
      <f>BV213/BL213</f>
    </nc>
    <odxf/>
    <ndxf/>
  </rcc>
  <rcc rId="39753" sId="4" odxf="1" dxf="1">
    <nc r="BW214">
      <f>BV214/BL214</f>
    </nc>
    <odxf/>
    <ndxf/>
  </rcc>
  <rcc rId="39754" sId="4" odxf="1" dxf="1">
    <nc r="BW215">
      <f>BV215/BL215</f>
    </nc>
    <odxf/>
    <ndxf/>
  </rcc>
  <rcc rId="39755" sId="4" odxf="1" dxf="1">
    <nc r="BW216">
      <f>BV216/BL216</f>
    </nc>
    <odxf/>
    <ndxf/>
  </rcc>
  <rcc rId="39756" sId="4" odxf="1" dxf="1">
    <nc r="BW217">
      <f>BV217/BL217</f>
    </nc>
    <odxf/>
    <ndxf/>
  </rcc>
  <rcc rId="39757" sId="4" odxf="1" dxf="1">
    <nc r="BW218">
      <f>BV218/BL218</f>
    </nc>
    <odxf/>
    <ndxf/>
  </rcc>
  <rcc rId="39758" sId="4" odxf="1" dxf="1">
    <nc r="BW219">
      <f>BV219/BL219</f>
    </nc>
    <odxf/>
    <ndxf/>
  </rcc>
  <rcc rId="39759" sId="4" odxf="1" dxf="1">
    <nc r="BW220">
      <f>BV220/BL220</f>
    </nc>
    <odxf/>
    <ndxf/>
  </rcc>
  <rcc rId="39760" sId="4" odxf="1" dxf="1">
    <nc r="BW221">
      <f>BV221/BL221</f>
    </nc>
    <odxf>
      <font>
        <b/>
      </font>
      <border outline="0">
        <top style="medium">
          <color indexed="64"/>
        </top>
      </border>
    </odxf>
    <ndxf>
      <font>
        <b val="0"/>
      </font>
      <border outline="0">
        <top/>
      </border>
    </ndxf>
  </rcc>
  <rcc rId="39761" sId="4" odxf="1" dxf="1">
    <nc r="BW222">
      <f>BV222/BL222</f>
    </nc>
    <odxf/>
    <ndxf/>
  </rcc>
  <rcc rId="39762" sId="4" odxf="1" dxf="1">
    <nc r="BW223">
      <f>BV223/BL223</f>
    </nc>
    <odxf/>
    <ndxf/>
  </rcc>
  <rcc rId="39763" sId="4" odxf="1" dxf="1">
    <nc r="BW224">
      <f>BV224/BL224</f>
    </nc>
    <odxf/>
    <ndxf/>
  </rcc>
  <rcc rId="39764" sId="4" odxf="1" dxf="1">
    <nc r="BW225">
      <f>BV225/BL225</f>
    </nc>
    <odxf>
      <border outline="0">
        <bottom style="medium">
          <color indexed="64"/>
        </bottom>
      </border>
    </odxf>
    <ndxf>
      <border outline="0">
        <bottom/>
      </border>
    </ndxf>
  </rcc>
  <rcc rId="39765" sId="4" odxf="1" dxf="1">
    <nc r="BW226">
      <f>BV226/BL226</f>
    </nc>
    <odxf/>
    <ndxf/>
  </rcc>
  <rcc rId="39766" sId="4" odxf="1" dxf="1">
    <nc r="BW227">
      <f>BV227/BL227</f>
    </nc>
    <odxf/>
    <ndxf/>
  </rcc>
  <rcc rId="39767" sId="4" odxf="1" dxf="1">
    <nc r="BW228">
      <f>BV228/BL228</f>
    </nc>
    <odxf/>
    <ndxf/>
  </rcc>
  <rcc rId="39768" sId="4" odxf="1" dxf="1">
    <nc r="BW229">
      <f>BV229/BL229</f>
    </nc>
    <odxf/>
    <ndxf/>
  </rcc>
  <rcc rId="39769" sId="4" odxf="1" dxf="1">
    <nc r="BW230">
      <f>BV230/BL230</f>
    </nc>
    <odxf/>
    <ndxf/>
  </rcc>
  <rcc rId="39770" sId="4" odxf="1" dxf="1">
    <nc r="BW231">
      <f>BV231/BL231</f>
    </nc>
    <odxf/>
    <ndxf/>
  </rcc>
  <rcc rId="39771" sId="4" odxf="1" dxf="1">
    <nc r="BW232">
      <f>BV232/BL232</f>
    </nc>
    <odxf/>
    <ndxf/>
  </rcc>
  <rcc rId="39772" sId="4" odxf="1" dxf="1">
    <nc r="BW233">
      <f>BV233/BL233</f>
    </nc>
    <odxf/>
    <ndxf/>
  </rcc>
  <rcc rId="39773" sId="4" odxf="1" dxf="1">
    <nc r="BW234">
      <f>BV234/BL234</f>
    </nc>
    <odxf/>
    <ndxf/>
  </rcc>
  <rcc rId="39774" sId="4" odxf="1" dxf="1">
    <nc r="BW235">
      <f>BV235/BL235</f>
    </nc>
    <odxf/>
    <ndxf/>
  </rcc>
  <rcc rId="39775" sId="4" odxf="1" dxf="1">
    <nc r="BW236">
      <f>BV236/BL236</f>
    </nc>
    <odxf/>
    <ndxf/>
  </rcc>
  <rcc rId="39776" sId="4" odxf="1" dxf="1">
    <nc r="BW237">
      <f>BV237/BL237</f>
    </nc>
    <odxf/>
    <ndxf/>
  </rcc>
  <rcc rId="39777" sId="4" odxf="1" dxf="1">
    <nc r="BW238">
      <f>BV238/BL238</f>
    </nc>
    <odxf/>
    <ndxf/>
  </rcc>
  <rcc rId="39778" sId="4" odxf="1" dxf="1">
    <nc r="BW239">
      <f>BV239/BL239</f>
    </nc>
    <odxf/>
    <ndxf/>
  </rcc>
  <rcc rId="39779" sId="4">
    <nc r="BW240">
      <f>BV240/BL240</f>
    </nc>
  </rcc>
  <rfmt sheetId="4" sqref="BW241" start="0" length="0">
    <dxf>
      <font>
        <b val="0"/>
      </font>
      <fill>
        <patternFill patternType="none">
          <bgColor indexed="65"/>
        </patternFill>
      </fill>
    </dxf>
  </rfmt>
  <rfmt sheetId="4" sqref="BU7" start="0" length="0">
    <dxf>
      <numFmt numFmtId="14" formatCode="0.00%"/>
    </dxf>
  </rfmt>
  <rfmt sheetId="4" sqref="BU8" start="0" length="0">
    <dxf>
      <numFmt numFmtId="14" formatCode="0.00%"/>
    </dxf>
  </rfmt>
  <rfmt sheetId="4" sqref="BU9" start="0" length="0">
    <dxf>
      <numFmt numFmtId="14" formatCode="0.00%"/>
    </dxf>
  </rfmt>
  <rfmt sheetId="4" sqref="BU10" start="0" length="0">
    <dxf>
      <numFmt numFmtId="14" formatCode="0.00%"/>
    </dxf>
  </rfmt>
  <rfmt sheetId="4" sqref="BU11" start="0" length="0">
    <dxf>
      <numFmt numFmtId="14" formatCode="0.00%"/>
    </dxf>
  </rfmt>
  <rfmt sheetId="4" sqref="BU12" start="0" length="0">
    <dxf>
      <numFmt numFmtId="14" formatCode="0.00%"/>
    </dxf>
  </rfmt>
  <rfmt sheetId="4" sqref="BU13" start="0" length="0">
    <dxf>
      <numFmt numFmtId="14" formatCode="0.00%"/>
    </dxf>
  </rfmt>
  <rfmt sheetId="4" sqref="BU14" start="0" length="0">
    <dxf>
      <numFmt numFmtId="14" formatCode="0.00%"/>
    </dxf>
  </rfmt>
  <rfmt sheetId="4" sqref="BU15" start="0" length="0">
    <dxf>
      <numFmt numFmtId="14" formatCode="0.00%"/>
    </dxf>
  </rfmt>
  <rfmt sheetId="4" sqref="BU16" start="0" length="0">
    <dxf>
      <numFmt numFmtId="14" formatCode="0.00%"/>
    </dxf>
  </rfmt>
  <rfmt sheetId="4" sqref="BU17" start="0" length="0">
    <dxf>
      <numFmt numFmtId="14" formatCode="0.00%"/>
    </dxf>
  </rfmt>
  <rfmt sheetId="4" sqref="BU18" start="0" length="0">
    <dxf>
      <numFmt numFmtId="14" formatCode="0.00%"/>
    </dxf>
  </rfmt>
  <rfmt sheetId="4" sqref="BU19" start="0" length="0">
    <dxf>
      <numFmt numFmtId="14" formatCode="0.00%"/>
    </dxf>
  </rfmt>
  <rfmt sheetId="4" sqref="BU20" start="0" length="0">
    <dxf>
      <numFmt numFmtId="14" formatCode="0.00%"/>
    </dxf>
  </rfmt>
  <rfmt sheetId="4" sqref="BU21" start="0" length="0">
    <dxf>
      <numFmt numFmtId="14" formatCode="0.00%"/>
    </dxf>
  </rfmt>
  <rfmt sheetId="4" sqref="BU22" start="0" length="0">
    <dxf>
      <numFmt numFmtId="14" formatCode="0.00%"/>
    </dxf>
  </rfmt>
  <rfmt sheetId="4" sqref="BU23" start="0" length="0">
    <dxf>
      <numFmt numFmtId="14" formatCode="0.00%"/>
    </dxf>
  </rfmt>
  <rfmt sheetId="4" sqref="BU24" start="0" length="0">
    <dxf>
      <numFmt numFmtId="14" formatCode="0.00%"/>
    </dxf>
  </rfmt>
  <rfmt sheetId="4" sqref="BU25" start="0" length="0">
    <dxf>
      <numFmt numFmtId="14" formatCode="0.00%"/>
    </dxf>
  </rfmt>
  <rfmt sheetId="4" sqref="BU26" start="0" length="0">
    <dxf>
      <numFmt numFmtId="14" formatCode="0.00%"/>
    </dxf>
  </rfmt>
  <rfmt sheetId="4" sqref="BU27" start="0" length="0">
    <dxf>
      <numFmt numFmtId="14" formatCode="0.00%"/>
    </dxf>
  </rfmt>
  <rfmt sheetId="4" sqref="BU28" start="0" length="0">
    <dxf>
      <numFmt numFmtId="14" formatCode="0.00%"/>
    </dxf>
  </rfmt>
  <rfmt sheetId="4" sqref="BU29" start="0" length="0">
    <dxf>
      <numFmt numFmtId="14" formatCode="0.00%"/>
    </dxf>
  </rfmt>
  <rfmt sheetId="4" sqref="BU30" start="0" length="0">
    <dxf>
      <numFmt numFmtId="14" formatCode="0.00%"/>
    </dxf>
  </rfmt>
  <rfmt sheetId="4" sqref="BU31" start="0" length="0">
    <dxf>
      <numFmt numFmtId="14" formatCode="0.00%"/>
    </dxf>
  </rfmt>
  <rfmt sheetId="4" sqref="BU32" start="0" length="0">
    <dxf>
      <numFmt numFmtId="14" formatCode="0.00%"/>
    </dxf>
  </rfmt>
  <rfmt sheetId="4" sqref="BU33" start="0" length="0">
    <dxf>
      <numFmt numFmtId="14" formatCode="0.00%"/>
    </dxf>
  </rfmt>
  <rfmt sheetId="4" sqref="BU34" start="0" length="0">
    <dxf>
      <numFmt numFmtId="14" formatCode="0.00%"/>
    </dxf>
  </rfmt>
  <rfmt sheetId="4" sqref="BU35" start="0" length="0">
    <dxf>
      <numFmt numFmtId="14" formatCode="0.00%"/>
    </dxf>
  </rfmt>
  <rfmt sheetId="4" sqref="BU36" start="0" length="0">
    <dxf>
      <numFmt numFmtId="14" formatCode="0.00%"/>
    </dxf>
  </rfmt>
  <rfmt sheetId="4" sqref="BU37" start="0" length="0">
    <dxf>
      <numFmt numFmtId="14" formatCode="0.00%"/>
    </dxf>
  </rfmt>
  <rfmt sheetId="4" sqref="BU38" start="0" length="0">
    <dxf>
      <font>
        <i val="0"/>
      </font>
      <numFmt numFmtId="14" formatCode="0.00%"/>
    </dxf>
  </rfmt>
  <rfmt sheetId="4" sqref="BU39" start="0" length="0">
    <dxf>
      <font>
        <i val="0"/>
      </font>
      <numFmt numFmtId="14" formatCode="0.00%"/>
    </dxf>
  </rfmt>
  <rfmt sheetId="4" sqref="BU40" start="0" length="0">
    <dxf>
      <numFmt numFmtId="14" formatCode="0.00%"/>
      <border outline="0">
        <bottom/>
      </border>
    </dxf>
  </rfmt>
  <rfmt sheetId="4" sqref="BU41" start="0" length="0">
    <dxf>
      <font>
        <b val="0"/>
      </font>
      <numFmt numFmtId="14" formatCode="0.00%"/>
    </dxf>
  </rfmt>
  <rfmt sheetId="4" sqref="BU42" start="0" length="0">
    <dxf>
      <font>
        <b val="0"/>
      </font>
      <numFmt numFmtId="14" formatCode="0.00%"/>
    </dxf>
  </rfmt>
  <rfmt sheetId="4" sqref="BU43" start="0" length="0">
    <dxf>
      <font>
        <b val="0"/>
      </font>
      <numFmt numFmtId="14" formatCode="0.00%"/>
    </dxf>
  </rfmt>
  <rfmt sheetId="4" sqref="BU44" start="0" length="0">
    <dxf>
      <font>
        <b val="0"/>
      </font>
      <numFmt numFmtId="14" formatCode="0.00%"/>
    </dxf>
  </rfmt>
  <rfmt sheetId="4" sqref="BU45" start="0" length="0">
    <dxf>
      <font>
        <b val="0"/>
      </font>
      <numFmt numFmtId="14" formatCode="0.00%"/>
    </dxf>
  </rfmt>
  <rfmt sheetId="4" sqref="BU46" start="0" length="0">
    <dxf>
      <font>
        <b val="0"/>
      </font>
      <numFmt numFmtId="14" formatCode="0.00%"/>
    </dxf>
  </rfmt>
  <rfmt sheetId="4" sqref="BU47" start="0" length="0">
    <dxf>
      <font>
        <b val="0"/>
      </font>
      <numFmt numFmtId="14" formatCode="0.00%"/>
    </dxf>
  </rfmt>
  <rfmt sheetId="4" sqref="BU48" start="0" length="0">
    <dxf>
      <numFmt numFmtId="14" formatCode="0.00%"/>
    </dxf>
  </rfmt>
  <rfmt sheetId="4" sqref="BU49" start="0" length="0">
    <dxf>
      <numFmt numFmtId="14" formatCode="0.00%"/>
    </dxf>
  </rfmt>
  <rfmt sheetId="4" sqref="BU50" start="0" length="0">
    <dxf>
      <numFmt numFmtId="14" formatCode="0.00%"/>
      <fill>
        <patternFill patternType="none">
          <bgColor indexed="65"/>
        </patternFill>
      </fill>
    </dxf>
  </rfmt>
  <rfmt sheetId="4" sqref="BU51" start="0" length="0">
    <dxf>
      <numFmt numFmtId="14" formatCode="0.00%"/>
    </dxf>
  </rfmt>
  <rfmt sheetId="4" sqref="BU52" start="0" length="0">
    <dxf>
      <numFmt numFmtId="14" formatCode="0.00%"/>
    </dxf>
  </rfmt>
  <rfmt sheetId="4" sqref="BU53" start="0" length="0">
    <dxf>
      <numFmt numFmtId="14" formatCode="0.00%"/>
    </dxf>
  </rfmt>
  <rfmt sheetId="4" sqref="BU54" start="0" length="0">
    <dxf>
      <numFmt numFmtId="14" formatCode="0.00%"/>
    </dxf>
  </rfmt>
  <rfmt sheetId="4" sqref="BU55" start="0" length="0">
    <dxf>
      <numFmt numFmtId="14" formatCode="0.00%"/>
    </dxf>
  </rfmt>
  <rfmt sheetId="4" sqref="BU56" start="0" length="0">
    <dxf>
      <numFmt numFmtId="14" formatCode="0.00%"/>
    </dxf>
  </rfmt>
  <rfmt sheetId="4" sqref="BU57" start="0" length="0">
    <dxf>
      <numFmt numFmtId="14" formatCode="0.00%"/>
    </dxf>
  </rfmt>
  <rfmt sheetId="4" sqref="BU58" start="0" length="0">
    <dxf>
      <numFmt numFmtId="14" formatCode="0.00%"/>
    </dxf>
  </rfmt>
  <rfmt sheetId="4" sqref="BU59" start="0" length="0">
    <dxf>
      <numFmt numFmtId="14" formatCode="0.00%"/>
    </dxf>
  </rfmt>
  <rfmt sheetId="4" sqref="BU60" start="0" length="0">
    <dxf>
      <numFmt numFmtId="14" formatCode="0.00%"/>
    </dxf>
  </rfmt>
  <rfmt sheetId="4" sqref="BU61" start="0" length="0">
    <dxf>
      <numFmt numFmtId="14" formatCode="0.00%"/>
    </dxf>
  </rfmt>
  <rfmt sheetId="4" sqref="BU62" start="0" length="0">
    <dxf>
      <numFmt numFmtId="14" formatCode="0.00%"/>
    </dxf>
  </rfmt>
  <rfmt sheetId="4" sqref="BU63" start="0" length="0">
    <dxf>
      <numFmt numFmtId="14" formatCode="0.00%"/>
    </dxf>
  </rfmt>
  <rfmt sheetId="4" sqref="BU64" start="0" length="0">
    <dxf>
      <numFmt numFmtId="14" formatCode="0.00%"/>
    </dxf>
  </rfmt>
  <rfmt sheetId="4" sqref="BU65" start="0" length="0">
    <dxf>
      <numFmt numFmtId="14" formatCode="0.00%"/>
    </dxf>
  </rfmt>
  <rfmt sheetId="4" sqref="BU66" start="0" length="0">
    <dxf>
      <numFmt numFmtId="14" formatCode="0.00%"/>
    </dxf>
  </rfmt>
  <rfmt sheetId="4" sqref="BU67" start="0" length="0">
    <dxf>
      <numFmt numFmtId="14" formatCode="0.00%"/>
    </dxf>
  </rfmt>
  <rfmt sheetId="4" sqref="BU68" start="0" length="0">
    <dxf>
      <numFmt numFmtId="14" formatCode="0.00%"/>
    </dxf>
  </rfmt>
  <rfmt sheetId="4" sqref="BU69" start="0" length="0">
    <dxf>
      <numFmt numFmtId="14" formatCode="0.00%"/>
    </dxf>
  </rfmt>
  <rfmt sheetId="4" sqref="BU70" start="0" length="0">
    <dxf>
      <numFmt numFmtId="14" formatCode="0.00%"/>
    </dxf>
  </rfmt>
  <rfmt sheetId="4" sqref="BU71" start="0" length="0">
    <dxf>
      <numFmt numFmtId="14" formatCode="0.00%"/>
    </dxf>
  </rfmt>
  <rfmt sheetId="4" sqref="BU72" start="0" length="0">
    <dxf>
      <numFmt numFmtId="14" formatCode="0.00%"/>
    </dxf>
  </rfmt>
  <rfmt sheetId="4" sqref="BU73" start="0" length="0">
    <dxf>
      <numFmt numFmtId="14" formatCode="0.00%"/>
      <border outline="0">
        <bottom/>
      </border>
    </dxf>
  </rfmt>
  <rfmt sheetId="4" sqref="BU74" start="0" length="0">
    <dxf>
      <font>
        <b val="0"/>
      </font>
      <numFmt numFmtId="14" formatCode="0.00%"/>
    </dxf>
  </rfmt>
  <rfmt sheetId="4" sqref="BU75" start="0" length="0">
    <dxf>
      <font>
        <b val="0"/>
      </font>
      <numFmt numFmtId="14" formatCode="0.00%"/>
    </dxf>
  </rfmt>
  <rfmt sheetId="4" sqref="BU76" start="0" length="0">
    <dxf>
      <font>
        <b val="0"/>
      </font>
      <numFmt numFmtId="14" formatCode="0.00%"/>
    </dxf>
  </rfmt>
  <rfmt sheetId="4" sqref="BU77" start="0" length="0">
    <dxf>
      <font>
        <b val="0"/>
      </font>
      <numFmt numFmtId="14" formatCode="0.00%"/>
    </dxf>
  </rfmt>
  <rfmt sheetId="4" sqref="BU78" start="0" length="0">
    <dxf>
      <font>
        <b val="0"/>
      </font>
      <numFmt numFmtId="14" formatCode="0.00%"/>
    </dxf>
  </rfmt>
  <rfmt sheetId="4" sqref="BU79" start="0" length="0">
    <dxf>
      <font>
        <b val="0"/>
      </font>
      <numFmt numFmtId="14" formatCode="0.00%"/>
    </dxf>
  </rfmt>
  <rfmt sheetId="4" sqref="BU80" start="0" length="0">
    <dxf>
      <font>
        <b val="0"/>
      </font>
      <numFmt numFmtId="14" formatCode="0.00%"/>
    </dxf>
  </rfmt>
  <rfmt sheetId="4" sqref="BU81" start="0" length="0">
    <dxf>
      <font>
        <b val="0"/>
      </font>
      <numFmt numFmtId="14" formatCode="0.00%"/>
    </dxf>
  </rfmt>
  <rfmt sheetId="4" sqref="BU82" start="0" length="0">
    <dxf>
      <font>
        <b val="0"/>
      </font>
      <numFmt numFmtId="14" formatCode="0.00%"/>
    </dxf>
  </rfmt>
  <rfmt sheetId="4" sqref="BU83" start="0" length="0">
    <dxf>
      <numFmt numFmtId="14" formatCode="0.00%"/>
    </dxf>
  </rfmt>
  <rfmt sheetId="4" sqref="BU84" start="0" length="0">
    <dxf>
      <numFmt numFmtId="14" formatCode="0.00%"/>
      <fill>
        <patternFill patternType="none">
          <bgColor indexed="65"/>
        </patternFill>
      </fill>
    </dxf>
  </rfmt>
  <rfmt sheetId="4" sqref="BU85" start="0" length="0">
    <dxf>
      <numFmt numFmtId="14" formatCode="0.00%"/>
    </dxf>
  </rfmt>
  <rfmt sheetId="4" sqref="BU86" start="0" length="0">
    <dxf>
      <numFmt numFmtId="14" formatCode="0.00%"/>
    </dxf>
  </rfmt>
  <rfmt sheetId="4" sqref="BU87" start="0" length="0">
    <dxf>
      <numFmt numFmtId="14" formatCode="0.00%"/>
    </dxf>
  </rfmt>
  <rfmt sheetId="4" sqref="BU88" start="0" length="0">
    <dxf>
      <numFmt numFmtId="14" formatCode="0.00%"/>
    </dxf>
  </rfmt>
  <rfmt sheetId="4" sqref="BU89" start="0" length="0">
    <dxf>
      <numFmt numFmtId="14" formatCode="0.00%"/>
    </dxf>
  </rfmt>
  <rfmt sheetId="4" sqref="BU90" start="0" length="0">
    <dxf>
      <numFmt numFmtId="14" formatCode="0.00%"/>
    </dxf>
  </rfmt>
  <rfmt sheetId="4" sqref="BU91" start="0" length="0">
    <dxf>
      <numFmt numFmtId="14" formatCode="0.00%"/>
    </dxf>
  </rfmt>
  <rfmt sheetId="4" sqref="BU92" start="0" length="0">
    <dxf>
      <numFmt numFmtId="14" formatCode="0.00%"/>
    </dxf>
  </rfmt>
  <rfmt sheetId="4" sqref="BU93" start="0" length="0">
    <dxf>
      <numFmt numFmtId="14" formatCode="0.00%"/>
    </dxf>
  </rfmt>
  <rfmt sheetId="4" sqref="BU94" start="0" length="0">
    <dxf>
      <numFmt numFmtId="14" formatCode="0.00%"/>
    </dxf>
  </rfmt>
  <rfmt sheetId="4" sqref="BU95" start="0" length="0">
    <dxf>
      <numFmt numFmtId="14" formatCode="0.00%"/>
    </dxf>
  </rfmt>
  <rfmt sheetId="4" sqref="BU96" start="0" length="0">
    <dxf>
      <numFmt numFmtId="14" formatCode="0.00%"/>
    </dxf>
  </rfmt>
  <rfmt sheetId="4" sqref="BU97" start="0" length="0">
    <dxf>
      <numFmt numFmtId="14" formatCode="0.00%"/>
    </dxf>
  </rfmt>
  <rfmt sheetId="4" sqref="BU98" start="0" length="0">
    <dxf>
      <numFmt numFmtId="14" formatCode="0.00%"/>
    </dxf>
  </rfmt>
  <rfmt sheetId="4" sqref="BU99" start="0" length="0">
    <dxf>
      <numFmt numFmtId="14" formatCode="0.00%"/>
    </dxf>
  </rfmt>
  <rfmt sheetId="4" sqref="BU100" start="0" length="0">
    <dxf>
      <numFmt numFmtId="14" formatCode="0.00%"/>
    </dxf>
  </rfmt>
  <rfmt sheetId="4" sqref="BU101" start="0" length="0">
    <dxf>
      <numFmt numFmtId="14" formatCode="0.00%"/>
    </dxf>
  </rfmt>
  <rfmt sheetId="4" sqref="BU102" start="0" length="0">
    <dxf>
      <numFmt numFmtId="14" formatCode="0.00%"/>
    </dxf>
  </rfmt>
  <rfmt sheetId="4" sqref="BU103" start="0" length="0">
    <dxf>
      <numFmt numFmtId="14" formatCode="0.00%"/>
    </dxf>
  </rfmt>
  <rfmt sheetId="4" sqref="BU104" start="0" length="0">
    <dxf>
      <numFmt numFmtId="14" formatCode="0.00%"/>
    </dxf>
  </rfmt>
  <rfmt sheetId="4" sqref="BU105" start="0" length="0">
    <dxf>
      <numFmt numFmtId="14" formatCode="0.00%"/>
    </dxf>
  </rfmt>
  <rfmt sheetId="4" sqref="BU106" start="0" length="0">
    <dxf>
      <numFmt numFmtId="14" formatCode="0.00%"/>
    </dxf>
  </rfmt>
  <rfmt sheetId="4" sqref="BU107" start="0" length="0">
    <dxf>
      <numFmt numFmtId="14" formatCode="0.00%"/>
      <border outline="0">
        <bottom/>
      </border>
    </dxf>
  </rfmt>
  <rfmt sheetId="4" sqref="BU108" start="0" length="0">
    <dxf>
      <font>
        <b val="0"/>
      </font>
      <numFmt numFmtId="14" formatCode="0.00%"/>
    </dxf>
  </rfmt>
  <rfmt sheetId="4" sqref="BU109" start="0" length="0">
    <dxf>
      <font>
        <b val="0"/>
      </font>
      <numFmt numFmtId="14" formatCode="0.00%"/>
    </dxf>
  </rfmt>
  <rfmt sheetId="4" sqref="BU110" start="0" length="0">
    <dxf>
      <font>
        <b val="0"/>
      </font>
      <numFmt numFmtId="14" formatCode="0.00%"/>
    </dxf>
  </rfmt>
  <rfmt sheetId="4" sqref="BU111" start="0" length="0">
    <dxf>
      <font>
        <b val="0"/>
      </font>
      <numFmt numFmtId="14" formatCode="0.00%"/>
    </dxf>
  </rfmt>
  <rfmt sheetId="4" sqref="BU112" start="0" length="0">
    <dxf>
      <font>
        <b val="0"/>
      </font>
      <numFmt numFmtId="14" formatCode="0.00%"/>
    </dxf>
  </rfmt>
  <rfmt sheetId="4" sqref="BU113" start="0" length="0">
    <dxf>
      <font>
        <b val="0"/>
      </font>
      <numFmt numFmtId="14" formatCode="0.00%"/>
    </dxf>
  </rfmt>
  <rfmt sheetId="4" sqref="BU114" start="0" length="0">
    <dxf>
      <font>
        <b val="0"/>
      </font>
      <numFmt numFmtId="14" formatCode="0.00%"/>
    </dxf>
  </rfmt>
  <rfmt sheetId="4" sqref="BU115" start="0" length="0">
    <dxf>
      <numFmt numFmtId="14" formatCode="0.00%"/>
    </dxf>
  </rfmt>
  <rfmt sheetId="4" sqref="BU116" start="0" length="0">
    <dxf>
      <numFmt numFmtId="14" formatCode="0.00%"/>
    </dxf>
  </rfmt>
  <rfmt sheetId="4" sqref="BU117" start="0" length="0">
    <dxf>
      <numFmt numFmtId="14" formatCode="0.00%"/>
    </dxf>
  </rfmt>
  <rfmt sheetId="4" sqref="BU118" start="0" length="0">
    <dxf>
      <numFmt numFmtId="14" formatCode="0.00%"/>
      <fill>
        <patternFill patternType="none">
          <bgColor indexed="65"/>
        </patternFill>
      </fill>
    </dxf>
  </rfmt>
  <rfmt sheetId="4" sqref="BU119" start="0" length="0">
    <dxf>
      <numFmt numFmtId="14" formatCode="0.00%"/>
    </dxf>
  </rfmt>
  <rfmt sheetId="4" sqref="BU120" start="0" length="0">
    <dxf>
      <numFmt numFmtId="14" formatCode="0.00%"/>
    </dxf>
  </rfmt>
  <rfmt sheetId="4" sqref="BU121" start="0" length="0">
    <dxf>
      <numFmt numFmtId="14" formatCode="0.00%"/>
    </dxf>
  </rfmt>
  <rfmt sheetId="4" sqref="BU122" start="0" length="0">
    <dxf>
      <numFmt numFmtId="14" formatCode="0.00%"/>
    </dxf>
  </rfmt>
  <rfmt sheetId="4" sqref="BU123" start="0" length="0">
    <dxf>
      <numFmt numFmtId="14" formatCode="0.00%"/>
    </dxf>
  </rfmt>
  <rfmt sheetId="4" sqref="BU124" start="0" length="0">
    <dxf>
      <numFmt numFmtId="14" formatCode="0.00%"/>
    </dxf>
  </rfmt>
  <rfmt sheetId="4" sqref="BU125" start="0" length="0">
    <dxf>
      <numFmt numFmtId="14" formatCode="0.00%"/>
    </dxf>
  </rfmt>
  <rfmt sheetId="4" sqref="BU126" start="0" length="0">
    <dxf>
      <numFmt numFmtId="14" formatCode="0.00%"/>
    </dxf>
  </rfmt>
  <rfmt sheetId="4" sqref="BU127" start="0" length="0">
    <dxf>
      <numFmt numFmtId="14" formatCode="0.00%"/>
    </dxf>
  </rfmt>
  <rfmt sheetId="4" sqref="BU128" start="0" length="0">
    <dxf>
      <numFmt numFmtId="14" formatCode="0.00%"/>
    </dxf>
  </rfmt>
  <rfmt sheetId="4" sqref="BU129" start="0" length="0">
    <dxf>
      <numFmt numFmtId="14" formatCode="0.00%"/>
    </dxf>
  </rfmt>
  <rfmt sheetId="4" sqref="BU130" start="0" length="0">
    <dxf>
      <numFmt numFmtId="14" formatCode="0.00%"/>
    </dxf>
  </rfmt>
  <rfmt sheetId="4" sqref="BU131" start="0" length="0">
    <dxf>
      <numFmt numFmtId="14" formatCode="0.00%"/>
      <border outline="0">
        <bottom/>
      </border>
    </dxf>
  </rfmt>
  <rfmt sheetId="4" sqref="BU132" start="0" length="0">
    <dxf>
      <font>
        <b val="0"/>
      </font>
      <numFmt numFmtId="14" formatCode="0.00%"/>
    </dxf>
  </rfmt>
  <rfmt sheetId="4" sqref="BU133" start="0" length="0">
    <dxf>
      <font>
        <b val="0"/>
      </font>
      <numFmt numFmtId="14" formatCode="0.00%"/>
    </dxf>
  </rfmt>
  <rfmt sheetId="4" sqref="BU134" start="0" length="0">
    <dxf>
      <font>
        <b val="0"/>
      </font>
      <numFmt numFmtId="14" formatCode="0.00%"/>
    </dxf>
  </rfmt>
  <rfmt sheetId="4" sqref="BU135" start="0" length="0">
    <dxf>
      <font>
        <b val="0"/>
      </font>
      <numFmt numFmtId="14" formatCode="0.00%"/>
    </dxf>
  </rfmt>
  <rfmt sheetId="4" sqref="BU136" start="0" length="0">
    <dxf>
      <numFmt numFmtId="14" formatCode="0.00%"/>
    </dxf>
  </rfmt>
  <rfmt sheetId="4" sqref="BU137" start="0" length="0">
    <dxf>
      <numFmt numFmtId="14" formatCode="0.00%"/>
    </dxf>
  </rfmt>
  <rfmt sheetId="4" sqref="BU138" start="0" length="0">
    <dxf>
      <numFmt numFmtId="14" formatCode="0.00%"/>
    </dxf>
  </rfmt>
  <rfmt sheetId="4" sqref="BU139" start="0" length="0">
    <dxf>
      <numFmt numFmtId="14" formatCode="0.00%"/>
    </dxf>
  </rfmt>
  <rfmt sheetId="4" sqref="BU140" start="0" length="0">
    <dxf>
      <numFmt numFmtId="14" formatCode="0.00%"/>
    </dxf>
  </rfmt>
  <rfmt sheetId="4" sqref="BU141" start="0" length="0">
    <dxf>
      <numFmt numFmtId="14" formatCode="0.00%"/>
    </dxf>
  </rfmt>
  <rfmt sheetId="4" sqref="BU142" start="0" length="0">
    <dxf>
      <numFmt numFmtId="14" formatCode="0.00%"/>
    </dxf>
  </rfmt>
  <rfmt sheetId="4" sqref="BU143" start="0" length="0">
    <dxf>
      <numFmt numFmtId="14" formatCode="0.00%"/>
    </dxf>
  </rfmt>
  <rfmt sheetId="4" sqref="BU144" start="0" length="0">
    <dxf>
      <numFmt numFmtId="14" formatCode="0.00%"/>
      <fill>
        <patternFill patternType="none">
          <bgColor indexed="65"/>
        </patternFill>
      </fill>
    </dxf>
  </rfmt>
  <rfmt sheetId="4" sqref="BU145" start="0" length="0">
    <dxf>
      <numFmt numFmtId="14" formatCode="0.00%"/>
    </dxf>
  </rfmt>
  <rfmt sheetId="4" sqref="BU146" start="0" length="0">
    <dxf>
      <numFmt numFmtId="14" formatCode="0.00%"/>
    </dxf>
  </rfmt>
  <rfmt sheetId="4" sqref="BU147" start="0" length="0">
    <dxf>
      <numFmt numFmtId="14" formatCode="0.00%"/>
    </dxf>
  </rfmt>
  <rfmt sheetId="4" sqref="BU148" start="0" length="0">
    <dxf>
      <numFmt numFmtId="14" formatCode="0.00%"/>
    </dxf>
  </rfmt>
  <rfmt sheetId="4" sqref="BU149" start="0" length="0">
    <dxf>
      <numFmt numFmtId="14" formatCode="0.00%"/>
    </dxf>
  </rfmt>
  <rfmt sheetId="4" sqref="BU150" start="0" length="0">
    <dxf>
      <numFmt numFmtId="14" formatCode="0.00%"/>
    </dxf>
  </rfmt>
  <rfmt sheetId="4" sqref="BU151" start="0" length="0">
    <dxf>
      <numFmt numFmtId="14" formatCode="0.00%"/>
    </dxf>
  </rfmt>
  <rfmt sheetId="4" sqref="BU152" start="0" length="0">
    <dxf>
      <numFmt numFmtId="14" formatCode="0.00%"/>
    </dxf>
  </rfmt>
  <rfmt sheetId="4" sqref="BU153" start="0" length="0">
    <dxf>
      <numFmt numFmtId="14" formatCode="0.00%"/>
    </dxf>
  </rfmt>
  <rfmt sheetId="4" sqref="BU154" start="0" length="0">
    <dxf>
      <numFmt numFmtId="14" formatCode="0.00%"/>
    </dxf>
  </rfmt>
  <rfmt sheetId="4" sqref="BU155" start="0" length="0">
    <dxf>
      <numFmt numFmtId="14" formatCode="0.00%"/>
    </dxf>
  </rfmt>
  <rfmt sheetId="4" sqref="BU156" start="0" length="0">
    <dxf>
      <numFmt numFmtId="14" formatCode="0.00%"/>
    </dxf>
  </rfmt>
  <rfmt sheetId="4" sqref="BU157" start="0" length="0">
    <dxf>
      <numFmt numFmtId="14" formatCode="0.00%"/>
    </dxf>
  </rfmt>
  <rfmt sheetId="4" sqref="BU158" start="0" length="0">
    <dxf>
      <numFmt numFmtId="14" formatCode="0.00%"/>
    </dxf>
  </rfmt>
  <rfmt sheetId="4" sqref="BU159" start="0" length="0">
    <dxf>
      <numFmt numFmtId="14" formatCode="0.00%"/>
    </dxf>
  </rfmt>
  <rfmt sheetId="4" sqref="BU160" start="0" length="0">
    <dxf>
      <numFmt numFmtId="14" formatCode="0.00%"/>
    </dxf>
  </rfmt>
  <rfmt sheetId="4" sqref="BU161" start="0" length="0">
    <dxf>
      <numFmt numFmtId="14" formatCode="0.00%"/>
    </dxf>
  </rfmt>
  <rfmt sheetId="4" sqref="BU162" start="0" length="0">
    <dxf>
      <numFmt numFmtId="14" formatCode="0.00%"/>
    </dxf>
  </rfmt>
  <rfmt sheetId="4" sqref="BU163" start="0" length="0">
    <dxf>
      <numFmt numFmtId="14" formatCode="0.00%"/>
    </dxf>
  </rfmt>
  <rfmt sheetId="4" sqref="BU164" start="0" length="0">
    <dxf>
      <numFmt numFmtId="14" formatCode="0.00%"/>
      <border outline="0">
        <bottom/>
      </border>
    </dxf>
  </rfmt>
  <rfmt sheetId="4" sqref="BU165" start="0" length="0">
    <dxf>
      <font>
        <b val="0"/>
      </font>
      <numFmt numFmtId="14" formatCode="0.00%"/>
    </dxf>
  </rfmt>
  <rfmt sheetId="4" sqref="BU166" start="0" length="0">
    <dxf>
      <font>
        <b val="0"/>
      </font>
      <numFmt numFmtId="14" formatCode="0.00%"/>
    </dxf>
  </rfmt>
  <rfmt sheetId="4" sqref="BU167" start="0" length="0">
    <dxf>
      <font>
        <b val="0"/>
      </font>
      <numFmt numFmtId="14" formatCode="0.00%"/>
    </dxf>
  </rfmt>
  <rfmt sheetId="4" sqref="BU168" start="0" length="0">
    <dxf>
      <font>
        <b val="0"/>
      </font>
      <numFmt numFmtId="14" formatCode="0.00%"/>
    </dxf>
  </rfmt>
  <rfmt sheetId="4" sqref="BU169" start="0" length="0">
    <dxf>
      <font>
        <b val="0"/>
      </font>
      <numFmt numFmtId="14" formatCode="0.00%"/>
    </dxf>
  </rfmt>
  <rfmt sheetId="4" sqref="BU170" start="0" length="0">
    <dxf>
      <font>
        <b val="0"/>
      </font>
      <numFmt numFmtId="14" formatCode="0.00%"/>
    </dxf>
  </rfmt>
  <rfmt sheetId="4" sqref="BU171" start="0" length="0">
    <dxf>
      <font>
        <b val="0"/>
      </font>
      <numFmt numFmtId="14" formatCode="0.00%"/>
    </dxf>
  </rfmt>
  <rfmt sheetId="4" sqref="BU172" start="0" length="0">
    <dxf>
      <font>
        <b val="0"/>
      </font>
      <numFmt numFmtId="14" formatCode="0.00%"/>
    </dxf>
  </rfmt>
  <rfmt sheetId="4" sqref="BU173" start="0" length="0">
    <dxf>
      <font>
        <b val="0"/>
      </font>
      <numFmt numFmtId="14" formatCode="0.00%"/>
    </dxf>
  </rfmt>
  <rfmt sheetId="4" sqref="BU174" start="0" length="0">
    <dxf>
      <font>
        <b val="0"/>
      </font>
      <numFmt numFmtId="14" formatCode="0.00%"/>
    </dxf>
  </rfmt>
  <rfmt sheetId="4" sqref="BU175" start="0" length="0">
    <dxf>
      <numFmt numFmtId="14" formatCode="0.00%"/>
    </dxf>
  </rfmt>
  <rfmt sheetId="4" sqref="BU176" start="0" length="0">
    <dxf>
      <numFmt numFmtId="14" formatCode="0.00%"/>
    </dxf>
  </rfmt>
  <rfmt sheetId="4" sqref="BU177" start="0" length="0">
    <dxf>
      <numFmt numFmtId="14" formatCode="0.00%"/>
      <fill>
        <patternFill patternType="none">
          <bgColor indexed="65"/>
        </patternFill>
      </fill>
    </dxf>
  </rfmt>
  <rfmt sheetId="4" sqref="BU178" start="0" length="0">
    <dxf>
      <numFmt numFmtId="14" formatCode="0.00%"/>
    </dxf>
  </rfmt>
  <rfmt sheetId="4" sqref="BU179" start="0" length="0">
    <dxf>
      <numFmt numFmtId="14" formatCode="0.00%"/>
    </dxf>
  </rfmt>
  <rfmt sheetId="4" sqref="BU180" start="0" length="0">
    <dxf>
      <numFmt numFmtId="14" formatCode="0.00%"/>
    </dxf>
  </rfmt>
  <rfmt sheetId="4" sqref="BU181" start="0" length="0">
    <dxf>
      <numFmt numFmtId="14" formatCode="0.00%"/>
    </dxf>
  </rfmt>
  <rfmt sheetId="4" sqref="BU182" start="0" length="0">
    <dxf>
      <numFmt numFmtId="14" formatCode="0.00%"/>
    </dxf>
  </rfmt>
  <rfmt sheetId="4" sqref="BU183" start="0" length="0">
    <dxf>
      <numFmt numFmtId="14" formatCode="0.00%"/>
    </dxf>
  </rfmt>
  <rfmt sheetId="4" sqref="BU184" start="0" length="0">
    <dxf>
      <numFmt numFmtId="14" formatCode="0.00%"/>
    </dxf>
  </rfmt>
  <rfmt sheetId="4" sqref="BU185" start="0" length="0">
    <dxf>
      <numFmt numFmtId="14" formatCode="0.00%"/>
    </dxf>
  </rfmt>
  <rfmt sheetId="4" sqref="BU186" start="0" length="0">
    <dxf>
      <numFmt numFmtId="14" formatCode="0.00%"/>
      <border outline="0">
        <bottom/>
      </border>
    </dxf>
  </rfmt>
  <rfmt sheetId="4" sqref="BU187" start="0" length="0">
    <dxf>
      <font>
        <b val="0"/>
      </font>
      <numFmt numFmtId="14" formatCode="0.00%"/>
    </dxf>
  </rfmt>
  <rfmt sheetId="4" sqref="BU188" start="0" length="0">
    <dxf>
      <font>
        <b val="0"/>
      </font>
      <numFmt numFmtId="14" formatCode="0.00%"/>
    </dxf>
  </rfmt>
  <rfmt sheetId="4" sqref="BU189" start="0" length="0">
    <dxf>
      <font>
        <b val="0"/>
      </font>
      <numFmt numFmtId="14" formatCode="0.00%"/>
    </dxf>
  </rfmt>
  <rfmt sheetId="4" sqref="BU190" start="0" length="0">
    <dxf>
      <numFmt numFmtId="14" formatCode="0.00%"/>
    </dxf>
  </rfmt>
  <rfmt sheetId="4" sqref="BU191" start="0" length="0">
    <dxf>
      <numFmt numFmtId="14" formatCode="0.00%"/>
    </dxf>
  </rfmt>
  <rfmt sheetId="4" sqref="BU192" start="0" length="0">
    <dxf>
      <numFmt numFmtId="14" formatCode="0.00%"/>
    </dxf>
  </rfmt>
  <rfmt sheetId="4" sqref="BU193" start="0" length="0">
    <dxf>
      <numFmt numFmtId="14" formatCode="0.00%"/>
    </dxf>
  </rfmt>
  <rfmt sheetId="4" sqref="BU194" start="0" length="0">
    <dxf>
      <numFmt numFmtId="14" formatCode="0.00%"/>
    </dxf>
  </rfmt>
  <rfmt sheetId="4" sqref="BU195" start="0" length="0">
    <dxf>
      <numFmt numFmtId="14" formatCode="0.00%"/>
    </dxf>
  </rfmt>
  <rfmt sheetId="4" sqref="BU196" start="0" length="0">
    <dxf>
      <numFmt numFmtId="14" formatCode="0.00%"/>
      <fill>
        <patternFill patternType="none">
          <bgColor indexed="65"/>
        </patternFill>
      </fill>
    </dxf>
  </rfmt>
  <rfmt sheetId="4" sqref="BU197" start="0" length="0">
    <dxf>
      <numFmt numFmtId="14" formatCode="0.00%"/>
    </dxf>
  </rfmt>
  <rfmt sheetId="4" sqref="BU198" start="0" length="0">
    <dxf>
      <numFmt numFmtId="14" formatCode="0.00%"/>
    </dxf>
  </rfmt>
  <rfmt sheetId="4" sqref="BU199" start="0" length="0">
    <dxf>
      <numFmt numFmtId="14" formatCode="0.00%"/>
    </dxf>
  </rfmt>
  <rfmt sheetId="4" sqref="BU200" start="0" length="0">
    <dxf>
      <numFmt numFmtId="14" formatCode="0.00%"/>
    </dxf>
  </rfmt>
  <rfmt sheetId="4" sqref="BU201" start="0" length="0">
    <dxf>
      <numFmt numFmtId="14" formatCode="0.00%"/>
    </dxf>
  </rfmt>
  <rfmt sheetId="4" sqref="BU202" start="0" length="0">
    <dxf>
      <numFmt numFmtId="14" formatCode="0.00%"/>
    </dxf>
  </rfmt>
  <rfmt sheetId="4" sqref="BU203" start="0" length="0">
    <dxf>
      <numFmt numFmtId="14" formatCode="0.00%"/>
    </dxf>
  </rfmt>
  <rfmt sheetId="4" sqref="BU204" start="0" length="0">
    <dxf>
      <numFmt numFmtId="14" formatCode="0.00%"/>
    </dxf>
  </rfmt>
  <rfmt sheetId="4" sqref="BU205" start="0" length="0">
    <dxf>
      <numFmt numFmtId="14" formatCode="0.00%"/>
    </dxf>
  </rfmt>
  <rfmt sheetId="4" sqref="BU206" start="0" length="0">
    <dxf>
      <numFmt numFmtId="14" formatCode="0.00%"/>
    </dxf>
  </rfmt>
  <rfmt sheetId="4" sqref="BU207" start="0" length="0">
    <dxf>
      <numFmt numFmtId="14" formatCode="0.00%"/>
    </dxf>
  </rfmt>
  <rfmt sheetId="4" sqref="BU208" start="0" length="0">
    <dxf>
      <numFmt numFmtId="14" formatCode="0.00%"/>
    </dxf>
  </rfmt>
  <rfmt sheetId="4" sqref="BU209" start="0" length="0">
    <dxf>
      <numFmt numFmtId="14" formatCode="0.00%"/>
    </dxf>
  </rfmt>
  <rfmt sheetId="4" sqref="BU210" start="0" length="0">
    <dxf>
      <numFmt numFmtId="14" formatCode="0.00%"/>
    </dxf>
  </rfmt>
  <rfmt sheetId="4" sqref="BU211" start="0" length="0">
    <dxf>
      <numFmt numFmtId="14" formatCode="0.00%"/>
    </dxf>
  </rfmt>
  <rfmt sheetId="4" sqref="BU212" start="0" length="0">
    <dxf>
      <numFmt numFmtId="14" formatCode="0.00%"/>
    </dxf>
  </rfmt>
  <rfmt sheetId="4" sqref="BU213" start="0" length="0">
    <dxf>
      <numFmt numFmtId="14" formatCode="0.00%"/>
    </dxf>
  </rfmt>
  <rfmt sheetId="4" sqref="BU214" start="0" length="0">
    <dxf>
      <numFmt numFmtId="14" formatCode="0.00%"/>
    </dxf>
  </rfmt>
  <rfmt sheetId="4" sqref="BU215" start="0" length="0">
    <dxf>
      <numFmt numFmtId="14" formatCode="0.00%"/>
    </dxf>
  </rfmt>
  <rfmt sheetId="4" sqref="BU216" start="0" length="0">
    <dxf>
      <numFmt numFmtId="14" formatCode="0.00%"/>
    </dxf>
  </rfmt>
  <rfmt sheetId="4" sqref="BU217" start="0" length="0">
    <dxf>
      <numFmt numFmtId="14" formatCode="0.00%"/>
    </dxf>
  </rfmt>
  <rfmt sheetId="4" sqref="BU218" start="0" length="0">
    <dxf>
      <numFmt numFmtId="14" formatCode="0.00%"/>
    </dxf>
  </rfmt>
  <rfmt sheetId="4" sqref="BU219" start="0" length="0">
    <dxf>
      <numFmt numFmtId="14" formatCode="0.00%"/>
    </dxf>
  </rfmt>
  <rfmt sheetId="4" sqref="BU220" start="0" length="0">
    <dxf>
      <numFmt numFmtId="14" formatCode="0.00%"/>
    </dxf>
  </rfmt>
  <rfmt sheetId="4" sqref="BU221" start="0" length="0">
    <dxf>
      <font>
        <b val="0"/>
      </font>
      <numFmt numFmtId="14" formatCode="0.00%"/>
      <border outline="0">
        <top/>
      </border>
    </dxf>
  </rfmt>
  <rfmt sheetId="4" sqref="BU222" start="0" length="0">
    <dxf>
      <numFmt numFmtId="14" formatCode="0.00%"/>
    </dxf>
  </rfmt>
  <rfmt sheetId="4" sqref="BU223" start="0" length="0">
    <dxf>
      <numFmt numFmtId="14" formatCode="0.00%"/>
    </dxf>
  </rfmt>
  <rfmt sheetId="4" sqref="BU224" start="0" length="0">
    <dxf>
      <numFmt numFmtId="14" formatCode="0.00%"/>
    </dxf>
  </rfmt>
  <rfmt sheetId="4" sqref="BU225" start="0" length="0">
    <dxf>
      <numFmt numFmtId="14" formatCode="0.00%"/>
      <border outline="0">
        <bottom/>
      </border>
    </dxf>
  </rfmt>
  <rfmt sheetId="4" sqref="BU226" start="0" length="0">
    <dxf>
      <numFmt numFmtId="14" formatCode="0.00%"/>
    </dxf>
  </rfmt>
  <rfmt sheetId="4" sqref="BU227" start="0" length="0">
    <dxf>
      <numFmt numFmtId="14" formatCode="0.00%"/>
    </dxf>
  </rfmt>
  <rfmt sheetId="4" sqref="BU228" start="0" length="0">
    <dxf>
      <numFmt numFmtId="14" formatCode="0.00%"/>
    </dxf>
  </rfmt>
  <rfmt sheetId="4" sqref="BU229" start="0" length="0">
    <dxf>
      <numFmt numFmtId="14" formatCode="0.00%"/>
    </dxf>
  </rfmt>
  <rfmt sheetId="4" sqref="BU230" start="0" length="0">
    <dxf>
      <numFmt numFmtId="14" formatCode="0.00%"/>
    </dxf>
  </rfmt>
  <rfmt sheetId="4" sqref="BU231" start="0" length="0">
    <dxf>
      <numFmt numFmtId="14" formatCode="0.00%"/>
    </dxf>
  </rfmt>
  <rfmt sheetId="4" sqref="BU232" start="0" length="0">
    <dxf>
      <numFmt numFmtId="14" formatCode="0.00%"/>
    </dxf>
  </rfmt>
  <rfmt sheetId="4" sqref="BU233" start="0" length="0">
    <dxf>
      <numFmt numFmtId="14" formatCode="0.00%"/>
    </dxf>
  </rfmt>
  <rfmt sheetId="4" sqref="BU234" start="0" length="0">
    <dxf>
      <numFmt numFmtId="14" formatCode="0.00%"/>
    </dxf>
  </rfmt>
  <rfmt sheetId="4" sqref="BU235" start="0" length="0">
    <dxf>
      <numFmt numFmtId="14" formatCode="0.00%"/>
    </dxf>
  </rfmt>
  <rfmt sheetId="4" sqref="BU236" start="0" length="0">
    <dxf>
      <numFmt numFmtId="14" formatCode="0.00%"/>
    </dxf>
  </rfmt>
  <rfmt sheetId="4" sqref="BU237" start="0" length="0">
    <dxf>
      <numFmt numFmtId="14" formatCode="0.00%"/>
    </dxf>
  </rfmt>
  <rfmt sheetId="4" sqref="BU238" start="0" length="0">
    <dxf>
      <numFmt numFmtId="14" formatCode="0.00%"/>
    </dxf>
  </rfmt>
  <rfmt sheetId="4" sqref="BU239" start="0" length="0">
    <dxf>
      <numFmt numFmtId="14" formatCode="0.00%"/>
    </dxf>
  </rfmt>
  <rfmt sheetId="4" sqref="BU240" start="0" length="0">
    <dxf>
      <numFmt numFmtId="14" formatCode="0.00%"/>
    </dxf>
  </rfmt>
  <rfmt sheetId="4" sqref="BU241" start="0" length="0">
    <dxf>
      <font>
        <b val="0"/>
      </font>
      <numFmt numFmtId="14" formatCode="0.00%"/>
      <fill>
        <patternFill patternType="none">
          <bgColor indexed="65"/>
        </patternFill>
      </fill>
    </dxf>
  </rfmt>
  <rfmt sheetId="4" sqref="BU7:BU241">
    <dxf>
      <numFmt numFmtId="1" formatCode="0"/>
    </dxf>
  </rfmt>
  <rrc rId="39780" sId="4" ref="BP1:BP1048576" action="deleteCol">
    <undo index="0" exp="ref" v="1" dr="BP241" r="BU241" sId="4"/>
    <undo index="0" exp="ref" v="1" dr="BP240" r="BU240" sId="4"/>
    <undo index="0" exp="ref" v="1" dr="BP239" r="BU239" sId="4"/>
    <undo index="0" exp="ref" v="1" dr="BP238" r="BU238" sId="4"/>
    <undo index="0" exp="ref" v="1" dr="BP237" r="BU237" sId="4"/>
    <undo index="0" exp="ref" v="1" dr="BP236" r="BU236" sId="4"/>
    <undo index="0" exp="ref" v="1" dr="BP235" r="BU235" sId="4"/>
    <undo index="0" exp="ref" v="1" dr="BP234" r="BU234" sId="4"/>
    <undo index="0" exp="ref" v="1" dr="BP233" r="BU233" sId="4"/>
    <undo index="0" exp="ref" v="1" dr="BP232" r="BU232" sId="4"/>
    <undo index="0" exp="ref" v="1" dr="BP231" r="BU231" sId="4"/>
    <undo index="0" exp="ref" v="1" dr="BP230" r="BU230" sId="4"/>
    <undo index="0" exp="ref" v="1" dr="BP229" r="BU229" sId="4"/>
    <undo index="0" exp="ref" v="1" dr="BP228" r="BU228" sId="4"/>
    <undo index="0" exp="ref" v="1" dr="BP227" r="BU227" sId="4"/>
    <undo index="0" exp="ref" v="1" dr="BP226" r="BU226" sId="4"/>
    <undo index="0" exp="ref" v="1" dr="BP225" r="BU225" sId="4"/>
    <undo index="0" exp="ref" v="1" dr="BP224" r="BU224" sId="4"/>
    <undo index="0" exp="ref" v="1" dr="BP223" r="BU223" sId="4"/>
    <undo index="0" exp="ref" v="1" dr="BP222" r="BU222" sId="4"/>
    <undo index="0" exp="ref" v="1" dr="BP221" r="BU221" sId="4"/>
    <undo index="0" exp="ref" v="1" dr="BP220" r="BU220" sId="4"/>
    <undo index="0" exp="ref" v="1" dr="BP219" r="BU219" sId="4"/>
    <undo index="0" exp="ref" v="1" dr="BP218" r="BU218" sId="4"/>
    <undo index="0" exp="ref" v="1" dr="BP217" r="BU217" sId="4"/>
    <undo index="0" exp="ref" v="1" dr="BP216" r="BU216" sId="4"/>
    <undo index="0" exp="ref" v="1" dr="BP215" r="BU215" sId="4"/>
    <undo index="0" exp="ref" v="1" dr="BP214" r="BU214" sId="4"/>
    <undo index="0" exp="ref" v="1" dr="BP213" r="BU213" sId="4"/>
    <undo index="0" exp="ref" v="1" dr="BP212" r="BU212" sId="4"/>
    <undo index="0" exp="ref" v="1" dr="BP211" r="BU211" sId="4"/>
    <undo index="0" exp="ref" v="1" dr="BP210" r="BU210" sId="4"/>
    <undo index="0" exp="ref" v="1" dr="BP209" r="BU209" sId="4"/>
    <undo index="0" exp="ref" v="1" dr="BP208" r="BU208" sId="4"/>
    <undo index="0" exp="ref" v="1" dr="BP207" r="BU207" sId="4"/>
    <undo index="0" exp="ref" v="1" dr="BP206" r="BU206" sId="4"/>
    <undo index="0" exp="ref" v="1" dr="BP205" r="BU205" sId="4"/>
    <undo index="0" exp="ref" v="1" dr="BP204" r="BU204" sId="4"/>
    <undo index="0" exp="ref" v="1" dr="BP203" r="BU203" sId="4"/>
    <undo index="0" exp="ref" v="1" dr="BP202" r="BU202" sId="4"/>
    <undo index="0" exp="ref" v="1" dr="BP201" r="BU201" sId="4"/>
    <undo index="0" exp="ref" v="1" dr="BP200" r="BU200" sId="4"/>
    <undo index="0" exp="ref" v="1" dr="BP199" r="BU199" sId="4"/>
    <undo index="0" exp="ref" v="1" dr="BP198" r="BU198" sId="4"/>
    <undo index="0" exp="ref" v="1" dr="BP197" r="BU197" sId="4"/>
    <undo index="0" exp="ref" v="1" dr="BP196" r="BU196" sId="4"/>
    <undo index="0" exp="ref" v="1" dr="BP195" r="BU195" sId="4"/>
    <undo index="0" exp="ref" v="1" dr="BP194" r="BU194" sId="4"/>
    <undo index="0" exp="ref" v="1" dr="BP193" r="BU193" sId="4"/>
    <undo index="0" exp="ref" v="1" dr="BP192" r="BU192" sId="4"/>
    <undo index="0" exp="ref" v="1" dr="BP191" r="BU191" sId="4"/>
    <undo index="0" exp="ref" v="1" dr="BP190" r="BU190" sId="4"/>
    <undo index="0" exp="ref" v="1" dr="BP189" r="BU189" sId="4"/>
    <undo index="0" exp="ref" v="1" dr="BP188" r="BU188" sId="4"/>
    <undo index="0" exp="ref" v="1" dr="BP187" r="BU187" sId="4"/>
    <undo index="0" exp="ref" v="1" dr="BP186" r="BU186" sId="4"/>
    <undo index="0" exp="ref" v="1" dr="BP185" r="BU185" sId="4"/>
    <undo index="0" exp="ref" v="1" dr="BP184" r="BU184" sId="4"/>
    <undo index="0" exp="ref" v="1" dr="BP183" r="BU183" sId="4"/>
    <undo index="0" exp="ref" v="1" dr="BP182" r="BU182" sId="4"/>
    <undo index="0" exp="ref" v="1" dr="BP181" r="BU181" sId="4"/>
    <undo index="0" exp="ref" v="1" dr="BP180" r="BU180" sId="4"/>
    <undo index="0" exp="ref" v="1" dr="BP179" r="BU179" sId="4"/>
    <undo index="0" exp="ref" v="1" dr="BP178" r="BU178" sId="4"/>
    <undo index="0" exp="ref" v="1" dr="BP177" r="BU177" sId="4"/>
    <undo index="0" exp="ref" v="1" dr="BP176" r="BU176" sId="4"/>
    <undo index="0" exp="ref" v="1" dr="BP175" r="BU175" sId="4"/>
    <undo index="0" exp="ref" v="1" dr="BP174" r="BU174" sId="4"/>
    <undo index="0" exp="ref" v="1" dr="BP173" r="BU173" sId="4"/>
    <undo index="0" exp="ref" v="1" dr="BP172" r="BU172" sId="4"/>
    <undo index="0" exp="ref" v="1" dr="BP171" r="BU171" sId="4"/>
    <undo index="0" exp="ref" v="1" dr="BP170" r="BU170" sId="4"/>
    <undo index="0" exp="ref" v="1" dr="BP169" r="BU169" sId="4"/>
    <undo index="0" exp="ref" v="1" dr="BP168" r="BU168" sId="4"/>
    <undo index="0" exp="ref" v="1" dr="BP167" r="BU167" sId="4"/>
    <undo index="0" exp="ref" v="1" dr="BP166" r="BU166" sId="4"/>
    <undo index="0" exp="ref" v="1" dr="BP165" r="BU165" sId="4"/>
    <undo index="0" exp="ref" v="1" dr="BP164" r="BU164" sId="4"/>
    <undo index="0" exp="ref" v="1" dr="BP163" r="BU163" sId="4"/>
    <undo index="0" exp="ref" v="1" dr="BP162" r="BU162" sId="4"/>
    <undo index="0" exp="ref" v="1" dr="BP161" r="BU161" sId="4"/>
    <undo index="0" exp="ref" v="1" dr="BP160" r="BU160" sId="4"/>
    <undo index="0" exp="ref" v="1" dr="BP159" r="BU159" sId="4"/>
    <undo index="0" exp="ref" v="1" dr="BP158" r="BU158" sId="4"/>
    <undo index="0" exp="ref" v="1" dr="BP157" r="BU157" sId="4"/>
    <undo index="0" exp="ref" v="1" dr="BP156" r="BU156" sId="4"/>
    <undo index="0" exp="ref" v="1" dr="BP155" r="BU155" sId="4"/>
    <undo index="0" exp="ref" v="1" dr="BP154" r="BU154" sId="4"/>
    <undo index="0" exp="ref" v="1" dr="BP153" r="BU153" sId="4"/>
    <undo index="0" exp="ref" v="1" dr="BP152" r="BU152" sId="4"/>
    <undo index="0" exp="ref" v="1" dr="BP151" r="BU151" sId="4"/>
    <undo index="0" exp="ref" v="1" dr="BP150" r="BU150" sId="4"/>
    <undo index="0" exp="ref" v="1" dr="BP149" r="BU149" sId="4"/>
    <undo index="0" exp="ref" v="1" dr="BP148" r="BU148" sId="4"/>
    <undo index="0" exp="ref" v="1" dr="BP147" r="BU147" sId="4"/>
    <undo index="0" exp="ref" v="1" dr="BP146" r="BU146" sId="4"/>
    <undo index="0" exp="ref" v="1" dr="BP145" r="BU145" sId="4"/>
    <undo index="0" exp="ref" v="1" dr="BP144" r="BU144" sId="4"/>
    <undo index="0" exp="ref" v="1" dr="BP143" r="BU143" sId="4"/>
    <undo index="0" exp="ref" v="1" dr="BP142" r="BU142" sId="4"/>
    <undo index="0" exp="ref" v="1" dr="BP141" r="BU141" sId="4"/>
    <undo index="0" exp="ref" v="1" dr="BP140" r="BU140" sId="4"/>
    <undo index="0" exp="ref" v="1" dr="BP139" r="BU139" sId="4"/>
    <undo index="0" exp="ref" v="1" dr="BP138" r="BU138" sId="4"/>
    <undo index="0" exp="ref" v="1" dr="BP137" r="BU137" sId="4"/>
    <undo index="0" exp="ref" v="1" dr="BP136" r="BU136" sId="4"/>
    <undo index="0" exp="ref" v="1" dr="BP135" r="BU135" sId="4"/>
    <undo index="0" exp="ref" v="1" dr="BP134" r="BU134" sId="4"/>
    <undo index="0" exp="ref" v="1" dr="BP133" r="BU133" sId="4"/>
    <undo index="0" exp="ref" v="1" dr="BP132" r="BU132" sId="4"/>
    <undo index="0" exp="ref" v="1" dr="BP131" r="BU131" sId="4"/>
    <undo index="0" exp="ref" v="1" dr="BP130" r="BU130" sId="4"/>
    <undo index="0" exp="ref" v="1" dr="BP129" r="BU129" sId="4"/>
    <undo index="0" exp="ref" v="1" dr="BP128" r="BU128" sId="4"/>
    <undo index="0" exp="ref" v="1" dr="BP127" r="BU127" sId="4"/>
    <undo index="0" exp="ref" v="1" dr="BP126" r="BU126" sId="4"/>
    <undo index="0" exp="ref" v="1" dr="BP125" r="BU125" sId="4"/>
    <undo index="0" exp="ref" v="1" dr="BP124" r="BU124" sId="4"/>
    <undo index="0" exp="ref" v="1" dr="BP123" r="BU123" sId="4"/>
    <undo index="0" exp="ref" v="1" dr="BP122" r="BU122" sId="4"/>
    <undo index="0" exp="ref" v="1" dr="BP121" r="BU121" sId="4"/>
    <undo index="0" exp="ref" v="1" dr="BP120" r="BU120" sId="4"/>
    <undo index="0" exp="ref" v="1" dr="BP119" r="BU119" sId="4"/>
    <undo index="0" exp="ref" v="1" dr="BP118" r="BU118" sId="4"/>
    <undo index="0" exp="ref" v="1" dr="BP117" r="BU117" sId="4"/>
    <undo index="0" exp="ref" v="1" dr="BP116" r="BU116" sId="4"/>
    <undo index="0" exp="ref" v="1" dr="BP115" r="BU115" sId="4"/>
    <undo index="0" exp="ref" v="1" dr="BP114" r="BU114" sId="4"/>
    <undo index="0" exp="ref" v="1" dr="BP113" r="BU113" sId="4"/>
    <undo index="0" exp="ref" v="1" dr="BP112" r="BU112" sId="4"/>
    <undo index="0" exp="ref" v="1" dr="BP111" r="BU111" sId="4"/>
    <undo index="0" exp="ref" v="1" dr="BP110" r="BU110" sId="4"/>
    <undo index="0" exp="ref" v="1" dr="BP109" r="BU109" sId="4"/>
    <undo index="0" exp="ref" v="1" dr="BP108" r="BU108" sId="4"/>
    <undo index="0" exp="ref" v="1" dr="BP107" r="BU107" sId="4"/>
    <undo index="0" exp="ref" v="1" dr="BP106" r="BU106" sId="4"/>
    <undo index="0" exp="ref" v="1" dr="BP105" r="BU105" sId="4"/>
    <undo index="0" exp="ref" v="1" dr="BP104" r="BU104" sId="4"/>
    <undo index="0" exp="ref" v="1" dr="BP103" r="BU103" sId="4"/>
    <undo index="0" exp="ref" v="1" dr="BP102" r="BU102" sId="4"/>
    <undo index="0" exp="ref" v="1" dr="BP101" r="BU101" sId="4"/>
    <undo index="0" exp="ref" v="1" dr="BP100" r="BU100" sId="4"/>
    <undo index="0" exp="ref" v="1" dr="BP99" r="BU99" sId="4"/>
    <undo index="0" exp="ref" v="1" dr="BP98" r="BU98" sId="4"/>
    <undo index="0" exp="ref" v="1" dr="BP97" r="BU97" sId="4"/>
    <undo index="0" exp="ref" v="1" dr="BP96" r="BU96" sId="4"/>
    <undo index="0" exp="ref" v="1" dr="BP95" r="BU95" sId="4"/>
    <undo index="0" exp="ref" v="1" dr="BP94" r="BU94" sId="4"/>
    <undo index="0" exp="ref" v="1" dr="BP93" r="BU93" sId="4"/>
    <undo index="0" exp="ref" v="1" dr="BP92" r="BU92" sId="4"/>
    <undo index="0" exp="ref" v="1" dr="BP91" r="BU91" sId="4"/>
    <undo index="0" exp="ref" v="1" dr="BP90" r="BU90" sId="4"/>
    <undo index="0" exp="ref" v="1" dr="BP89" r="BU89" sId="4"/>
    <undo index="0" exp="ref" v="1" dr="BP88" r="BU88" sId="4"/>
    <undo index="0" exp="ref" v="1" dr="BP87" r="BU87" sId="4"/>
    <undo index="0" exp="ref" v="1" dr="BP86" r="BU86" sId="4"/>
    <undo index="0" exp="ref" v="1" dr="BP85" r="BU85" sId="4"/>
    <undo index="0" exp="ref" v="1" dr="BP84" r="BU84" sId="4"/>
    <undo index="0" exp="ref" v="1" dr="BP83" r="BU83" sId="4"/>
    <undo index="0" exp="ref" v="1" dr="BP82" r="BU82" sId="4"/>
    <undo index="0" exp="ref" v="1" dr="BP81" r="BU81" sId="4"/>
    <undo index="0" exp="ref" v="1" dr="BP80" r="BU80" sId="4"/>
    <undo index="0" exp="ref" v="1" dr="BP79" r="BU79" sId="4"/>
    <undo index="0" exp="ref" v="1" dr="BP78" r="BU78" sId="4"/>
    <undo index="0" exp="ref" v="1" dr="BP77" r="BU77" sId="4"/>
    <undo index="0" exp="ref" v="1" dr="BP76" r="BU76" sId="4"/>
    <undo index="0" exp="ref" v="1" dr="BP75" r="BU75" sId="4"/>
    <undo index="0" exp="ref" v="1" dr="BP74" r="BU74" sId="4"/>
    <undo index="0" exp="ref" v="1" dr="BP73" r="BU73" sId="4"/>
    <undo index="0" exp="ref" v="1" dr="BP72" r="BU72" sId="4"/>
    <undo index="0" exp="ref" v="1" dr="BP71" r="BU71" sId="4"/>
    <undo index="0" exp="ref" v="1" dr="BP70" r="BU70" sId="4"/>
    <undo index="0" exp="ref" v="1" dr="BP69" r="BU69" sId="4"/>
    <undo index="0" exp="ref" v="1" dr="BP68" r="BU68" sId="4"/>
    <undo index="0" exp="ref" v="1" dr="BP67" r="BU67" sId="4"/>
    <undo index="0" exp="ref" v="1" dr="BP66" r="BU66" sId="4"/>
    <undo index="0" exp="ref" v="1" dr="BP65" r="BU65" sId="4"/>
    <undo index="0" exp="ref" v="1" dr="BP64" r="BU64" sId="4"/>
    <undo index="0" exp="ref" v="1" dr="BP63" r="BU63" sId="4"/>
    <undo index="0" exp="ref" v="1" dr="BP62" r="BU62" sId="4"/>
    <undo index="0" exp="ref" v="1" dr="BP61" r="BU61" sId="4"/>
    <undo index="0" exp="ref" v="1" dr="BP60" r="BU60" sId="4"/>
    <undo index="0" exp="ref" v="1" dr="BP59" r="BU59" sId="4"/>
    <undo index="0" exp="ref" v="1" dr="BP58" r="BU58" sId="4"/>
    <undo index="0" exp="ref" v="1" dr="BP57" r="BU57" sId="4"/>
    <undo index="0" exp="ref" v="1" dr="BP56" r="BU56" sId="4"/>
    <undo index="0" exp="ref" v="1" dr="BP55" r="BU55" sId="4"/>
    <undo index="0" exp="ref" v="1" dr="BP54" r="BU54" sId="4"/>
    <undo index="0" exp="ref" v="1" dr="BP53" r="BU53" sId="4"/>
    <undo index="0" exp="ref" v="1" dr="BP52" r="BU52" sId="4"/>
    <undo index="0" exp="ref" v="1" dr="BP51" r="BU51" sId="4"/>
    <undo index="0" exp="ref" v="1" dr="BP50" r="BU50" sId="4"/>
    <undo index="0" exp="ref" v="1" dr="BP49" r="BU49" sId="4"/>
    <undo index="0" exp="ref" v="1" dr="BP48" r="BU48" sId="4"/>
    <undo index="0" exp="ref" v="1" dr="BP47" r="BU47" sId="4"/>
    <undo index="0" exp="ref" v="1" dr="BP46" r="BU46" sId="4"/>
    <undo index="0" exp="ref" v="1" dr="BP45" r="BU45" sId="4"/>
    <undo index="0" exp="ref" v="1" dr="BP44" r="BU44" sId="4"/>
    <undo index="0" exp="ref" v="1" dr="BP43" r="BU43" sId="4"/>
    <undo index="0" exp="ref" v="1" dr="BP42" r="BU42" sId="4"/>
    <undo index="0" exp="ref" v="1" dr="BP41" r="BU41" sId="4"/>
    <undo index="0" exp="ref" v="1" dr="BP40" r="BU40" sId="4"/>
    <undo index="0" exp="ref" v="1" dr="BP39" r="BU39" sId="4"/>
    <undo index="0" exp="ref" v="1" dr="BP38" r="BU38" sId="4"/>
    <undo index="0" exp="ref" v="1" dr="BP37" r="BU37" sId="4"/>
    <undo index="0" exp="ref" v="1" dr="BP36" r="BU36" sId="4"/>
    <undo index="0" exp="ref" v="1" dr="BP35" r="BU35" sId="4"/>
    <undo index="0" exp="ref" v="1" dr="BP34" r="BU34" sId="4"/>
    <undo index="0" exp="ref" v="1" dr="BP33" r="BU33" sId="4"/>
    <undo index="0" exp="ref" v="1" dr="BP32" r="BU32" sId="4"/>
    <undo index="0" exp="ref" v="1" dr="BP31" r="BU31" sId="4"/>
    <undo index="0" exp="ref" v="1" dr="BP30" r="BU30" sId="4"/>
    <undo index="0" exp="ref" v="1" dr="BP29" r="BU29" sId="4"/>
    <undo index="0" exp="ref" v="1" dr="BP28" r="BU28" sId="4"/>
    <undo index="0" exp="ref" v="1" dr="BP27" r="BU27" sId="4"/>
    <undo index="0" exp="ref" v="1" dr="BP26" r="BU26" sId="4"/>
    <undo index="0" exp="ref" v="1" dr="BP25" r="BU25" sId="4"/>
    <undo index="0" exp="ref" v="1" dr="BP24" r="BU24" sId="4"/>
    <undo index="0" exp="ref" v="1" dr="BP23" r="BU23" sId="4"/>
    <undo index="0" exp="ref" v="1" dr="BP22" r="BU22" sId="4"/>
    <undo index="0" exp="ref" v="1" dr="BP21" r="BU21" sId="4"/>
    <undo index="0" exp="ref" v="1" dr="BP20" r="BU20" sId="4"/>
    <undo index="0" exp="ref" v="1" dr="BP19" r="BU19" sId="4"/>
    <undo index="0" exp="ref" v="1" dr="BP18" r="BU18" sId="4"/>
    <undo index="0" exp="ref" v="1" dr="BP17" r="BU17" sId="4"/>
    <undo index="0" exp="ref" v="1" dr="BP16" r="BU16" sId="4"/>
    <undo index="0" exp="ref" v="1" dr="BP15" r="BU15" sId="4"/>
    <undo index="0" exp="ref" v="1" dr="BP14" r="BU14" sId="4"/>
    <undo index="0" exp="ref" v="1" dr="BP13" r="BU13" sId="4"/>
    <undo index="0" exp="ref" v="1" dr="BP12" r="BU12" sId="4"/>
    <undo index="0" exp="ref" v="1" dr="BP11" r="BU11" sId="4"/>
    <undo index="0" exp="ref" v="1" dr="BP10" r="BU10" sId="4"/>
    <undo index="0" exp="ref" v="1" dr="BP9" r="BU9" sId="4"/>
    <undo index="0" exp="ref" v="1" dr="BP8" r="BU8" sId="4"/>
    <undo index="0" exp="ref" v="1" dr="BP7" r="BU7" sId="4"/>
    <undo index="2" exp="area" ref3D="1" dr="$A$226:$XFD$240" dn="Z_F784130D_F647_4ABA_8943_C79CA5B0FDC4_.wvu.Rows" sId="4"/>
    <undo index="1" exp="area" ref3D="1" dr="$A$1:$XFD$3" dn="Z_F784130D_F647_4ABA_8943_C79CA5B0FDC4_.wvu.Rows" sId="4"/>
    <undo index="2" exp="area" ref3D="1" dr="$A$226:$XFD$240" dn="Z_E44F5FE1_54FC_4AB3_84F9_7D65ACF2DDE7_.wvu.Rows" sId="4"/>
    <undo index="1" exp="area" ref3D="1" dr="$A$1:$XFD$3" dn="Z_E44F5FE1_54FC_4AB3_84F9_7D65ACF2DDE7_.wvu.Rows" sId="4"/>
    <undo index="2" exp="area" ref3D="1" dr="$A$226:$XFD$240" dn="Z_AEFEB150_9213_45F5_A178_7AC71E46DB11_.wvu.Rows" sId="4"/>
    <undo index="1" exp="area" ref3D="1" dr="$A$1:$XFD$3" dn="Z_AEFEB150_9213_45F5_A178_7AC71E46DB11_.wvu.Rows" sId="4"/>
    <undo index="2" exp="area" ref3D="1" dr="$A$226:$XFD$240" dn="Z_9D4F0482_B164_4671_805A_E0D2D4DD4720_.wvu.Rows" sId="4"/>
    <undo index="1" exp="area" ref3D="1" dr="$A$1:$XFD$3" dn="Z_9D4F0482_B164_4671_805A_E0D2D4DD4720_.wvu.Rows" sId="4"/>
    <undo index="2" exp="area" ref3D="1" dr="$A$226:$XFD$240" dn="Z_94DA13B6_7351_40F3_8CF7_A4211EC439DA_.wvu.Rows" sId="4"/>
    <undo index="1" exp="area" ref3D="1" dr="$A$1:$XFD$3" dn="Z_94DA13B6_7351_40F3_8CF7_A4211EC439DA_.wvu.Rows" sId="4"/>
    <undo index="2" exp="area" ref3D="1" dr="$A$226:$XFD$240" dn="Z_8F508F4D_4777_42BE_9707_8CB9355F7BDB_.wvu.Rows" sId="4"/>
    <undo index="1" exp="area" ref3D="1" dr="$A$1:$XFD$3" dn="Z_8F508F4D_4777_42BE_9707_8CB9355F7BDB_.wvu.Rows" sId="4"/>
    <undo index="2" exp="area" ref3D="1" dr="$A$226:$XFD$240" dn="Z_78CA186D_B240_44D5_8A24_D241DE0B0FD9_.wvu.Rows" sId="4"/>
    <undo index="1" exp="area" ref3D="1" dr="$A$1:$XFD$3" dn="Z_78CA186D_B240_44D5_8A24_D241DE0B0FD9_.wvu.Rows" sId="4"/>
    <undo index="2" exp="area" ref3D="1" dr="$A$226:$XFD$240" dn="Z_567C3053_2D8E_4705_8DC7_18896C5303CA_.wvu.Rows" sId="4"/>
    <undo index="1" exp="area" ref3D="1" dr="$A$1:$XFD$3" dn="Z_567C3053_2D8E_4705_8DC7_18896C5303CA_.wvu.Rows" sId="4"/>
    <undo index="2" exp="area" ref3D="1" dr="$A$226:$XFD$240" dn="Z_455630F5_40FC_47DB_8AD4_712C20B8FB91_.wvu.Rows" sId="4"/>
    <undo index="1" exp="area" ref3D="1" dr="$A$1:$XFD$3" dn="Z_455630F5_40FC_47DB_8AD4_712C20B8FB91_.wvu.Rows" sId="4"/>
    <undo index="2" exp="area" ref3D="1" dr="$A$226:$XFD$240" dn="Z_1E5198E1_BA46_4CE0_8628_4F695B0D7A3B_.wvu.Rows" sId="4"/>
    <undo index="1" exp="area" ref3D="1" dr="$A$1:$XFD$3" dn="Z_1E5198E1_BA46_4CE0_8628_4F695B0D7A3B_.wvu.Rows" sId="4"/>
    <rfmt sheetId="4" xfDxf="1" sqref="BP1:BP1048576" start="0" length="0">
      <dxf>
        <font/>
      </dxf>
    </rfmt>
    <rcc rId="0" sId="4" dxf="1">
      <nc r="BP4" t="inlineStr">
        <is>
          <t>FY 2013</t>
        </is>
      </nc>
      <ndxf>
        <font>
          <b/>
        </font>
        <numFmt numFmtId="164" formatCode="0.0%"/>
        <fill>
          <patternFill patternType="solid">
            <bgColor rgb="FFFFFF00"/>
          </patternFill>
        </fill>
        <alignment horizontal="center" vertical="top" readingOrder="0"/>
        <border outline="0">
          <bottom style="medium">
            <color indexed="64"/>
          </bottom>
        </border>
      </ndxf>
    </rcc>
    <rcc rId="0" sId="4" dxf="1">
      <nc r="BP5" t="inlineStr">
        <is>
          <t>Approved</t>
        </is>
      </nc>
      <ndxf>
        <font>
          <b/>
        </font>
        <fill>
          <patternFill patternType="solid">
            <bgColor rgb="FFFFFF00"/>
          </patternFill>
        </fill>
        <alignment horizontal="center" vertical="top" readingOrder="0"/>
        <border outline="0">
          <right style="medium">
            <color indexed="64"/>
          </right>
          <bottom style="medium">
            <color indexed="64"/>
          </bottom>
        </border>
      </ndxf>
    </rcc>
    <rfmt sheetId="4" sqref="BP6" start="0" length="0">
      <dxf>
        <fill>
          <patternFill patternType="solid">
            <bgColor theme="0" tint="-0.249977111117893"/>
          </patternFill>
        </fill>
      </dxf>
    </rfmt>
    <rfmt sheetId="4" sqref="BP7" start="0" length="0">
      <dxf>
        <numFmt numFmtId="14" formatCode="0.00%"/>
      </dxf>
    </rfmt>
    <rfmt sheetId="4" sqref="BP8" start="0" length="0">
      <dxf>
        <numFmt numFmtId="14" formatCode="0.00%"/>
      </dxf>
    </rfmt>
    <rfmt sheetId="4" sqref="BP9" start="0" length="0">
      <dxf>
        <numFmt numFmtId="14" formatCode="0.00%"/>
      </dxf>
    </rfmt>
    <rfmt sheetId="4" sqref="BP10" start="0" length="0">
      <dxf>
        <numFmt numFmtId="14" formatCode="0.00%"/>
      </dxf>
    </rfmt>
    <rfmt sheetId="4" sqref="BP11" start="0" length="0">
      <dxf>
        <numFmt numFmtId="14" formatCode="0.00%"/>
      </dxf>
    </rfmt>
    <rfmt sheetId="4" sqref="BP12" start="0" length="0">
      <dxf>
        <numFmt numFmtId="14" formatCode="0.00%"/>
      </dxf>
    </rfmt>
    <rfmt sheetId="4" sqref="BP13" start="0" length="0">
      <dxf>
        <numFmt numFmtId="14" formatCode="0.00%"/>
      </dxf>
    </rfmt>
    <rfmt sheetId="4" sqref="BP14" start="0" length="0">
      <dxf>
        <numFmt numFmtId="14" formatCode="0.00%"/>
      </dxf>
    </rfmt>
    <rfmt sheetId="4" sqref="BP15" start="0" length="0">
      <dxf>
        <numFmt numFmtId="14" formatCode="0.00%"/>
      </dxf>
    </rfmt>
    <rfmt sheetId="4" sqref="BP16" start="0" length="0">
      <dxf>
        <numFmt numFmtId="14" formatCode="0.00%"/>
      </dxf>
    </rfmt>
    <rfmt sheetId="4" sqref="BP17" start="0" length="0">
      <dxf>
        <numFmt numFmtId="14" formatCode="0.00%"/>
      </dxf>
    </rfmt>
    <rfmt sheetId="4" sqref="BP18" start="0" length="0">
      <dxf>
        <numFmt numFmtId="14" formatCode="0.00%"/>
      </dxf>
    </rfmt>
    <rfmt sheetId="4" sqref="BP19" start="0" length="0">
      <dxf>
        <numFmt numFmtId="14" formatCode="0.00%"/>
      </dxf>
    </rfmt>
    <rfmt sheetId="4" sqref="BP20" start="0" length="0">
      <dxf>
        <numFmt numFmtId="14" formatCode="0.00%"/>
      </dxf>
    </rfmt>
    <rfmt sheetId="4" sqref="BP21" start="0" length="0">
      <dxf>
        <numFmt numFmtId="14" formatCode="0.00%"/>
      </dxf>
    </rfmt>
    <rfmt sheetId="4" sqref="BP22" start="0" length="0">
      <dxf>
        <numFmt numFmtId="14" formatCode="0.00%"/>
      </dxf>
    </rfmt>
    <rfmt sheetId="4" sqref="BP23" start="0" length="0">
      <dxf>
        <numFmt numFmtId="14" formatCode="0.00%"/>
      </dxf>
    </rfmt>
    <rfmt sheetId="4" sqref="BP24" start="0" length="0">
      <dxf>
        <numFmt numFmtId="14" formatCode="0.00%"/>
      </dxf>
    </rfmt>
    <rfmt sheetId="4" sqref="BP25" start="0" length="0">
      <dxf>
        <numFmt numFmtId="14" formatCode="0.00%"/>
      </dxf>
    </rfmt>
    <rfmt sheetId="4" sqref="BP26" start="0" length="0">
      <dxf>
        <numFmt numFmtId="14" formatCode="0.00%"/>
      </dxf>
    </rfmt>
    <rfmt sheetId="4" sqref="BP27" start="0" length="0">
      <dxf>
        <numFmt numFmtId="14" formatCode="0.00%"/>
      </dxf>
    </rfmt>
    <rfmt sheetId="4" sqref="BP28" start="0" length="0">
      <dxf>
        <numFmt numFmtId="14" formatCode="0.00%"/>
      </dxf>
    </rfmt>
    <rfmt sheetId="4" sqref="BP29" start="0" length="0">
      <dxf>
        <numFmt numFmtId="14" formatCode="0.00%"/>
      </dxf>
    </rfmt>
    <rfmt sheetId="4" sqref="BP30" start="0" length="0">
      <dxf>
        <numFmt numFmtId="14" formatCode="0.00%"/>
      </dxf>
    </rfmt>
    <rfmt sheetId="4" sqref="BP31" start="0" length="0">
      <dxf>
        <numFmt numFmtId="14" formatCode="0.00%"/>
      </dxf>
    </rfmt>
    <rfmt sheetId="4" sqref="BP32" start="0" length="0">
      <dxf>
        <numFmt numFmtId="14" formatCode="0.00%"/>
      </dxf>
    </rfmt>
    <rfmt sheetId="4" sqref="BP33" start="0" length="0">
      <dxf>
        <numFmt numFmtId="14" formatCode="0.00%"/>
      </dxf>
    </rfmt>
    <rfmt sheetId="4" sqref="BP34" start="0" length="0">
      <dxf>
        <numFmt numFmtId="14" formatCode="0.00%"/>
      </dxf>
    </rfmt>
    <rfmt sheetId="4" sqref="BP35" start="0" length="0">
      <dxf>
        <numFmt numFmtId="14" formatCode="0.00%"/>
      </dxf>
    </rfmt>
    <rfmt sheetId="4" sqref="BP36" start="0" length="0">
      <dxf>
        <numFmt numFmtId="14" formatCode="0.00%"/>
      </dxf>
    </rfmt>
    <rfmt sheetId="4" sqref="BP37" start="0" length="0">
      <dxf>
        <numFmt numFmtId="14" formatCode="0.00%"/>
      </dxf>
    </rfmt>
    <rfmt sheetId="4" sqref="BP38" start="0" length="0">
      <dxf>
        <numFmt numFmtId="14" formatCode="0.00%"/>
      </dxf>
    </rfmt>
    <rfmt sheetId="4" sqref="BP39" start="0" length="0">
      <dxf>
        <numFmt numFmtId="14" formatCode="0.00%"/>
      </dxf>
    </rfmt>
    <rfmt sheetId="4" sqref="BP40" start="0" length="0">
      <dxf>
        <numFmt numFmtId="14" formatCode="0.00%"/>
        <border outline="0">
          <bottom style="medium">
            <color indexed="64"/>
          </bottom>
        </border>
      </dxf>
    </rfmt>
    <rfmt sheetId="4" sqref="BP41" start="0" length="0">
      <dxf>
        <numFmt numFmtId="14" formatCode="0.00%"/>
      </dxf>
    </rfmt>
    <rfmt sheetId="4" sqref="BP42" start="0" length="0">
      <dxf>
        <numFmt numFmtId="14" formatCode="0.00%"/>
      </dxf>
    </rfmt>
    <rfmt sheetId="4" sqref="BP43" start="0" length="0">
      <dxf>
        <numFmt numFmtId="14" formatCode="0.00%"/>
      </dxf>
    </rfmt>
    <rfmt sheetId="4" sqref="BP44" start="0" length="0">
      <dxf>
        <numFmt numFmtId="14" formatCode="0.00%"/>
      </dxf>
    </rfmt>
    <rfmt sheetId="4" sqref="BP45" start="0" length="0">
      <dxf>
        <numFmt numFmtId="14" formatCode="0.00%"/>
      </dxf>
    </rfmt>
    <rfmt sheetId="4" sqref="BP46" start="0" length="0">
      <dxf>
        <numFmt numFmtId="14" formatCode="0.00%"/>
      </dxf>
    </rfmt>
    <rfmt sheetId="4" sqref="BP47" start="0" length="0">
      <dxf>
        <numFmt numFmtId="14" formatCode="0.00%"/>
      </dxf>
    </rfmt>
    <rfmt sheetId="4" sqref="BP48" start="0" length="0">
      <dxf>
        <numFmt numFmtId="14" formatCode="0.00%"/>
      </dxf>
    </rfmt>
    <rfmt sheetId="4" sqref="BP49" start="0" length="0">
      <dxf>
        <numFmt numFmtId="14" formatCode="0.00%"/>
      </dxf>
    </rfmt>
    <rfmt sheetId="4" sqref="BP50" start="0" length="0">
      <dxf>
        <numFmt numFmtId="14" formatCode="0.00%"/>
        <fill>
          <patternFill patternType="solid">
            <bgColor theme="0" tint="-0.249977111117893"/>
          </patternFill>
        </fill>
      </dxf>
    </rfmt>
    <rfmt sheetId="4" sqref="BP51" start="0" length="0">
      <dxf>
        <numFmt numFmtId="14" formatCode="0.00%"/>
      </dxf>
    </rfmt>
    <rfmt sheetId="4" sqref="BP52" start="0" length="0">
      <dxf>
        <numFmt numFmtId="14" formatCode="0.00%"/>
      </dxf>
    </rfmt>
    <rfmt sheetId="4" sqref="BP53" start="0" length="0">
      <dxf>
        <numFmt numFmtId="14" formatCode="0.00%"/>
      </dxf>
    </rfmt>
    <rfmt sheetId="4" sqref="BP54" start="0" length="0">
      <dxf>
        <numFmt numFmtId="14" formatCode="0.00%"/>
      </dxf>
    </rfmt>
    <rfmt sheetId="4" sqref="BP55" start="0" length="0">
      <dxf>
        <numFmt numFmtId="14" formatCode="0.00%"/>
      </dxf>
    </rfmt>
    <rfmt sheetId="4" sqref="BP56" start="0" length="0">
      <dxf>
        <numFmt numFmtId="14" formatCode="0.00%"/>
      </dxf>
    </rfmt>
    <rfmt sheetId="4" sqref="BP57" start="0" length="0">
      <dxf>
        <numFmt numFmtId="14" formatCode="0.00%"/>
      </dxf>
    </rfmt>
    <rfmt sheetId="4" sqref="BP58" start="0" length="0">
      <dxf>
        <numFmt numFmtId="14" formatCode="0.00%"/>
      </dxf>
    </rfmt>
    <rfmt sheetId="4" sqref="BP59" start="0" length="0">
      <dxf>
        <numFmt numFmtId="14" formatCode="0.00%"/>
      </dxf>
    </rfmt>
    <rfmt sheetId="4" sqref="BP60" start="0" length="0">
      <dxf>
        <numFmt numFmtId="14" formatCode="0.00%"/>
      </dxf>
    </rfmt>
    <rfmt sheetId="4" sqref="BP61" start="0" length="0">
      <dxf>
        <numFmt numFmtId="14" formatCode="0.00%"/>
      </dxf>
    </rfmt>
    <rfmt sheetId="4" sqref="BP62" start="0" length="0">
      <dxf>
        <numFmt numFmtId="14" formatCode="0.00%"/>
      </dxf>
    </rfmt>
    <rfmt sheetId="4" sqref="BP63" start="0" length="0">
      <dxf>
        <numFmt numFmtId="14" formatCode="0.00%"/>
      </dxf>
    </rfmt>
    <rfmt sheetId="4" sqref="BP64" start="0" length="0">
      <dxf>
        <numFmt numFmtId="14" formatCode="0.00%"/>
      </dxf>
    </rfmt>
    <rfmt sheetId="4" sqref="BP65" start="0" length="0">
      <dxf>
        <numFmt numFmtId="14" formatCode="0.00%"/>
      </dxf>
    </rfmt>
    <rfmt sheetId="4" sqref="BP66" start="0" length="0">
      <dxf>
        <numFmt numFmtId="14" formatCode="0.00%"/>
      </dxf>
    </rfmt>
    <rfmt sheetId="4" sqref="BP67" start="0" length="0">
      <dxf>
        <numFmt numFmtId="14" formatCode="0.00%"/>
      </dxf>
    </rfmt>
    <rfmt sheetId="4" sqref="BP68" start="0" length="0">
      <dxf>
        <numFmt numFmtId="14" formatCode="0.00%"/>
      </dxf>
    </rfmt>
    <rfmt sheetId="4" sqref="BP69" start="0" length="0">
      <dxf>
        <numFmt numFmtId="14" formatCode="0.00%"/>
      </dxf>
    </rfmt>
    <rfmt sheetId="4" sqref="BP70" start="0" length="0">
      <dxf>
        <numFmt numFmtId="14" formatCode="0.00%"/>
      </dxf>
    </rfmt>
    <rfmt sheetId="4" sqref="BP71" start="0" length="0">
      <dxf>
        <numFmt numFmtId="14" formatCode="0.00%"/>
      </dxf>
    </rfmt>
    <rfmt sheetId="4" sqref="BP72" start="0" length="0">
      <dxf>
        <numFmt numFmtId="14" formatCode="0.00%"/>
      </dxf>
    </rfmt>
    <rfmt sheetId="4" sqref="BP73" start="0" length="0">
      <dxf>
        <numFmt numFmtId="14" formatCode="0.00%"/>
        <border outline="0">
          <bottom style="medium">
            <color indexed="64"/>
          </bottom>
        </border>
      </dxf>
    </rfmt>
    <rfmt sheetId="4" sqref="BP74" start="0" length="0">
      <dxf>
        <numFmt numFmtId="14" formatCode="0.00%"/>
      </dxf>
    </rfmt>
    <rfmt sheetId="4" sqref="BP75" start="0" length="0">
      <dxf>
        <numFmt numFmtId="14" formatCode="0.00%"/>
      </dxf>
    </rfmt>
    <rfmt sheetId="4" sqref="BP76" start="0" length="0">
      <dxf>
        <numFmt numFmtId="14" formatCode="0.00%"/>
      </dxf>
    </rfmt>
    <rfmt sheetId="4" sqref="BP77" start="0" length="0">
      <dxf>
        <numFmt numFmtId="14" formatCode="0.00%"/>
      </dxf>
    </rfmt>
    <rfmt sheetId="4" sqref="BP78" start="0" length="0">
      <dxf>
        <numFmt numFmtId="14" formatCode="0.00%"/>
      </dxf>
    </rfmt>
    <rfmt sheetId="4" sqref="BP79" start="0" length="0">
      <dxf>
        <numFmt numFmtId="14" formatCode="0.00%"/>
      </dxf>
    </rfmt>
    <rfmt sheetId="4" sqref="BP80" start="0" length="0">
      <dxf>
        <numFmt numFmtId="14" formatCode="0.00%"/>
      </dxf>
    </rfmt>
    <rfmt sheetId="4" sqref="BP81" start="0" length="0">
      <dxf>
        <numFmt numFmtId="14" formatCode="0.00%"/>
      </dxf>
    </rfmt>
    <rfmt sheetId="4" sqref="BP82" start="0" length="0">
      <dxf>
        <numFmt numFmtId="14" formatCode="0.00%"/>
      </dxf>
    </rfmt>
    <rfmt sheetId="4" sqref="BP83" start="0" length="0">
      <dxf>
        <numFmt numFmtId="14" formatCode="0.00%"/>
      </dxf>
    </rfmt>
    <rfmt sheetId="4" sqref="BP84" start="0" length="0">
      <dxf>
        <numFmt numFmtId="14" formatCode="0.00%"/>
        <fill>
          <patternFill patternType="solid">
            <bgColor theme="0" tint="-0.249977111117893"/>
          </patternFill>
        </fill>
      </dxf>
    </rfmt>
    <rfmt sheetId="4" sqref="BP85" start="0" length="0">
      <dxf>
        <numFmt numFmtId="14" formatCode="0.00%"/>
      </dxf>
    </rfmt>
    <rfmt sheetId="4" sqref="BP86" start="0" length="0">
      <dxf>
        <numFmt numFmtId="14" formatCode="0.00%"/>
      </dxf>
    </rfmt>
    <rfmt sheetId="4" sqref="BP87" start="0" length="0">
      <dxf>
        <numFmt numFmtId="14" formatCode="0.00%"/>
      </dxf>
    </rfmt>
    <rfmt sheetId="4" sqref="BP88" start="0" length="0">
      <dxf>
        <numFmt numFmtId="14" formatCode="0.00%"/>
      </dxf>
    </rfmt>
    <rfmt sheetId="4" sqref="BP89" start="0" length="0">
      <dxf>
        <numFmt numFmtId="14" formatCode="0.00%"/>
      </dxf>
    </rfmt>
    <rfmt sheetId="4" sqref="BP90" start="0" length="0">
      <dxf>
        <numFmt numFmtId="14" formatCode="0.00%"/>
      </dxf>
    </rfmt>
    <rfmt sheetId="4" sqref="BP91" start="0" length="0">
      <dxf>
        <numFmt numFmtId="14" formatCode="0.00%"/>
      </dxf>
    </rfmt>
    <rfmt sheetId="4" sqref="BP92" start="0" length="0">
      <dxf>
        <numFmt numFmtId="14" formatCode="0.00%"/>
      </dxf>
    </rfmt>
    <rfmt sheetId="4" sqref="BP93" start="0" length="0">
      <dxf>
        <numFmt numFmtId="14" formatCode="0.00%"/>
      </dxf>
    </rfmt>
    <rfmt sheetId="4" sqref="BP94" start="0" length="0">
      <dxf>
        <numFmt numFmtId="14" formatCode="0.00%"/>
      </dxf>
    </rfmt>
    <rfmt sheetId="4" sqref="BP95" start="0" length="0">
      <dxf>
        <numFmt numFmtId="14" formatCode="0.00%"/>
      </dxf>
    </rfmt>
    <rfmt sheetId="4" sqref="BP96" start="0" length="0">
      <dxf>
        <numFmt numFmtId="14" formatCode="0.00%"/>
      </dxf>
    </rfmt>
    <rfmt sheetId="4" sqref="BP97" start="0" length="0">
      <dxf>
        <numFmt numFmtId="14" formatCode="0.00%"/>
      </dxf>
    </rfmt>
    <rfmt sheetId="4" sqref="BP98" start="0" length="0">
      <dxf>
        <numFmt numFmtId="14" formatCode="0.00%"/>
      </dxf>
    </rfmt>
    <rfmt sheetId="4" sqref="BP99" start="0" length="0">
      <dxf>
        <numFmt numFmtId="14" formatCode="0.00%"/>
      </dxf>
    </rfmt>
    <rfmt sheetId="4" sqref="BP100" start="0" length="0">
      <dxf>
        <numFmt numFmtId="14" formatCode="0.00%"/>
      </dxf>
    </rfmt>
    <rfmt sheetId="4" sqref="BP101" start="0" length="0">
      <dxf>
        <numFmt numFmtId="14" formatCode="0.00%"/>
      </dxf>
    </rfmt>
    <rfmt sheetId="4" sqref="BP102" start="0" length="0">
      <dxf>
        <numFmt numFmtId="14" formatCode="0.00%"/>
      </dxf>
    </rfmt>
    <rfmt sheetId="4" sqref="BP103" start="0" length="0">
      <dxf>
        <numFmt numFmtId="14" formatCode="0.00%"/>
      </dxf>
    </rfmt>
    <rfmt sheetId="4" sqref="BP104" start="0" length="0">
      <dxf>
        <numFmt numFmtId="14" formatCode="0.00%"/>
      </dxf>
    </rfmt>
    <rfmt sheetId="4" sqref="BP105" start="0" length="0">
      <dxf>
        <numFmt numFmtId="14" formatCode="0.00%"/>
      </dxf>
    </rfmt>
    <rfmt sheetId="4" sqref="BP106" start="0" length="0">
      <dxf>
        <numFmt numFmtId="14" formatCode="0.00%"/>
      </dxf>
    </rfmt>
    <rfmt sheetId="4" sqref="BP107" start="0" length="0">
      <dxf>
        <numFmt numFmtId="14" formatCode="0.00%"/>
        <border outline="0">
          <bottom style="medium">
            <color indexed="64"/>
          </bottom>
        </border>
      </dxf>
    </rfmt>
    <rfmt sheetId="4" sqref="BP108" start="0" length="0">
      <dxf>
        <numFmt numFmtId="14" formatCode="0.00%"/>
      </dxf>
    </rfmt>
    <rfmt sheetId="4" sqref="BP109" start="0" length="0">
      <dxf>
        <numFmt numFmtId="14" formatCode="0.00%"/>
      </dxf>
    </rfmt>
    <rfmt sheetId="4" sqref="BP110" start="0" length="0">
      <dxf>
        <numFmt numFmtId="14" formatCode="0.00%"/>
      </dxf>
    </rfmt>
    <rfmt sheetId="4" sqref="BP111" start="0" length="0">
      <dxf>
        <numFmt numFmtId="14" formatCode="0.00%"/>
      </dxf>
    </rfmt>
    <rfmt sheetId="4" sqref="BP112" start="0" length="0">
      <dxf>
        <numFmt numFmtId="14" formatCode="0.00%"/>
      </dxf>
    </rfmt>
    <rfmt sheetId="4" sqref="BP113" start="0" length="0">
      <dxf>
        <numFmt numFmtId="14" formatCode="0.00%"/>
      </dxf>
    </rfmt>
    <rfmt sheetId="4" sqref="BP114" start="0" length="0">
      <dxf>
        <numFmt numFmtId="14" formatCode="0.00%"/>
      </dxf>
    </rfmt>
    <rfmt sheetId="4" sqref="BP115" start="0" length="0">
      <dxf>
        <numFmt numFmtId="14" formatCode="0.00%"/>
      </dxf>
    </rfmt>
    <rfmt sheetId="4" sqref="BP116" start="0" length="0">
      <dxf>
        <numFmt numFmtId="14" formatCode="0.00%"/>
      </dxf>
    </rfmt>
    <rfmt sheetId="4" sqref="BP117" start="0" length="0">
      <dxf>
        <numFmt numFmtId="14" formatCode="0.00%"/>
      </dxf>
    </rfmt>
    <rfmt sheetId="4" sqref="BP118" start="0" length="0">
      <dxf>
        <numFmt numFmtId="14" formatCode="0.00%"/>
        <fill>
          <patternFill patternType="solid">
            <bgColor theme="0" tint="-0.249977111117893"/>
          </patternFill>
        </fill>
      </dxf>
    </rfmt>
    <rfmt sheetId="4" sqref="BP119" start="0" length="0">
      <dxf>
        <numFmt numFmtId="14" formatCode="0.00%"/>
      </dxf>
    </rfmt>
    <rfmt sheetId="4" sqref="BP120" start="0" length="0">
      <dxf>
        <numFmt numFmtId="14" formatCode="0.00%"/>
      </dxf>
    </rfmt>
    <rfmt sheetId="4" sqref="BP121" start="0" length="0">
      <dxf>
        <numFmt numFmtId="14" formatCode="0.00%"/>
      </dxf>
    </rfmt>
    <rfmt sheetId="4" sqref="BP122" start="0" length="0">
      <dxf>
        <numFmt numFmtId="14" formatCode="0.00%"/>
      </dxf>
    </rfmt>
    <rfmt sheetId="4" sqref="BP123" start="0" length="0">
      <dxf>
        <numFmt numFmtId="14" formatCode="0.00%"/>
      </dxf>
    </rfmt>
    <rfmt sheetId="4" sqref="BP124" start="0" length="0">
      <dxf>
        <numFmt numFmtId="14" formatCode="0.00%"/>
      </dxf>
    </rfmt>
    <rfmt sheetId="4" sqref="BP125" start="0" length="0">
      <dxf>
        <numFmt numFmtId="14" formatCode="0.00%"/>
      </dxf>
    </rfmt>
    <rfmt sheetId="4" sqref="BP126" start="0" length="0">
      <dxf>
        <numFmt numFmtId="14" formatCode="0.00%"/>
      </dxf>
    </rfmt>
    <rfmt sheetId="4" sqref="BP127" start="0" length="0">
      <dxf>
        <numFmt numFmtId="14" formatCode="0.00%"/>
      </dxf>
    </rfmt>
    <rfmt sheetId="4" sqref="BP128" start="0" length="0">
      <dxf>
        <numFmt numFmtId="14" formatCode="0.00%"/>
      </dxf>
    </rfmt>
    <rfmt sheetId="4" sqref="BP129" start="0" length="0">
      <dxf>
        <numFmt numFmtId="14" formatCode="0.00%"/>
      </dxf>
    </rfmt>
    <rfmt sheetId="4" sqref="BP130" start="0" length="0">
      <dxf>
        <numFmt numFmtId="14" formatCode="0.00%"/>
      </dxf>
    </rfmt>
    <rfmt sheetId="4" sqref="BP131" start="0" length="0">
      <dxf>
        <numFmt numFmtId="14" formatCode="0.00%"/>
        <border outline="0">
          <bottom style="medium">
            <color indexed="64"/>
          </bottom>
        </border>
      </dxf>
    </rfmt>
    <rfmt sheetId="4" sqref="BP132" start="0" length="0">
      <dxf>
        <numFmt numFmtId="14" formatCode="0.00%"/>
      </dxf>
    </rfmt>
    <rfmt sheetId="4" sqref="BP133" start="0" length="0">
      <dxf>
        <numFmt numFmtId="14" formatCode="0.00%"/>
      </dxf>
    </rfmt>
    <rfmt sheetId="4" sqref="BP134" start="0" length="0">
      <dxf>
        <numFmt numFmtId="14" formatCode="0.00%"/>
      </dxf>
    </rfmt>
    <rfmt sheetId="4" sqref="BP135" start="0" length="0">
      <dxf>
        <numFmt numFmtId="14" formatCode="0.00%"/>
      </dxf>
    </rfmt>
    <rfmt sheetId="4" sqref="BP136" start="0" length="0">
      <dxf>
        <numFmt numFmtId="14" formatCode="0.00%"/>
      </dxf>
    </rfmt>
    <rfmt sheetId="4" sqref="BP137" start="0" length="0">
      <dxf>
        <numFmt numFmtId="14" formatCode="0.00%"/>
      </dxf>
    </rfmt>
    <rfmt sheetId="4" sqref="BP138" start="0" length="0">
      <dxf>
        <numFmt numFmtId="14" formatCode="0.00%"/>
      </dxf>
    </rfmt>
    <rfmt sheetId="4" sqref="BP139" start="0" length="0">
      <dxf>
        <numFmt numFmtId="14" formatCode="0.00%"/>
      </dxf>
    </rfmt>
    <rfmt sheetId="4" sqref="BP140" start="0" length="0">
      <dxf>
        <numFmt numFmtId="14" formatCode="0.00%"/>
      </dxf>
    </rfmt>
    <rfmt sheetId="4" sqref="BP141" start="0" length="0">
      <dxf>
        <numFmt numFmtId="14" formatCode="0.00%"/>
      </dxf>
    </rfmt>
    <rfmt sheetId="4" sqref="BP142" start="0" length="0">
      <dxf>
        <numFmt numFmtId="14" formatCode="0.00%"/>
      </dxf>
    </rfmt>
    <rfmt sheetId="4" sqref="BP143" start="0" length="0">
      <dxf>
        <numFmt numFmtId="14" formatCode="0.00%"/>
      </dxf>
    </rfmt>
    <rfmt sheetId="4" sqref="BP144" start="0" length="0">
      <dxf>
        <numFmt numFmtId="14" formatCode="0.00%"/>
        <fill>
          <patternFill patternType="solid">
            <bgColor theme="0" tint="-0.249977111117893"/>
          </patternFill>
        </fill>
      </dxf>
    </rfmt>
    <rfmt sheetId="4" sqref="BP145" start="0" length="0">
      <dxf>
        <numFmt numFmtId="14" formatCode="0.00%"/>
      </dxf>
    </rfmt>
    <rfmt sheetId="4" sqref="BP146" start="0" length="0">
      <dxf>
        <numFmt numFmtId="14" formatCode="0.00%"/>
      </dxf>
    </rfmt>
    <rfmt sheetId="4" sqref="BP147" start="0" length="0">
      <dxf>
        <numFmt numFmtId="14" formatCode="0.00%"/>
      </dxf>
    </rfmt>
    <rfmt sheetId="4" sqref="BP148" start="0" length="0">
      <dxf>
        <numFmt numFmtId="14" formatCode="0.00%"/>
      </dxf>
    </rfmt>
    <rfmt sheetId="4" sqref="BP149" start="0" length="0">
      <dxf>
        <numFmt numFmtId="14" formatCode="0.00%"/>
      </dxf>
    </rfmt>
    <rfmt sheetId="4" sqref="BP150" start="0" length="0">
      <dxf>
        <numFmt numFmtId="14" formatCode="0.00%"/>
      </dxf>
    </rfmt>
    <rfmt sheetId="4" sqref="BP151" start="0" length="0">
      <dxf>
        <numFmt numFmtId="14" formatCode="0.00%"/>
      </dxf>
    </rfmt>
    <rfmt sheetId="4" sqref="BP152" start="0" length="0">
      <dxf>
        <numFmt numFmtId="14" formatCode="0.00%"/>
      </dxf>
    </rfmt>
    <rfmt sheetId="4" sqref="BP153" start="0" length="0">
      <dxf>
        <numFmt numFmtId="14" formatCode="0.00%"/>
      </dxf>
    </rfmt>
    <rfmt sheetId="4" sqref="BP154" start="0" length="0">
      <dxf>
        <numFmt numFmtId="14" formatCode="0.00%"/>
      </dxf>
    </rfmt>
    <rfmt sheetId="4" sqref="BP155" start="0" length="0">
      <dxf>
        <numFmt numFmtId="14" formatCode="0.00%"/>
      </dxf>
    </rfmt>
    <rfmt sheetId="4" sqref="BP156" start="0" length="0">
      <dxf>
        <numFmt numFmtId="14" formatCode="0.00%"/>
      </dxf>
    </rfmt>
    <rfmt sheetId="4" sqref="BP157" start="0" length="0">
      <dxf>
        <numFmt numFmtId="14" formatCode="0.00%"/>
      </dxf>
    </rfmt>
    <rfmt sheetId="4" sqref="BP158" start="0" length="0">
      <dxf>
        <numFmt numFmtId="14" formatCode="0.00%"/>
      </dxf>
    </rfmt>
    <rfmt sheetId="4" sqref="BP159" start="0" length="0">
      <dxf>
        <numFmt numFmtId="14" formatCode="0.00%"/>
      </dxf>
    </rfmt>
    <rfmt sheetId="4" sqref="BP160" start="0" length="0">
      <dxf>
        <numFmt numFmtId="14" formatCode="0.00%"/>
      </dxf>
    </rfmt>
    <rfmt sheetId="4" sqref="BP161" start="0" length="0">
      <dxf>
        <numFmt numFmtId="14" formatCode="0.00%"/>
      </dxf>
    </rfmt>
    <rfmt sheetId="4" sqref="BP162" start="0" length="0">
      <dxf>
        <numFmt numFmtId="14" formatCode="0.00%"/>
      </dxf>
    </rfmt>
    <rfmt sheetId="4" sqref="BP163" start="0" length="0">
      <dxf>
        <numFmt numFmtId="14" formatCode="0.00%"/>
      </dxf>
    </rfmt>
    <rfmt sheetId="4" sqref="BP164" start="0" length="0">
      <dxf>
        <numFmt numFmtId="14" formatCode="0.00%"/>
        <border outline="0">
          <bottom style="medium">
            <color indexed="64"/>
          </bottom>
        </border>
      </dxf>
    </rfmt>
    <rfmt sheetId="4" sqref="BP165" start="0" length="0">
      <dxf>
        <numFmt numFmtId="14" formatCode="0.00%"/>
      </dxf>
    </rfmt>
    <rfmt sheetId="4" sqref="BP166" start="0" length="0">
      <dxf>
        <numFmt numFmtId="14" formatCode="0.00%"/>
      </dxf>
    </rfmt>
    <rfmt sheetId="4" sqref="BP167" start="0" length="0">
      <dxf>
        <numFmt numFmtId="14" formatCode="0.00%"/>
      </dxf>
    </rfmt>
    <rfmt sheetId="4" sqref="BP168" start="0" length="0">
      <dxf>
        <numFmt numFmtId="14" formatCode="0.00%"/>
      </dxf>
    </rfmt>
    <rfmt sheetId="4" sqref="BP169" start="0" length="0">
      <dxf>
        <numFmt numFmtId="14" formatCode="0.00%"/>
      </dxf>
    </rfmt>
    <rfmt sheetId="4" sqref="BP170" start="0" length="0">
      <dxf>
        <numFmt numFmtId="14" formatCode="0.00%"/>
      </dxf>
    </rfmt>
    <rfmt sheetId="4" sqref="BP171" start="0" length="0">
      <dxf>
        <numFmt numFmtId="14" formatCode="0.00%"/>
      </dxf>
    </rfmt>
    <rfmt sheetId="4" sqref="BP172" start="0" length="0">
      <dxf>
        <numFmt numFmtId="14" formatCode="0.00%"/>
      </dxf>
    </rfmt>
    <rfmt sheetId="4" sqref="BP173" start="0" length="0">
      <dxf>
        <numFmt numFmtId="14" formatCode="0.00%"/>
      </dxf>
    </rfmt>
    <rfmt sheetId="4" sqref="BP174" start="0" length="0">
      <dxf>
        <numFmt numFmtId="14" formatCode="0.00%"/>
      </dxf>
    </rfmt>
    <rfmt sheetId="4" sqref="BP175" start="0" length="0">
      <dxf>
        <numFmt numFmtId="14" formatCode="0.00%"/>
      </dxf>
    </rfmt>
    <rfmt sheetId="4" sqref="BP176" start="0" length="0">
      <dxf>
        <numFmt numFmtId="14" formatCode="0.00%"/>
      </dxf>
    </rfmt>
    <rfmt sheetId="4" sqref="BP177" start="0" length="0">
      <dxf>
        <numFmt numFmtId="14" formatCode="0.00%"/>
        <fill>
          <patternFill patternType="solid">
            <bgColor theme="0" tint="-0.249977111117893"/>
          </patternFill>
        </fill>
      </dxf>
    </rfmt>
    <rfmt sheetId="4" sqref="BP178" start="0" length="0">
      <dxf>
        <numFmt numFmtId="14" formatCode="0.00%"/>
      </dxf>
    </rfmt>
    <rfmt sheetId="4" sqref="BP179" start="0" length="0">
      <dxf>
        <numFmt numFmtId="14" formatCode="0.00%"/>
      </dxf>
    </rfmt>
    <rfmt sheetId="4" sqref="BP180" start="0" length="0">
      <dxf>
        <numFmt numFmtId="14" formatCode="0.00%"/>
      </dxf>
    </rfmt>
    <rfmt sheetId="4" sqref="BP181" start="0" length="0">
      <dxf>
        <numFmt numFmtId="14" formatCode="0.00%"/>
      </dxf>
    </rfmt>
    <rfmt sheetId="4" sqref="BP182" start="0" length="0">
      <dxf>
        <numFmt numFmtId="14" formatCode="0.00%"/>
      </dxf>
    </rfmt>
    <rfmt sheetId="4" sqref="BP183" start="0" length="0">
      <dxf>
        <numFmt numFmtId="14" formatCode="0.00%"/>
      </dxf>
    </rfmt>
    <rfmt sheetId="4" sqref="BP184" start="0" length="0">
      <dxf>
        <numFmt numFmtId="14" formatCode="0.00%"/>
      </dxf>
    </rfmt>
    <rfmt sheetId="4" sqref="BP185" start="0" length="0">
      <dxf>
        <numFmt numFmtId="14" formatCode="0.00%"/>
      </dxf>
    </rfmt>
    <rfmt sheetId="4" sqref="BP186" start="0" length="0">
      <dxf>
        <numFmt numFmtId="14" formatCode="0.00%"/>
        <border outline="0">
          <bottom style="medium">
            <color indexed="64"/>
          </bottom>
        </border>
      </dxf>
    </rfmt>
    <rfmt sheetId="4" sqref="BP187" start="0" length="0">
      <dxf>
        <numFmt numFmtId="14" formatCode="0.00%"/>
      </dxf>
    </rfmt>
    <rfmt sheetId="4" sqref="BP188" start="0" length="0">
      <dxf>
        <numFmt numFmtId="14" formatCode="0.00%"/>
      </dxf>
    </rfmt>
    <rfmt sheetId="4" sqref="BP189" start="0" length="0">
      <dxf>
        <numFmt numFmtId="14" formatCode="0.00%"/>
      </dxf>
    </rfmt>
    <rfmt sheetId="4" sqref="BP190" start="0" length="0">
      <dxf>
        <numFmt numFmtId="14" formatCode="0.00%"/>
      </dxf>
    </rfmt>
    <rfmt sheetId="4" sqref="BP191" start="0" length="0">
      <dxf>
        <numFmt numFmtId="14" formatCode="0.00%"/>
      </dxf>
    </rfmt>
    <rfmt sheetId="4" sqref="BP192" start="0" length="0">
      <dxf>
        <numFmt numFmtId="14" formatCode="0.00%"/>
      </dxf>
    </rfmt>
    <rfmt sheetId="4" sqref="BP193" start="0" length="0">
      <dxf>
        <numFmt numFmtId="14" formatCode="0.00%"/>
      </dxf>
    </rfmt>
    <rfmt sheetId="4" sqref="BP194" start="0" length="0">
      <dxf>
        <numFmt numFmtId="14" formatCode="0.00%"/>
      </dxf>
    </rfmt>
    <rfmt sheetId="4" sqref="BP195" start="0" length="0">
      <dxf>
        <numFmt numFmtId="14" formatCode="0.00%"/>
      </dxf>
    </rfmt>
    <rfmt sheetId="4" sqref="BP196" start="0" length="0">
      <dxf>
        <numFmt numFmtId="14" formatCode="0.00%"/>
        <fill>
          <patternFill patternType="solid">
            <bgColor theme="0" tint="-0.249977111117893"/>
          </patternFill>
        </fill>
      </dxf>
    </rfmt>
    <rfmt sheetId="4" sqref="BP197" start="0" length="0">
      <dxf>
        <numFmt numFmtId="14" formatCode="0.00%"/>
      </dxf>
    </rfmt>
    <rfmt sheetId="4" sqref="BP198" start="0" length="0">
      <dxf>
        <numFmt numFmtId="14" formatCode="0.00%"/>
      </dxf>
    </rfmt>
    <rfmt sheetId="4" sqref="BP199" start="0" length="0">
      <dxf>
        <numFmt numFmtId="14" formatCode="0.00%"/>
      </dxf>
    </rfmt>
    <rfmt sheetId="4" sqref="BP200" start="0" length="0">
      <dxf>
        <numFmt numFmtId="14" formatCode="0.00%"/>
      </dxf>
    </rfmt>
    <rfmt sheetId="4" sqref="BP201" start="0" length="0">
      <dxf>
        <numFmt numFmtId="14" formatCode="0.00%"/>
      </dxf>
    </rfmt>
    <rfmt sheetId="4" sqref="BP202" start="0" length="0">
      <dxf>
        <numFmt numFmtId="14" formatCode="0.00%"/>
      </dxf>
    </rfmt>
    <rfmt sheetId="4" sqref="BP203" start="0" length="0">
      <dxf>
        <numFmt numFmtId="14" formatCode="0.00%"/>
      </dxf>
    </rfmt>
    <rfmt sheetId="4" sqref="BP204" start="0" length="0">
      <dxf>
        <numFmt numFmtId="14" formatCode="0.00%"/>
      </dxf>
    </rfmt>
    <rfmt sheetId="4" sqref="BP205" start="0" length="0">
      <dxf>
        <numFmt numFmtId="14" formatCode="0.00%"/>
      </dxf>
    </rfmt>
    <rfmt sheetId="4" sqref="BP206" start="0" length="0">
      <dxf>
        <numFmt numFmtId="14" formatCode="0.00%"/>
      </dxf>
    </rfmt>
    <rfmt sheetId="4" sqref="BP207" start="0" length="0">
      <dxf>
        <numFmt numFmtId="14" formatCode="0.00%"/>
      </dxf>
    </rfmt>
    <rfmt sheetId="4" sqref="BP208" start="0" length="0">
      <dxf>
        <numFmt numFmtId="14" formatCode="0.00%"/>
      </dxf>
    </rfmt>
    <rfmt sheetId="4" sqref="BP209" start="0" length="0">
      <dxf>
        <numFmt numFmtId="14" formatCode="0.00%"/>
      </dxf>
    </rfmt>
    <rfmt sheetId="4" sqref="BP210" start="0" length="0">
      <dxf>
        <numFmt numFmtId="14" formatCode="0.00%"/>
      </dxf>
    </rfmt>
    <rfmt sheetId="4" sqref="BP211" start="0" length="0">
      <dxf>
        <numFmt numFmtId="14" formatCode="0.00%"/>
      </dxf>
    </rfmt>
    <rfmt sheetId="4" sqref="BP212" start="0" length="0">
      <dxf>
        <numFmt numFmtId="14" formatCode="0.00%"/>
      </dxf>
    </rfmt>
    <rfmt sheetId="4" sqref="BP213" start="0" length="0">
      <dxf>
        <numFmt numFmtId="14" formatCode="0.00%"/>
      </dxf>
    </rfmt>
    <rfmt sheetId="4" sqref="BP214" start="0" length="0">
      <dxf>
        <numFmt numFmtId="14" formatCode="0.00%"/>
      </dxf>
    </rfmt>
    <rfmt sheetId="4" sqref="BP215" start="0" length="0">
      <dxf>
        <numFmt numFmtId="14" formatCode="0.00%"/>
      </dxf>
    </rfmt>
    <rfmt sheetId="4" sqref="BP216" start="0" length="0">
      <dxf>
        <numFmt numFmtId="14" formatCode="0.00%"/>
      </dxf>
    </rfmt>
    <rfmt sheetId="4" sqref="BP217" start="0" length="0">
      <dxf>
        <numFmt numFmtId="14" formatCode="0.00%"/>
      </dxf>
    </rfmt>
    <rfmt sheetId="4" sqref="BP218" start="0" length="0">
      <dxf>
        <numFmt numFmtId="14" formatCode="0.00%"/>
      </dxf>
    </rfmt>
    <rfmt sheetId="4" sqref="BP219" start="0" length="0">
      <dxf>
        <numFmt numFmtId="14" formatCode="0.00%"/>
      </dxf>
    </rfmt>
    <rfmt sheetId="4" sqref="BP220" start="0" length="0">
      <dxf>
        <numFmt numFmtId="14" formatCode="0.00%"/>
      </dxf>
    </rfmt>
    <rfmt sheetId="4" sqref="BP221" start="0" length="0">
      <dxf>
        <numFmt numFmtId="14" formatCode="0.00%"/>
      </dxf>
    </rfmt>
    <rfmt sheetId="4" sqref="BP222" start="0" length="0">
      <dxf>
        <numFmt numFmtId="14" formatCode="0.00%"/>
      </dxf>
    </rfmt>
    <rfmt sheetId="4" sqref="BP223" start="0" length="0">
      <dxf>
        <numFmt numFmtId="14" formatCode="0.00%"/>
      </dxf>
    </rfmt>
    <rfmt sheetId="4" sqref="BP224" start="0" length="0">
      <dxf>
        <numFmt numFmtId="14" formatCode="0.00%"/>
      </dxf>
    </rfmt>
    <rfmt sheetId="4" sqref="BP225" start="0" length="0">
      <dxf>
        <numFmt numFmtId="14" formatCode="0.00%"/>
        <border outline="0">
          <bottom style="medium">
            <color indexed="64"/>
          </bottom>
        </border>
      </dxf>
    </rfmt>
    <rfmt sheetId="4" sqref="BP226" start="0" length="0">
      <dxf>
        <numFmt numFmtId="14" formatCode="0.00%"/>
      </dxf>
    </rfmt>
    <rfmt sheetId="4" sqref="BP227" start="0" length="0">
      <dxf>
        <numFmt numFmtId="14" formatCode="0.00%"/>
      </dxf>
    </rfmt>
    <rfmt sheetId="4" sqref="BP228" start="0" length="0">
      <dxf>
        <numFmt numFmtId="14" formatCode="0.00%"/>
      </dxf>
    </rfmt>
    <rfmt sheetId="4" sqref="BP229" start="0" length="0">
      <dxf>
        <numFmt numFmtId="14" formatCode="0.00%"/>
      </dxf>
    </rfmt>
    <rfmt sheetId="4" sqref="BP230" start="0" length="0">
      <dxf>
        <numFmt numFmtId="14" formatCode="0.00%"/>
      </dxf>
    </rfmt>
    <rfmt sheetId="4" sqref="BP231" start="0" length="0">
      <dxf>
        <numFmt numFmtId="14" formatCode="0.00%"/>
      </dxf>
    </rfmt>
    <rfmt sheetId="4" sqref="BP232" start="0" length="0">
      <dxf>
        <numFmt numFmtId="14" formatCode="0.00%"/>
      </dxf>
    </rfmt>
    <rfmt sheetId="4" sqref="BP233" start="0" length="0">
      <dxf>
        <numFmt numFmtId="14" formatCode="0.00%"/>
      </dxf>
    </rfmt>
    <rfmt sheetId="4" sqref="BP234" start="0" length="0">
      <dxf>
        <numFmt numFmtId="14" formatCode="0.00%"/>
      </dxf>
    </rfmt>
    <rfmt sheetId="4" sqref="BP235" start="0" length="0">
      <dxf>
        <numFmt numFmtId="14" formatCode="0.00%"/>
      </dxf>
    </rfmt>
    <rfmt sheetId="4" sqref="BP236" start="0" length="0">
      <dxf>
        <numFmt numFmtId="14" formatCode="0.00%"/>
      </dxf>
    </rfmt>
    <rfmt sheetId="4" sqref="BP237" start="0" length="0">
      <dxf>
        <numFmt numFmtId="14" formatCode="0.00%"/>
      </dxf>
    </rfmt>
    <rfmt sheetId="4" sqref="BP238" start="0" length="0">
      <dxf>
        <numFmt numFmtId="14" formatCode="0.00%"/>
      </dxf>
    </rfmt>
    <rfmt sheetId="4" sqref="BP239" start="0" length="0">
      <dxf>
        <numFmt numFmtId="14" formatCode="0.00%"/>
      </dxf>
    </rfmt>
    <rfmt sheetId="4" sqref="BP240" start="0" length="0">
      <dxf>
        <numFmt numFmtId="14" formatCode="0.00%"/>
      </dxf>
    </rfmt>
    <rfmt sheetId="4" sqref="BP241" start="0" length="0">
      <dxf>
        <numFmt numFmtId="14" formatCode="0.00%"/>
        <fill>
          <patternFill patternType="solid">
            <bgColor theme="0" tint="-0.249977111117893"/>
          </patternFill>
        </fill>
      </dxf>
    </rfmt>
  </rrc>
  <rcc rId="39781" sId="4">
    <nc r="BT7">
      <f>BO7+BP7+BQ7+BR7+BS7</f>
    </nc>
  </rcc>
  <rcc rId="39782" sId="4">
    <nc r="BT8">
      <f>BO8+BP8+BQ8+BR8+BS8</f>
    </nc>
  </rcc>
  <rcc rId="39783" sId="4">
    <nc r="BT9">
      <f>BO9+BP9+BQ9+BR9+BS9</f>
    </nc>
  </rcc>
  <rcc rId="39784" sId="4">
    <nc r="BT10">
      <f>BO10+BP10+BQ10+BR10+BS10</f>
    </nc>
  </rcc>
  <rcc rId="39785" sId="4">
    <nc r="BT11">
      <f>BO11+BP11+BQ11+BR11+BS11</f>
    </nc>
  </rcc>
  <rcc rId="39786" sId="4">
    <nc r="BT12">
      <f>BO12+BP12+BQ12+BR12+BS12</f>
    </nc>
  </rcc>
  <rcc rId="39787" sId="4">
    <nc r="BT13">
      <f>BO13+BP13+BQ13+BR13+BS13</f>
    </nc>
  </rcc>
  <rcc rId="39788" sId="4">
    <nc r="BT14">
      <f>BO14+BP14+BQ14+BR14+BS14</f>
    </nc>
  </rcc>
  <rcc rId="39789" sId="4">
    <nc r="BT15">
      <f>BO15+BP15+BQ15+BR15+BS15</f>
    </nc>
  </rcc>
  <rcc rId="39790" sId="4">
    <nc r="BT16">
      <f>BO16+BP16+BQ16+BR16+BS16</f>
    </nc>
  </rcc>
  <rcc rId="39791" sId="4">
    <nc r="BT17">
      <f>BO17+BP17+BQ17+BR17+BS17</f>
    </nc>
  </rcc>
  <rcc rId="39792" sId="4">
    <nc r="BT18">
      <f>BO18+BP18+BQ18+BR18+BS18</f>
    </nc>
  </rcc>
  <rcc rId="39793" sId="4">
    <nc r="BT19">
      <f>BO19+BP19+BQ19+BR19+BS19</f>
    </nc>
  </rcc>
  <rcc rId="39794" sId="4">
    <nc r="BT20">
      <f>BO20+BP20+BQ20+BR20+BS20</f>
    </nc>
  </rcc>
  <rcc rId="39795" sId="4">
    <nc r="BT21">
      <f>BO21+BP21+BQ21+BR21+BS21</f>
    </nc>
  </rcc>
  <rcc rId="39796" sId="4">
    <nc r="BT22">
      <f>BO22+BP22+BQ22+BR22+BS22</f>
    </nc>
  </rcc>
  <rcc rId="39797" sId="4">
    <nc r="BT23">
      <f>BO23+BP23+BQ23+BR23+BS23</f>
    </nc>
  </rcc>
  <rcc rId="39798" sId="4">
    <nc r="BT24">
      <f>BO24+BP24+BQ24+BR24+BS24</f>
    </nc>
  </rcc>
  <rcc rId="39799" sId="4">
    <nc r="BT25">
      <f>BO25+BP25+BQ25+BR25+BS25</f>
    </nc>
  </rcc>
  <rcc rId="39800" sId="4">
    <nc r="BT26">
      <f>BO26+BP26+BQ26+BR26+BS26</f>
    </nc>
  </rcc>
  <rcc rId="39801" sId="4">
    <nc r="BT27">
      <f>BO27+BP27+BQ27+BR27+BS27</f>
    </nc>
  </rcc>
  <rcc rId="39802" sId="4">
    <nc r="BT28">
      <f>BO28+BP28+BQ28+BR28+BS28</f>
    </nc>
  </rcc>
  <rcc rId="39803" sId="4">
    <nc r="BT29">
      <f>BO29+BP29+BQ29+BR29+BS29</f>
    </nc>
  </rcc>
  <rcc rId="39804" sId="4">
    <nc r="BT30">
      <f>BO30+BP30+BQ30+BR30+BS30</f>
    </nc>
  </rcc>
  <rcc rId="39805" sId="4">
    <nc r="BT31">
      <f>BO31+BP31+BQ31+BR31+BS31</f>
    </nc>
  </rcc>
  <rcc rId="39806" sId="4">
    <nc r="BT32">
      <f>BO32+BP32+BQ32+BR32+BS32</f>
    </nc>
  </rcc>
  <rcc rId="39807" sId="4">
    <nc r="BT33">
      <f>BO33+BP33+BQ33+BR33+BS33</f>
    </nc>
  </rcc>
  <rcc rId="39808" sId="4">
    <nc r="BT34">
      <f>BO34+BP34+BQ34+BR34+BS34</f>
    </nc>
  </rcc>
  <rcc rId="39809" sId="4">
    <nc r="BT35">
      <f>BO35+BP35+BQ35+BR35+BS35</f>
    </nc>
  </rcc>
  <rcc rId="39810" sId="4">
    <nc r="BT36">
      <f>BO36+BP36+BQ36+BR36+BS36</f>
    </nc>
  </rcc>
  <rcc rId="39811" sId="4">
    <nc r="BT37">
      <f>BO37+BP37+BQ37+BR37+BS37</f>
    </nc>
  </rcc>
  <rcc rId="39812" sId="4">
    <nc r="BT38">
      <f>BO38+BP38+BQ38+BR38+BS38</f>
    </nc>
  </rcc>
  <rcc rId="39813" sId="4">
    <nc r="BT39">
      <f>BO39+BP39+BQ39+BR39+BS39</f>
    </nc>
  </rcc>
  <rcc rId="39814" sId="4">
    <nc r="BT40">
      <f>BO40+BP40+BQ40+BR40+BS40</f>
    </nc>
  </rcc>
  <rcc rId="39815" sId="4">
    <nc r="BT41">
      <f>BO41+BP41+BQ41+BR41+BS41</f>
    </nc>
  </rcc>
  <rcc rId="39816" sId="4">
    <nc r="BT42">
      <f>BO42+BP42+BQ42+BR42+BS42</f>
    </nc>
  </rcc>
  <rcc rId="39817" sId="4">
    <nc r="BT43">
      <f>BO43+BP43+BQ43+BR43+BS43</f>
    </nc>
  </rcc>
  <rcc rId="39818" sId="4">
    <nc r="BT44">
      <f>BO44+BP44+BQ44+BR44+BS44</f>
    </nc>
  </rcc>
  <rcc rId="39819" sId="4">
    <nc r="BT45">
      <f>BO45+BP45+BQ45+BR45+BS45</f>
    </nc>
  </rcc>
  <rcc rId="39820" sId="4">
    <nc r="BT46">
      <f>BO46+BP46+BQ46+BR46+BS46</f>
    </nc>
  </rcc>
  <rcc rId="39821" sId="4">
    <nc r="BT47">
      <f>BO47+BP47+BQ47+BR47+BS47</f>
    </nc>
  </rcc>
  <rcc rId="39822" sId="4">
    <nc r="BT48">
      <f>BO48+BP48+BQ48+BR48+BS48</f>
    </nc>
  </rcc>
  <rcc rId="39823" sId="4">
    <nc r="BT49">
      <f>BO49+BP49+BQ49+BR49+BS49</f>
    </nc>
  </rcc>
  <rcc rId="39824" sId="4">
    <nc r="BT51">
      <f>BO51+BP51+BQ51+BR51+BS51</f>
    </nc>
  </rcc>
  <rcc rId="39825" sId="4">
    <nc r="BT52">
      <f>BO52+BP52+BQ52+BR52+BS52</f>
    </nc>
  </rcc>
  <rcc rId="39826" sId="4">
    <nc r="BT53">
      <f>BO53+BP53+BQ53+BR53+BS53</f>
    </nc>
  </rcc>
  <rcc rId="39827" sId="4">
    <nc r="BT54">
      <f>BO54+BP54+BQ54+BR54+BS54</f>
    </nc>
  </rcc>
  <rcc rId="39828" sId="4">
    <nc r="BT55">
      <f>BO55+BP55+BQ55+BR55+BS55</f>
    </nc>
  </rcc>
  <rcc rId="39829" sId="4">
    <nc r="BT56">
      <f>BO56+BP56+BQ56+BR56+BS56</f>
    </nc>
  </rcc>
  <rcc rId="39830" sId="4">
    <nc r="BT57">
      <f>BO57+BP57+BQ57+BR57+BS57</f>
    </nc>
  </rcc>
  <rcc rId="39831" sId="4">
    <nc r="BT58">
      <f>BO58+BP58+BQ58+BR58+BS58</f>
    </nc>
  </rcc>
  <rcc rId="39832" sId="4">
    <nc r="BT59">
      <f>BO59+BP59+BQ59+BR59+BS59</f>
    </nc>
  </rcc>
  <rcc rId="39833" sId="4">
    <nc r="BT60">
      <f>BO60+BP60+BQ60+BR60+BS60</f>
    </nc>
  </rcc>
  <rcc rId="39834" sId="4">
    <nc r="BT61">
      <f>BO61+BP61+BQ61+BR61+BS61</f>
    </nc>
  </rcc>
  <rcc rId="39835" sId="4">
    <nc r="BT62">
      <f>BO62+BP62+BQ62+BR62+BS62</f>
    </nc>
  </rcc>
  <rcc rId="39836" sId="4">
    <nc r="BT63">
      <f>BO63+BP63+BQ63+BR63+BS63</f>
    </nc>
  </rcc>
  <rcc rId="39837" sId="4">
    <nc r="BT64">
      <f>BO64+BP64+BQ64+BR64+BS64</f>
    </nc>
  </rcc>
  <rcc rId="39838" sId="4">
    <nc r="BT65">
      <f>BO65+BP65+BQ65+BR65+BS65</f>
    </nc>
  </rcc>
  <rcc rId="39839" sId="4">
    <nc r="BT66">
      <f>BO66+BP66+BQ66+BR66+BS66</f>
    </nc>
  </rcc>
  <rcc rId="39840" sId="4">
    <nc r="BT67">
      <f>BO67+BP67+BQ67+BR67+BS67</f>
    </nc>
  </rcc>
  <rcc rId="39841" sId="4">
    <nc r="BT68">
      <f>BO68+BP68+BQ68+BR68+BS68</f>
    </nc>
  </rcc>
  <rcc rId="39842" sId="4">
    <nc r="BT69">
      <f>BO69+BP69+BQ69+BR69+BS69</f>
    </nc>
  </rcc>
  <rcc rId="39843" sId="4">
    <nc r="BT70">
      <f>BO70+BP70+BQ70+BR70+BS70</f>
    </nc>
  </rcc>
  <rcc rId="39844" sId="4">
    <nc r="BT71">
      <f>BO71+BP71+BQ71+BR71+BS71</f>
    </nc>
  </rcc>
  <rcc rId="39845" sId="4">
    <nc r="BT72">
      <f>BO72+BP72+BQ72+BR72+BS72</f>
    </nc>
  </rcc>
  <rcc rId="39846" sId="4">
    <nc r="BT73">
      <f>BO73+BP73+BQ73+BR73+BS73</f>
    </nc>
  </rcc>
  <rcc rId="39847" sId="4">
    <nc r="BT74">
      <f>BO74+BP74+BQ74+BR74+BS74</f>
    </nc>
  </rcc>
  <rcc rId="39848" sId="4">
    <nc r="BT75">
      <f>BO75+BP75+BQ75+BR75+BS75</f>
    </nc>
  </rcc>
  <rcc rId="39849" sId="4">
    <nc r="BT76">
      <f>BO76+BP76+BQ76+BR76+BS76</f>
    </nc>
  </rcc>
  <rcc rId="39850" sId="4">
    <nc r="BT77">
      <f>BO77+BP77+BQ77+BR77+BS77</f>
    </nc>
  </rcc>
  <rcc rId="39851" sId="4">
    <nc r="BT78">
      <f>BO78+BP78+BQ78+BR78+BS78</f>
    </nc>
  </rcc>
  <rcc rId="39852" sId="4">
    <nc r="BT79">
      <f>BO79+BP79+BQ79+BR79+BS79</f>
    </nc>
  </rcc>
  <rcc rId="39853" sId="4">
    <nc r="BT80">
      <f>BO80+BP80+BQ80+BR80+BS80</f>
    </nc>
  </rcc>
  <rcc rId="39854" sId="4">
    <nc r="BT81">
      <f>BO81+BP81+BQ81+BR81+BS81</f>
    </nc>
  </rcc>
  <rcc rId="39855" sId="4">
    <nc r="BT82">
      <f>BO82+BP82+BQ82+BR82+BS82</f>
    </nc>
  </rcc>
  <rcc rId="39856" sId="4">
    <nc r="BT83">
      <f>BO83+BP83+BQ83+BR83+BS83</f>
    </nc>
  </rcc>
  <rcc rId="39857" sId="4">
    <nc r="BT85">
      <f>BO85+BP85+BQ85+BR85+BS85</f>
    </nc>
  </rcc>
  <rcc rId="39858" sId="4">
    <nc r="BT86">
      <f>BO86+BP86+BQ86+BR86+BS86</f>
    </nc>
  </rcc>
  <rcc rId="39859" sId="4">
    <nc r="BT87">
      <f>BO87+BP87+BQ87+BR87+BS87</f>
    </nc>
  </rcc>
  <rcc rId="39860" sId="4">
    <nc r="BT88">
      <f>BO88+BP88+BQ88+BR88+BS88</f>
    </nc>
  </rcc>
  <rcc rId="39861" sId="4">
    <nc r="BT89">
      <f>BO89+BP89+BQ89+BR89+BS89</f>
    </nc>
  </rcc>
  <rcc rId="39862" sId="4">
    <nc r="BT90">
      <f>BO90+BP90+BQ90+BR90+BS90</f>
    </nc>
  </rcc>
  <rcc rId="39863" sId="4">
    <nc r="BT91">
      <f>BO91+BP91+BQ91+BR91+BS91</f>
    </nc>
  </rcc>
  <rcc rId="39864" sId="4">
    <nc r="BT92">
      <f>BO92+BP92+BQ92+BR92+BS92</f>
    </nc>
  </rcc>
  <rcc rId="39865" sId="4">
    <nc r="BT93">
      <f>BO93+BP93+BQ93+BR93+BS93</f>
    </nc>
  </rcc>
  <rcc rId="39866" sId="4">
    <nc r="BT94">
      <f>BO94+BP94+BQ94+BR94+BS94</f>
    </nc>
  </rcc>
  <rcc rId="39867" sId="4">
    <nc r="BT95">
      <f>BO95+BP95+BQ95+BR95+BS95</f>
    </nc>
  </rcc>
  <rcc rId="39868" sId="4">
    <nc r="BT96">
      <f>BO96+BP96+BQ96+BR96+BS96</f>
    </nc>
  </rcc>
  <rcc rId="39869" sId="4">
    <nc r="BT97">
      <f>BO97+BP97+BQ97+BR97+BS97</f>
    </nc>
  </rcc>
  <rcc rId="39870" sId="4">
    <nc r="BT98">
      <f>BO98+BP98+BQ98+BR98+BS98</f>
    </nc>
  </rcc>
  <rcc rId="39871" sId="4">
    <nc r="BT99">
      <f>BO99+BP99+BQ99+BR99+BS99</f>
    </nc>
  </rcc>
  <rcc rId="39872" sId="4">
    <nc r="BT100">
      <f>BO100+BP100+BQ100+BR100+BS100</f>
    </nc>
  </rcc>
  <rcc rId="39873" sId="4">
    <nc r="BT101">
      <f>BO101+BP101+BQ101+BR101+BS101</f>
    </nc>
  </rcc>
  <rcc rId="39874" sId="4">
    <nc r="BT102">
      <f>BO102+BP102+BQ102+BR102+BS102</f>
    </nc>
  </rcc>
  <rcc rId="39875" sId="4">
    <nc r="BT103">
      <f>BO103+BP103+BQ103+BR103+BS103</f>
    </nc>
  </rcc>
  <rcc rId="39876" sId="4">
    <nc r="BT104">
      <f>BO104+BP104+BQ104+BR104+BS104</f>
    </nc>
  </rcc>
  <rcc rId="39877" sId="4">
    <nc r="BT105">
      <f>BO105+BP105+BQ105+BR105+BS105</f>
    </nc>
  </rcc>
  <rcc rId="39878" sId="4">
    <nc r="BT106">
      <f>BO106+BP106+BQ106+BR106+BS106</f>
    </nc>
  </rcc>
  <rcc rId="39879" sId="4">
    <nc r="BT107">
      <f>BO107+BP107+BQ107+BR107+BS107</f>
    </nc>
  </rcc>
  <rcc rId="39880" sId="4">
    <nc r="BT108">
      <f>BO108+BP108+BQ108+BR108+BS108</f>
    </nc>
  </rcc>
  <rcc rId="39881" sId="4">
    <nc r="BT109">
      <f>BO109+BP109+BQ109+BR109+BS109</f>
    </nc>
  </rcc>
  <rcc rId="39882" sId="4">
    <nc r="BT110">
      <f>BO110+BP110+BQ110+BR110+BS110</f>
    </nc>
  </rcc>
  <rcc rId="39883" sId="4">
    <nc r="BT111">
      <f>BO111+BP111+BQ111+BR111+BS111</f>
    </nc>
  </rcc>
  <rcc rId="39884" sId="4">
    <nc r="BT112">
      <f>BO112+BP112+BQ112+BR112+BS112</f>
    </nc>
  </rcc>
  <rcc rId="39885" sId="4">
    <nc r="BT113">
      <f>BO113+BP113+BQ113+BR113+BS113</f>
    </nc>
  </rcc>
  <rcc rId="39886" sId="4">
    <nc r="BT114">
      <f>BO114+BP114+BQ114+BR114+BS114</f>
    </nc>
  </rcc>
  <rcc rId="39887" sId="4">
    <nc r="BT115">
      <f>BO115+BP115+BQ115+BR115+BS115</f>
    </nc>
  </rcc>
  <rcc rId="39888" sId="4">
    <nc r="BT116">
      <f>BO116+BP116+BQ116+BR116+BS116</f>
    </nc>
  </rcc>
  <rcc rId="39889" sId="4">
    <nc r="BT117">
      <f>BO117+BP117+BQ117+BR117+BS117</f>
    </nc>
  </rcc>
  <rcc rId="39890" sId="4">
    <nc r="BT119">
      <f>BO119+BP119+BQ119+BR119+BS119</f>
    </nc>
  </rcc>
  <rcc rId="39891" sId="4">
    <nc r="BT120">
      <f>BO120+BP120+BQ120+BR120+BS120</f>
    </nc>
  </rcc>
  <rcc rId="39892" sId="4">
    <nc r="BT121">
      <f>BO121+BP121+BQ121+BR121+BS121</f>
    </nc>
  </rcc>
  <rcc rId="39893" sId="4">
    <nc r="BT122">
      <f>BO122+BP122+BQ122+BR122+BS122</f>
    </nc>
  </rcc>
  <rcc rId="39894" sId="4">
    <nc r="BT123">
      <f>BO123+BP123+BQ123+BR123+BS123</f>
    </nc>
  </rcc>
  <rcc rId="39895" sId="4">
    <nc r="BT124">
      <f>BO124+BP124+BQ124+BR124+BS124</f>
    </nc>
  </rcc>
  <rcc rId="39896" sId="4">
    <nc r="BT125">
      <f>BO125+BP125+BQ125+BR125+BS125</f>
    </nc>
  </rcc>
  <rcc rId="39897" sId="4">
    <nc r="BT126">
      <f>BO126+BP126+BQ126+BR126+BS126</f>
    </nc>
  </rcc>
  <rcc rId="39898" sId="4">
    <nc r="BT127">
      <f>BO127+BP127+BQ127+BR127+BS127</f>
    </nc>
  </rcc>
  <rcc rId="39899" sId="4">
    <nc r="BT128">
      <f>BO128+BP128+BQ128+BR128+BS128</f>
    </nc>
  </rcc>
  <rcc rId="39900" sId="4">
    <nc r="BT129">
      <f>BO129+BP129+BQ129+BR129+BS129</f>
    </nc>
  </rcc>
  <rcc rId="39901" sId="4">
    <nc r="BT130">
      <f>BO130+BP130+BQ130+BR130+BS130</f>
    </nc>
  </rcc>
  <rcc rId="39902" sId="4">
    <nc r="BT131">
      <f>BO131+BP131+BQ131+BR131+BS131</f>
    </nc>
  </rcc>
  <rcc rId="39903" sId="4">
    <nc r="BT132">
      <f>BO132+BP132+BQ132+BR132+BS132</f>
    </nc>
  </rcc>
  <rcc rId="39904" sId="4">
    <nc r="BT133">
      <f>BO133+BP133+BQ133+BR133+BS133</f>
    </nc>
  </rcc>
  <rcc rId="39905" sId="4">
    <nc r="BT134">
      <f>BO134+BP134+BQ134+BR134+BS134</f>
    </nc>
  </rcc>
  <rcc rId="39906" sId="4">
    <nc r="BT135">
      <f>BO135+BP135+BQ135+BR135+BS135</f>
    </nc>
  </rcc>
  <rcc rId="39907" sId="4">
    <nc r="BT136">
      <f>BO136+BP136+BQ136+BR136+BS136</f>
    </nc>
  </rcc>
  <rcc rId="39908" sId="4">
    <nc r="BT137">
      <f>BO137+BP137+BQ137+BR137+BS137</f>
    </nc>
  </rcc>
  <rcc rId="39909" sId="4">
    <nc r="BT138">
      <f>BO138+BP138+BQ138+BR138+BS138</f>
    </nc>
  </rcc>
  <rcc rId="39910" sId="4">
    <nc r="BT139">
      <f>BO139+BP139+BQ139+BR139+BS139</f>
    </nc>
  </rcc>
  <rcc rId="39911" sId="4">
    <nc r="BT140">
      <f>BO140+BP140+BQ140+BR140+BS140</f>
    </nc>
  </rcc>
  <rcc rId="39912" sId="4">
    <nc r="BT141">
      <f>BO141+BP141+BQ141+BR141+BS141</f>
    </nc>
  </rcc>
  <rcc rId="39913" sId="4">
    <nc r="BT142">
      <f>BO142+BP142+BQ142+BR142+BS142</f>
    </nc>
  </rcc>
  <rcc rId="39914" sId="4">
    <nc r="BT143">
      <f>BO143+BP143+BQ143+BR143+BS143</f>
    </nc>
  </rcc>
  <rcc rId="39915" sId="4">
    <nc r="BT145">
      <f>BO145+BP145+BQ145+BR145+BS145</f>
    </nc>
  </rcc>
  <rcc rId="39916" sId="4">
    <nc r="BT146">
      <f>BO146+BP146+BQ146+BR146+BS146</f>
    </nc>
  </rcc>
  <rcc rId="39917" sId="4">
    <nc r="BT147">
      <f>BO147+BP147+BQ147+BR147+BS147</f>
    </nc>
  </rcc>
  <rcc rId="39918" sId="4">
    <nc r="BT148">
      <f>BO148+BP148+BQ148+BR148+BS148</f>
    </nc>
  </rcc>
  <rcc rId="39919" sId="4">
    <nc r="BT149">
      <f>BO149+BP149+BQ149+BR149+BS149</f>
    </nc>
  </rcc>
  <rcc rId="39920" sId="4">
    <nc r="BT150">
      <f>BO150+BP150+BQ150+BR150+BS150</f>
    </nc>
  </rcc>
  <rcc rId="39921" sId="4">
    <nc r="BT151">
      <f>BO151+BP151+BQ151+BR151+BS151</f>
    </nc>
  </rcc>
  <rcc rId="39922" sId="4">
    <nc r="BT152">
      <f>BO152+BP152+BQ152+BR152+BS152</f>
    </nc>
  </rcc>
  <rcc rId="39923" sId="4">
    <nc r="BT153">
      <f>BO153+BP153+BQ153+BR153+BS153</f>
    </nc>
  </rcc>
  <rcc rId="39924" sId="4">
    <nc r="BT154">
      <f>BO154+BP154+BQ154+BR154+BS154</f>
    </nc>
  </rcc>
  <rcc rId="39925" sId="4">
    <nc r="BT155">
      <f>BO155+BP155+BQ155+BR155+BS155</f>
    </nc>
  </rcc>
  <rcc rId="39926" sId="4">
    <nc r="BT156">
      <f>BO156+BP156+BQ156+BR156+BS156</f>
    </nc>
  </rcc>
  <rcc rId="39927" sId="4">
    <nc r="BT157">
      <f>BO157+BP157+BQ157+BR157+BS157</f>
    </nc>
  </rcc>
  <rcc rId="39928" sId="4">
    <nc r="BT158">
      <f>BO158+BP158+BQ158+BR158+BS158</f>
    </nc>
  </rcc>
  <rcc rId="39929" sId="4">
    <nc r="BT159">
      <f>BO159+BP159+BQ159+BR159+BS159</f>
    </nc>
  </rcc>
  <rcc rId="39930" sId="4">
    <nc r="BT160">
      <f>BO160+BP160+BQ160+BR160+BS160</f>
    </nc>
  </rcc>
  <rcc rId="39931" sId="4">
    <nc r="BT161">
      <f>BO161+BP161+BQ161+BR161+BS161</f>
    </nc>
  </rcc>
  <rcc rId="39932" sId="4">
    <nc r="BT162">
      <f>BO162+BP162+BQ162+BR162+BS162</f>
    </nc>
  </rcc>
  <rcc rId="39933" sId="4">
    <nc r="BT163">
      <f>BO163+BP163+BQ163+BR163+BS163</f>
    </nc>
  </rcc>
  <rcc rId="39934" sId="4">
    <nc r="BT164">
      <f>BO164+BP164+BQ164+BR164+BS164</f>
    </nc>
  </rcc>
  <rcc rId="39935" sId="4">
    <nc r="BT165">
      <f>BO165+BP165+BQ165+BR165+BS165</f>
    </nc>
  </rcc>
  <rcc rId="39936" sId="4">
    <nc r="BT166">
      <f>BO166+BP166+BQ166+BR166+BS166</f>
    </nc>
  </rcc>
  <rcc rId="39937" sId="4">
    <nc r="BT167">
      <f>BO167+BP167+BQ167+BR167+BS167</f>
    </nc>
  </rcc>
  <rcc rId="39938" sId="4">
    <nc r="BT168">
      <f>BO168+BP168+BQ168+BR168+BS168</f>
    </nc>
  </rcc>
  <rcc rId="39939" sId="4">
    <nc r="BT169">
      <f>BO169+BP169+BQ169+BR169+BS169</f>
    </nc>
  </rcc>
  <rcc rId="39940" sId="4">
    <nc r="BT170">
      <f>BO170+BP170+BQ170+BR170+BS170</f>
    </nc>
  </rcc>
  <rcc rId="39941" sId="4">
    <nc r="BT171">
      <f>BO171+BP171+BQ171+BR171+BS171</f>
    </nc>
  </rcc>
  <rcc rId="39942" sId="4">
    <nc r="BT172">
      <f>BO172+BP172+BQ172+BR172+BS172</f>
    </nc>
  </rcc>
  <rcc rId="39943" sId="4">
    <nc r="BT173">
      <f>BO173+BP173+BQ173+BR173+BS173</f>
    </nc>
  </rcc>
  <rcc rId="39944" sId="4">
    <nc r="BT174">
      <f>BO174+BP174+BQ174+BR174+BS174</f>
    </nc>
  </rcc>
  <rcc rId="39945" sId="4">
    <nc r="BT175">
      <f>BO175+BP175+BQ175+BR175+BS175</f>
    </nc>
  </rcc>
  <rcc rId="39946" sId="4">
    <nc r="BT176">
      <f>BO176+BP176+BQ176+BR176+BS176</f>
    </nc>
  </rcc>
  <rcc rId="39947" sId="4">
    <nc r="BT178">
      <f>BO178+BP178+BQ178+BR178+BS178</f>
    </nc>
  </rcc>
  <rcc rId="39948" sId="4">
    <nc r="BT179">
      <f>BO179+BP179+BQ179+BR179+BS179</f>
    </nc>
  </rcc>
  <rcc rId="39949" sId="4">
    <nc r="BT180">
      <f>BO180+BP180+BQ180+BR180+BS180</f>
    </nc>
  </rcc>
  <rcc rId="39950" sId="4">
    <nc r="BT181">
      <f>BO181+BP181+BQ181+BR181+BS181</f>
    </nc>
  </rcc>
  <rcc rId="39951" sId="4">
    <nc r="BT182">
      <f>BO182+BP182+BQ182+BR182+BS182</f>
    </nc>
  </rcc>
  <rcc rId="39952" sId="4">
    <nc r="BT183">
      <f>BO183+BP183+BQ183+BR183+BS183</f>
    </nc>
  </rcc>
  <rcc rId="39953" sId="4">
    <nc r="BT184">
      <f>BO184+BP184+BQ184+BR184+BS184</f>
    </nc>
  </rcc>
  <rcc rId="39954" sId="4">
    <nc r="BT185">
      <f>BO185+BP185+BQ185+BR185+BS185</f>
    </nc>
  </rcc>
  <rcc rId="39955" sId="4">
    <nc r="BT186">
      <f>BO186+BP186+BQ186+BR186+BS186</f>
    </nc>
  </rcc>
  <rcc rId="39956" sId="4">
    <nc r="BT187">
      <f>BO187+BP187+BQ187+BR187+BS187</f>
    </nc>
  </rcc>
  <rcc rId="39957" sId="4">
    <nc r="BT188">
      <f>BO188+BP188+BQ188+BR188+BS188</f>
    </nc>
  </rcc>
  <rcc rId="39958" sId="4">
    <nc r="BT189">
      <f>BO189+BP189+BQ189+BR189+BS189</f>
    </nc>
  </rcc>
  <rcc rId="39959" sId="4">
    <nc r="BT190">
      <f>BO190+BP190+BQ190+BR190+BS190</f>
    </nc>
  </rcc>
  <rcc rId="39960" sId="4">
    <nc r="BT191">
      <f>BO191+BP191+BQ191+BR191+BS191</f>
    </nc>
  </rcc>
  <rcc rId="39961" sId="4">
    <nc r="BT192">
      <f>BO192+BP192+BQ192+BR192+BS192</f>
    </nc>
  </rcc>
  <rcc rId="39962" sId="4">
    <nc r="BT193">
      <f>BO193+BP193+BQ193+BR193+BS193</f>
    </nc>
  </rcc>
  <rcc rId="39963" sId="4">
    <nc r="BT194">
      <f>BO194+BP194+BQ194+BR194+BS194</f>
    </nc>
  </rcc>
  <rcc rId="39964" sId="4">
    <nc r="BT195">
      <f>BO195+BP195+BQ195+BR195+BS195</f>
    </nc>
  </rcc>
  <rcc rId="39965" sId="4">
    <nc r="BT197">
      <f>BO197+BP197+BQ197+BR197+BS197</f>
    </nc>
  </rcc>
  <rcc rId="39966" sId="4">
    <nc r="BT198">
      <f>BO198+BP198+BQ198+BR198+BS198</f>
    </nc>
  </rcc>
  <rcc rId="39967" sId="4">
    <nc r="BT199">
      <f>BO199+BP199+BQ199+BR199+BS199</f>
    </nc>
  </rcc>
  <rcc rId="39968" sId="4">
    <nc r="BT200">
      <f>BO200+BP200+BQ200+BR200+BS200</f>
    </nc>
  </rcc>
  <rcc rId="39969" sId="4">
    <nc r="BT201">
      <f>BO201+BP201+BQ201+BR201+BS201</f>
    </nc>
  </rcc>
  <rcc rId="39970" sId="4">
    <nc r="BT202">
      <f>BO202+BP202+BQ202+BR202+BS202</f>
    </nc>
  </rcc>
  <rcc rId="39971" sId="4">
    <nc r="BT203">
      <f>BO203+BP203+BQ203+BR203+BS203</f>
    </nc>
  </rcc>
  <rcc rId="39972" sId="4">
    <nc r="BT204">
      <f>BO204+BP204+BQ204+BR204+BS204</f>
    </nc>
  </rcc>
  <rcc rId="39973" sId="4">
    <nc r="BT205">
      <f>BO205+BP205+BQ205+BR205+BS205</f>
    </nc>
  </rcc>
  <rcc rId="39974" sId="4">
    <nc r="BT206">
      <f>BO206+BP206+BQ206+BR206+BS206</f>
    </nc>
  </rcc>
  <rcc rId="39975" sId="4">
    <nc r="BT207">
      <f>BO207+BP207+BQ207+BR207+BS207</f>
    </nc>
  </rcc>
  <rcc rId="39976" sId="4">
    <nc r="BT208">
      <f>BO208+BP208+BQ208+BR208+BS208</f>
    </nc>
  </rcc>
  <rcc rId="39977" sId="4">
    <nc r="BT209">
      <f>BO209+BP209+BQ209+BR209+BS209</f>
    </nc>
  </rcc>
  <rcc rId="39978" sId="4">
    <nc r="BT210">
      <f>BO210+BP210+BQ210+BR210+BS210</f>
    </nc>
  </rcc>
  <rcc rId="39979" sId="4">
    <nc r="BT211">
      <f>BO211+BP211+BQ211+BR211+BS211</f>
    </nc>
  </rcc>
  <rcc rId="39980" sId="4">
    <nc r="BT212">
      <f>BO212+BP212+BQ212+BR212+BS212</f>
    </nc>
  </rcc>
  <rcc rId="39981" sId="4">
    <nc r="BT213">
      <f>BO213+BP213+BQ213+BR213+BS213</f>
    </nc>
  </rcc>
  <rcc rId="39982" sId="4">
    <nc r="BT214">
      <f>BO214+BP214+BQ214+BR214+BS214</f>
    </nc>
  </rcc>
  <rcc rId="39983" sId="4">
    <nc r="BT215">
      <f>BO215+BP215+BQ215+BR215+BS215</f>
    </nc>
  </rcc>
  <rcc rId="39984" sId="4">
    <nc r="BT216">
      <f>BO216+BP216+BQ216+BR216+BS216</f>
    </nc>
  </rcc>
  <rcc rId="39985" sId="4">
    <nc r="BT217">
      <f>BO217+BP217+BQ217+BR217+BS217</f>
    </nc>
  </rcc>
  <rcc rId="39986" sId="4">
    <nc r="BT218">
      <f>BO218+BP218+BQ218+BR218+BS218</f>
    </nc>
  </rcc>
  <rcc rId="39987" sId="4">
    <nc r="BT219">
      <f>BO219+BP219+BQ219+BR219+BS219</f>
    </nc>
  </rcc>
  <rcc rId="39988" sId="4">
    <nc r="BT220">
      <f>BO220+BP220+BQ220+BR220+BS220</f>
    </nc>
  </rcc>
  <rcc rId="39989" sId="4">
    <nc r="BT221">
      <f>BO221+BP221+BQ221+BR221+BS221</f>
    </nc>
  </rcc>
  <rcc rId="39990" sId="4">
    <nc r="BT222">
      <f>BO222+BP222+BQ222+BR222+BS222</f>
    </nc>
  </rcc>
  <rcc rId="39991" sId="4">
    <nc r="BT223">
      <f>BO223+BP223+BQ223+BR223+BS223</f>
    </nc>
  </rcc>
  <rcc rId="39992" sId="4">
    <nc r="BT224">
      <f>BO224+BP224+BQ224+BR224+BS224</f>
    </nc>
  </rcc>
  <rcc rId="39993" sId="4">
    <nc r="BT225">
      <f>BO225+BP225+BQ225+BR225+BS225</f>
    </nc>
  </rcc>
  <rcc rId="39994" sId="4">
    <nc r="BT226">
      <f>BO226+BP226+BQ226+BR226+BS226</f>
    </nc>
  </rcc>
  <rcc rId="39995" sId="4">
    <nc r="BT227">
      <f>BO227+BP227+BQ227+BR227+BS227</f>
    </nc>
  </rcc>
  <rcc rId="39996" sId="4">
    <nc r="BT228">
      <f>BO228+BP228+BQ228+BR228+BS228</f>
    </nc>
  </rcc>
  <rcc rId="39997" sId="4">
    <nc r="BT229">
      <f>BO229+BP229+BQ229+BR229+BS229</f>
    </nc>
  </rcc>
  <rcc rId="39998" sId="4">
    <nc r="BT230">
      <f>BO230+BP230+BQ230+BR230+BS230</f>
    </nc>
  </rcc>
  <rcc rId="39999" sId="4">
    <nc r="BT231">
      <f>BO231+BP231+BQ231+BR231+BS231</f>
    </nc>
  </rcc>
  <rcc rId="40000" sId="4">
    <nc r="BT232">
      <f>BO232+BP232+BQ232+BR232+BS232</f>
    </nc>
  </rcc>
  <rcc rId="40001" sId="4">
    <nc r="BT233">
      <f>BO233+BP233+BQ233+BR233+BS233</f>
    </nc>
  </rcc>
  <rcc rId="40002" sId="4">
    <nc r="BT234">
      <f>BO234+BP234+BQ234+BR234+BS234</f>
    </nc>
  </rcc>
  <rcc rId="40003" sId="4">
    <nc r="BT235">
      <f>BO235+BP235+BQ235+BR235+BS235</f>
    </nc>
  </rcc>
  <rcc rId="40004" sId="4">
    <nc r="BT236">
      <f>BO236+BP236+BQ236+BR236+BS236</f>
    </nc>
  </rcc>
  <rcc rId="40005" sId="4">
    <nc r="BT237">
      <f>BO237+BP237+BQ237+BR237+BS237</f>
    </nc>
  </rcc>
  <rcc rId="40006" sId="4">
    <nc r="BT238">
      <f>BO238+BP238+BQ238+BR238+BS238</f>
    </nc>
  </rcc>
  <rcc rId="40007" sId="4">
    <nc r="BT239">
      <f>BO239+BP239+BQ239+BR239+BS239</f>
    </nc>
  </rcc>
  <rcc rId="40008" sId="4">
    <nc r="BT240">
      <f>BO240+BP240+BQ240+BR240+BS240</f>
    </nc>
  </rcc>
  <rfmt sheetId="4" sqref="BT41:BV41" start="0" length="0">
    <dxf>
      <border>
        <top style="medium">
          <color auto="1"/>
        </top>
      </border>
    </dxf>
  </rfmt>
  <rfmt sheetId="4" sqref="BT50:BV50">
    <dxf>
      <fill>
        <patternFill patternType="solid">
          <bgColor theme="0" tint="-0.249977111117893"/>
        </patternFill>
      </fill>
    </dxf>
  </rfmt>
  <rfmt sheetId="4" sqref="BT74:BV74" start="0" length="0">
    <dxf>
      <border>
        <top style="medium">
          <color auto="1"/>
        </top>
      </border>
    </dxf>
  </rfmt>
  <rfmt sheetId="4" sqref="BT84:BV84">
    <dxf>
      <fill>
        <patternFill patternType="solid">
          <bgColor theme="0" tint="-0.249977111117893"/>
        </patternFill>
      </fill>
    </dxf>
  </rfmt>
  <rfmt sheetId="4" sqref="BT108:BV108" start="0" length="0">
    <dxf>
      <border>
        <top style="medium">
          <color auto="1"/>
        </top>
      </border>
    </dxf>
  </rfmt>
  <rfmt sheetId="4" sqref="BT118:BV118">
    <dxf>
      <fill>
        <patternFill patternType="solid">
          <bgColor theme="0" tint="-0.249977111117893"/>
        </patternFill>
      </fill>
    </dxf>
  </rfmt>
  <rfmt sheetId="4" sqref="BT132:BV132" start="0" length="0">
    <dxf>
      <border>
        <top style="medium">
          <color auto="1"/>
        </top>
      </border>
    </dxf>
  </rfmt>
  <rfmt sheetId="4" sqref="BT144:BV144">
    <dxf>
      <fill>
        <patternFill patternType="solid">
          <bgColor theme="0" tint="-0.249977111117893"/>
        </patternFill>
      </fill>
    </dxf>
  </rfmt>
  <rfmt sheetId="4" sqref="BT165:BV165" start="0" length="0">
    <dxf>
      <border>
        <top style="medium">
          <color auto="1"/>
        </top>
      </border>
    </dxf>
  </rfmt>
  <rfmt sheetId="4" sqref="BT177:BV177">
    <dxf>
      <fill>
        <patternFill patternType="solid">
          <bgColor theme="0" tint="-0.249977111117893"/>
        </patternFill>
      </fill>
    </dxf>
  </rfmt>
  <rfmt sheetId="4" sqref="BT187:BV187" start="0" length="0">
    <dxf>
      <border>
        <top style="medium">
          <color auto="1"/>
        </top>
      </border>
    </dxf>
  </rfmt>
  <rfmt sheetId="4" sqref="BT196:BV196">
    <dxf>
      <fill>
        <patternFill patternType="solid">
          <bgColor theme="0" tint="-0.249977111117893"/>
        </patternFill>
      </fill>
    </dxf>
  </rfmt>
  <rfmt sheetId="4" sqref="BT221:BV221" start="0" length="0">
    <dxf>
      <border>
        <top style="medium">
          <color auto="1"/>
        </top>
      </border>
    </dxf>
  </rfmt>
  <rfmt sheetId="4" sqref="BT241:BV241">
    <dxf>
      <fill>
        <patternFill patternType="solid">
          <bgColor theme="0" tint="-0.249977111117893"/>
        </patternFill>
      </fill>
    </dxf>
  </rfmt>
  <rfmt sheetId="4" sqref="BT241:BV241" start="0" length="0">
    <dxf>
      <border>
        <top style="medium">
          <color auto="1"/>
        </top>
      </border>
    </dxf>
  </rfmt>
  <rdn rId="0" localSheetId="6" customView="1" name="Z_455630F5_40FC_47DB_8AD4_712C20B8FB91_.wvu.Rows" hidden="1" oldHidden="1">
    <oldFormula>'Sheet 5'!#REF!,'Sheet 5'!#REF!</oldFormula>
  </rdn>
  <rdn rId="0" localSheetId="7" customView="1" name="Z_455630F5_40FC_47DB_8AD4_712C20B8FB91_.wvu.Rows" hidden="1" oldHidden="1">
    <oldFormula>'Sheet 6'!#REF!</oldFormula>
  </rdn>
  <rcv guid="{455630F5-40FC-47DB-8AD4-712C20B8FB91}" action="delete"/>
  <rdn rId="0" localSheetId="2" customView="1" name="Z_455630F5_40FC_47DB_8AD4_712C20B8FB91_.wvu.Cols" hidden="1" oldHidden="1">
    <formula>'FY2013 by Approp Title'!$AA:$AA</formula>
    <oldFormula>'FY2013 by Approp Title'!$AA:$AA</oldFormula>
  </rdn>
  <rdn rId="0" localSheetId="3" customView="1" name="Z_455630F5_40FC_47DB_8AD4_712C20B8FB91_.wvu.Cols" hidden="1" oldHidden="1">
    <formula>'FY2013 By Approp Title-Adj'!$AA:$AA</formula>
    <oldFormula>'FY2013 By Approp Title-Adj'!$AA:$AA</oldFormula>
  </rdn>
  <rdn rId="0" localSheetId="4" customView="1" name="Z_455630F5_40FC_47DB_8AD4_712C20B8FB91_.wvu.Rows" hidden="1" oldHidden="1">
    <formula>'FY 2013 by Agency'!$1:$3,'FY 2013 by Agency'!$226:$240</formula>
    <oldFormula>'FY 2013 by Agency'!$1:$3,'FY 2013 by Agency'!$226:$240</oldFormula>
  </rdn>
  <rdn rId="0" localSheetId="4" customView="1" name="Z_455630F5_40FC_47DB_8AD4_712C20B8FB91_.wvu.Cols" hidden="1" oldHidden="1">
    <formula>'FY 2013 by Agency'!$D:$E,'FY 2013 by Agency'!$G:$H,'FY 2013 by Agency'!$J:$K,'FY 2013 by Agency'!$M:$N,'FY 2013 by Agency'!$P:$Q,'FY 2013 by Agency'!$S:$T,'FY 2013 by Agency'!$V:$W,'FY 2013 by Agency'!$Y:$Z,'FY 2013 by Agency'!$AB:$AE,'FY 2013 by Agency'!$AG:$AO,'FY 2013 by Agency'!$AV:$AW,'FY 2013 by Agency'!$AY:$AZ,'FY 2013 by Agency'!$BF:$BG</formula>
    <oldFormula>'FY 2013 by Agency'!$D:$E,'FY 2013 by Agency'!$G:$H,'FY 2013 by Agency'!$J:$K,'FY 2013 by Agency'!$M:$N,'FY 2013 by Agency'!$P:$Q,'FY 2013 by Agency'!$S:$T,'FY 2013 by Agency'!$V:$W,'FY 2013 by Agency'!$Y:$Z,'FY 2013 by Agency'!$AB:$AE,'FY 2013 by Agency'!$AG:$AO,'FY 2013 by Agency'!$AV:$AW,'FY 2013 by Agency'!$AY:$AZ,'FY 2013 by Agency'!$BF:$BG</oldFormula>
  </rdn>
  <rdn rId="0" localSheetId="5" customView="1" name="Z_455630F5_40FC_47DB_8AD4_712C20B8FB91_.wvu.Rows" hidden="1" oldHidden="1">
    <formula>'FY 2013 by Agency-Adj'!$1:$3,'FY 2013 by Agency-Adj'!$14:$14,'FY 2013 by Agency-Adj'!$19:$19,'FY 2013 by Agency-Adj'!$155:$155,'FY 2013 by Agency-Adj'!$162:$162,'FY 2013 by Agency-Adj'!$224:$238</formula>
    <oldFormula>'FY 2013 by Agency-Adj'!$1:$3,'FY 2013 by Agency-Adj'!$14:$14,'FY 2013 by Agency-Adj'!$19:$19,'FY 2013 by Agency-Adj'!$155:$155,'FY 2013 by Agency-Adj'!$162:$162,'FY 2013 by Agency-Adj'!$224:$238</oldFormula>
  </rdn>
  <rdn rId="0" localSheetId="5" customView="1" name="Z_455630F5_40FC_47DB_8AD4_712C20B8FB91_.wvu.Cols" hidden="1" oldHidden="1">
    <formula>'FY 2013 by Agency-Adj'!$AD:$AE,'FY 2013 by Agency-Adj'!$AI:$BK,'FY 2013 by Agency-Adj'!$BO:$BT</formula>
    <oldFormula>'FY 2013 by Agency-Adj'!$AD:$AE,'FY 2013 by Agency-Adj'!$AI:$BK,'FY 2013 by Agency-Adj'!$BO:$BT</oldFormula>
  </rdn>
  <rdn rId="0" localSheetId="8" customView="1" name="Z_455630F5_40FC_47DB_8AD4_712C20B8FB91_.wvu.Rows" hidden="1" oldHidden="1">
    <formula>'Sheet 4'!$1:$6</formula>
    <oldFormula>'Sheet 4'!$1:$6</oldFormula>
  </rdn>
  <rcv guid="{455630F5-40FC-47DB-8AD4-712C20B8FB91}" action="add"/>
</revisions>
</file>

<file path=xl/revisions/revisionLog131111.xml><?xml version="1.0" encoding="utf-8"?>
<revisions xmlns="http://schemas.openxmlformats.org/spreadsheetml/2006/main" xmlns:r="http://schemas.openxmlformats.org/officeDocument/2006/relationships">
  <rcv guid="{78CA186D-B240-44D5-8A24-D241DE0B0FD9}" action="delete"/>
  <rdn rId="0" localSheetId="2" customView="1" name="Z_78CA186D_B240_44D5_8A24_D241DE0B0FD9_.wvu.Cols" hidden="1" oldHidden="1">
    <formula>'FY2013 by Approp Title'!$AA:$AA</formula>
    <oldFormula>'FY2013 by Approp Title'!$AA:$AA</oldFormula>
  </rdn>
  <rdn rId="0" localSheetId="3" customView="1" name="Z_78CA186D_B240_44D5_8A24_D241DE0B0FD9_.wvu.Cols" hidden="1" oldHidden="1">
    <formula>'FY2013 By Approp Title-Adj'!$AA:$AA</formula>
    <oldFormula>'FY2013 By Approp Title-Adj'!$AA:$AA</oldFormula>
  </rdn>
  <rdn rId="0" localSheetId="4" customView="1" name="Z_78CA186D_B240_44D5_8A24_D241DE0B0FD9_.wvu.Rows" hidden="1" oldHidden="1">
    <formula>'FY 2013 by Agency'!$1:$3,'FY 2013 by Agency'!$226:$240</formula>
    <oldFormula>'FY 2013 by Agency'!$1:$3,'FY 2013 by Agency'!$226:$240</oldFormula>
  </rdn>
  <rdn rId="0" localSheetId="4" customView="1" name="Z_78CA186D_B240_44D5_8A24_D241DE0B0FD9_.wvu.Cols" hidden="1" oldHidden="1">
    <formula>'FY 2013 by Agency'!$D:$E,'FY 2013 by Agency'!$G:$H,'FY 2013 by Agency'!$J:$K,'FY 2013 by Agency'!$M:$N,'FY 2013 by Agency'!$P:$Q,'FY 2013 by Agency'!$S:$T,'FY 2013 by Agency'!$V:$W,'FY 2013 by Agency'!$Y:$Z,'FY 2013 by Agency'!$AB:$AE,'FY 2013 by Agency'!$AG:$AO,'FY 2013 by Agency'!$AV:$AW,'FY 2013 by Agency'!$AY:$AZ,'FY 2013 by Agency'!$BF:$BG</formula>
    <oldFormula>'FY 2013 by Agency'!$D:$E,'FY 2013 by Agency'!$G:$H,'FY 2013 by Agency'!$J:$K,'FY 2013 by Agency'!$M:$N,'FY 2013 by Agency'!$P:$Q,'FY 2013 by Agency'!$S:$T,'FY 2013 by Agency'!$V:$W,'FY 2013 by Agency'!$Y:$Z,'FY 2013 by Agency'!$AB:$AE,'FY 2013 by Agency'!$AG:$AO,'FY 2013 by Agency'!$AV:$AW,'FY 2013 by Agency'!$AY:$AZ,'FY 2013 by Agency'!$BF:$BG</oldFormula>
  </rdn>
  <rdn rId="0" localSheetId="5" customView="1" name="Z_78CA186D_B240_44D5_8A24_D241DE0B0FD9_.wvu.Rows" hidden="1" oldHidden="1">
    <formula>'FY 2013 by Agency-Adj'!$1:$3,'FY 2013 by Agency-Adj'!$14:$14,'FY 2013 by Agency-Adj'!$19:$19,'FY 2013 by Agency-Adj'!$155:$155,'FY 2013 by Agency-Adj'!$162:$162,'FY 2013 by Agency-Adj'!$224:$238</formula>
    <oldFormula>'FY 2013 by Agency-Adj'!$1:$3,'FY 2013 by Agency-Adj'!$14:$14,'FY 2013 by Agency-Adj'!$19:$19,'FY 2013 by Agency-Adj'!$155:$155,'FY 2013 by Agency-Adj'!$162:$162,'FY 2013 by Agency-Adj'!$224:$238</oldFormula>
  </rdn>
  <rdn rId="0" localSheetId="5" customView="1" name="Z_78CA186D_B240_44D5_8A24_D241DE0B0FD9_.wvu.Cols" hidden="1" oldHidden="1">
    <formula>'FY 2013 by Agency-Adj'!$AD:$AE,'FY 2013 by Agency-Adj'!$AI:$BK,'FY 2013 by Agency-Adj'!$BO:$BT</formula>
    <oldFormula>'FY 2013 by Agency-Adj'!$AD:$AE,'FY 2013 by Agency-Adj'!$AI:$BK,'FY 2013 by Agency-Adj'!$BO:$BT</oldFormula>
  </rdn>
  <rdn rId="0" localSheetId="8" customView="1" name="Z_78CA186D_B240_44D5_8A24_D241DE0B0FD9_.wvu.Rows" hidden="1" oldHidden="1">
    <formula>'Sheet 4'!$1:$6</formula>
    <oldFormula>'Sheet 4'!$1:$6</oldFormula>
  </rdn>
  <rcv guid="{78CA186D-B240-44D5-8A24-D241DE0B0FD9}" action="add"/>
</revisions>
</file>

<file path=xl/revisions/revisionLog1311111.xml><?xml version="1.0" encoding="utf-8"?>
<revisions xmlns="http://schemas.openxmlformats.org/spreadsheetml/2006/main" xmlns:r="http://schemas.openxmlformats.org/officeDocument/2006/relationships">
  <rcv guid="{78CA186D-B240-44D5-8A24-D241DE0B0FD9}" action="delete"/>
  <rdn rId="0" localSheetId="2" customView="1" name="Z_78CA186D_B240_44D5_8A24_D241DE0B0FD9_.wvu.Cols" hidden="1" oldHidden="1">
    <formula>'FY2013 by Approp Title'!$AA:$AA</formula>
    <oldFormula>'FY2013 by Approp Title'!$AA:$AA</oldFormula>
  </rdn>
  <rdn rId="0" localSheetId="3" customView="1" name="Z_78CA186D_B240_44D5_8A24_D241DE0B0FD9_.wvu.Cols" hidden="1" oldHidden="1">
    <formula>'FY2013 By Approp Title-Adj'!$AA:$AA</formula>
    <oldFormula>'FY2013 By Approp Title-Adj'!$AA:$AA</oldFormula>
  </rdn>
  <rdn rId="0" localSheetId="4" customView="1" name="Z_78CA186D_B240_44D5_8A24_D241DE0B0FD9_.wvu.Rows" hidden="1" oldHidden="1">
    <formula>'FY 2013 by Agency'!$1:$3,'FY 2013 by Agency'!$226:$240</formula>
    <oldFormula>'FY 2013 by Agency'!$1:$3,'FY 2013 by Agency'!$226:$240</oldFormula>
  </rdn>
  <rdn rId="0" localSheetId="4" customView="1" name="Z_78CA186D_B240_44D5_8A24_D241DE0B0FD9_.wvu.Cols" hidden="1" oldHidden="1">
    <formula>'FY 2013 by Agency'!$D:$E,'FY 2013 by Agency'!$G:$H,'FY 2013 by Agency'!$J:$K,'FY 2013 by Agency'!$M:$N,'FY 2013 by Agency'!$P:$Q,'FY 2013 by Agency'!$S:$T,'FY 2013 by Agency'!$V:$W,'FY 2013 by Agency'!$Y:$Z,'FY 2013 by Agency'!$AB:$AE,'FY 2013 by Agency'!$AG:$AO,'FY 2013 by Agency'!$AV:$AW,'FY 2013 by Agency'!$AY:$AZ,'FY 2013 by Agency'!$BF:$BG</formula>
    <oldFormula>'FY 2013 by Agency'!$D:$E,'FY 2013 by Agency'!$G:$H,'FY 2013 by Agency'!$J:$K,'FY 2013 by Agency'!$M:$N,'FY 2013 by Agency'!$P:$Q,'FY 2013 by Agency'!$S:$T,'FY 2013 by Agency'!$V:$W,'FY 2013 by Agency'!$Y:$Z,'FY 2013 by Agency'!$AB:$AE,'FY 2013 by Agency'!$AG:$AO,'FY 2013 by Agency'!$AV:$AW,'FY 2013 by Agency'!$AY:$AZ,'FY 2013 by Agency'!$BF:$BG</oldFormula>
  </rdn>
  <rdn rId="0" localSheetId="5" customView="1" name="Z_78CA186D_B240_44D5_8A24_D241DE0B0FD9_.wvu.Rows" hidden="1" oldHidden="1">
    <formula>'FY 2013 by Agency-Adj'!$1:$3,'FY 2013 by Agency-Adj'!$14:$14,'FY 2013 by Agency-Adj'!$19:$19,'FY 2013 by Agency-Adj'!$155:$155,'FY 2013 by Agency-Adj'!$162:$162,'FY 2013 by Agency-Adj'!$224:$238</formula>
    <oldFormula>'FY 2013 by Agency-Adj'!$1:$3,'FY 2013 by Agency-Adj'!$14:$14,'FY 2013 by Agency-Adj'!$19:$19,'FY 2013 by Agency-Adj'!$155:$155,'FY 2013 by Agency-Adj'!$162:$162,'FY 2013 by Agency-Adj'!$224:$238</oldFormula>
  </rdn>
  <rdn rId="0" localSheetId="5" customView="1" name="Z_78CA186D_B240_44D5_8A24_D241DE0B0FD9_.wvu.Cols" hidden="1" oldHidden="1">
    <formula>'FY 2013 by Agency-Adj'!$AD:$AE,'FY 2013 by Agency-Adj'!$AI:$BK,'FY 2013 by Agency-Adj'!$BO:$BT</formula>
    <oldFormula>'FY 2013 by Agency-Adj'!$AD:$AE,'FY 2013 by Agency-Adj'!$AI:$BK,'FY 2013 by Agency-Adj'!$BO:$BT</oldFormula>
  </rdn>
  <rdn rId="0" localSheetId="8" customView="1" name="Z_78CA186D_B240_44D5_8A24_D241DE0B0FD9_.wvu.Rows" hidden="1" oldHidden="1">
    <formula>'Sheet 4'!$1:$6</formula>
    <oldFormula>'Sheet 4'!$1:$6</oldFormula>
  </rdn>
  <rcv guid="{78CA186D-B240-44D5-8A24-D241DE0B0FD9}" action="add"/>
</revisions>
</file>

<file path=xl/revisions/revisionLog1312.xml><?xml version="1.0" encoding="utf-8"?>
<revisions xmlns="http://schemas.openxmlformats.org/spreadsheetml/2006/main" xmlns:r="http://schemas.openxmlformats.org/officeDocument/2006/relationships">
  <rcc rId="41375" sId="4" numFmtId="11">
    <oc r="BP120">
      <v>44880660.832675785</v>
    </oc>
    <nc r="BP120">
      <v>44880</v>
    </nc>
  </rcc>
  <rcc rId="41376" sId="4" numFmtId="11">
    <oc r="BP122">
      <v>4249886</v>
    </oc>
    <nc r="BP122">
      <v>4249</v>
    </nc>
  </rcc>
  <rcc rId="41377" sId="4" numFmtId="11">
    <oc r="BP124">
      <v>54360</v>
    </oc>
    <nc r="BP124">
      <v>54</v>
    </nc>
  </rcc>
  <rcc rId="41378" sId="4" numFmtId="11">
    <oc r="BP125">
      <v>2616201</v>
    </oc>
    <nc r="BP125">
      <v>2616</v>
    </nc>
  </rcc>
  <rcc rId="41379" sId="4" numFmtId="11">
    <oc r="BP127">
      <v>832527</v>
    </oc>
    <nc r="BP127">
      <v>832</v>
    </nc>
  </rcc>
  <rcc rId="41380" sId="4" numFmtId="11">
    <oc r="BP128">
      <v>391726</v>
    </oc>
    <nc r="BP128">
      <v>391</v>
    </nc>
  </rcc>
  <rcc rId="41381" sId="4">
    <oc r="BS120">
      <v>152000</v>
    </oc>
    <nc r="BS120">
      <v>152</v>
    </nc>
  </rcc>
  <rcc rId="41382" sId="4">
    <oc r="BS122">
      <v>128983</v>
    </oc>
    <nc r="BS122">
      <v>128</v>
    </nc>
  </rcc>
  <rcc rId="41383" sId="4">
    <oc r="BS125">
      <v>2590</v>
    </oc>
    <nc r="BS125">
      <v>2</v>
    </nc>
  </rcc>
  <rcc rId="41384" sId="4">
    <oc r="BS127">
      <v>250</v>
    </oc>
    <nc r="BS127">
      <v>0.25</v>
    </nc>
  </rcc>
  <rcc rId="41385" sId="4">
    <oc r="BS128">
      <v>2140</v>
    </oc>
    <nc r="BS128">
      <v>2</v>
    </nc>
  </rcc>
  <rcv guid="{50528D02-548E-47E0-94D7-D1E79CD3569C}" action="delete"/>
  <rdn rId="0" localSheetId="2" customView="1" name="Z_50528D02_548E_47E0_94D7_D1E79CD3569C_.wvu.Cols" hidden="1" oldHidden="1">
    <formula>'FY2013 by Approp Title'!$AA:$AA</formula>
    <oldFormula>'FY2013 by Approp Title'!$AA:$AA</oldFormula>
  </rdn>
  <rdn rId="0" localSheetId="3" customView="1" name="Z_50528D02_548E_47E0_94D7_D1E79CD3569C_.wvu.Cols" hidden="1" oldHidden="1">
    <formula>'FY2013 By Approp Title-Adj'!$AA:$AA</formula>
    <oldFormula>'FY2013 By Approp Title-Adj'!$AA:$AA</oldFormula>
  </rdn>
  <rdn rId="0" localSheetId="4" customView="1" name="Z_50528D02_548E_47E0_94D7_D1E79CD3569C_.wvu.Rows" hidden="1" oldHidden="1">
    <formula>'FY 2013 by Agency'!$1:$3,'FY 2013 by Agency'!$226:$240</formula>
    <oldFormula>'FY 2013 by Agency'!$1:$3,'FY 2013 by Agency'!$226:$240</oldFormula>
  </rdn>
  <rdn rId="0" localSheetId="4" customView="1" name="Z_50528D02_548E_47E0_94D7_D1E79CD3569C_.wvu.Cols" hidden="1" oldHidden="1">
    <formula>'FY 2013 by Agency'!$D:$E,'FY 2013 by Agency'!$G:$H,'FY 2013 by Agency'!$J:$K,'FY 2013 by Agency'!$M:$N,'FY 2013 by Agency'!$P:$Q,'FY 2013 by Agency'!$S:$T,'FY 2013 by Agency'!$V:$W,'FY 2013 by Agency'!$Y:$Z,'FY 2013 by Agency'!$AB:$AE,'FY 2013 by Agency'!$AG:$AO,'FY 2013 by Agency'!$AV:$AW,'FY 2013 by Agency'!$AY:$AZ,'FY 2013 by Agency'!$BF:$BG</formula>
    <oldFormula>'FY 2013 by Agency'!$D:$E,'FY 2013 by Agency'!$G:$H,'FY 2013 by Agency'!$J:$K,'FY 2013 by Agency'!$M:$N,'FY 2013 by Agency'!$P:$Q,'FY 2013 by Agency'!$S:$T,'FY 2013 by Agency'!$V:$W,'FY 2013 by Agency'!$Y:$Z,'FY 2013 by Agency'!$AB:$AE,'FY 2013 by Agency'!$AG:$AO,'FY 2013 by Agency'!$AV:$AW,'FY 2013 by Agency'!$AY:$AZ,'FY 2013 by Agency'!$BF:$BG</oldFormula>
  </rdn>
  <rdn rId="0" localSheetId="5" customView="1" name="Z_50528D02_548E_47E0_94D7_D1E79CD3569C_.wvu.Rows" hidden="1" oldHidden="1">
    <formula>'FY 2013 by Agency-Adj'!$1:$3,'FY 2013 by Agency-Adj'!$14:$14,'FY 2013 by Agency-Adj'!$19:$19,'FY 2013 by Agency-Adj'!$156:$156,'FY 2013 by Agency-Adj'!$163:$163,'FY 2013 by Agency-Adj'!$227:$241</formula>
    <oldFormula>'FY 2013 by Agency-Adj'!$1:$3,'FY 2013 by Agency-Adj'!$14:$14,'FY 2013 by Agency-Adj'!$19:$19,'FY 2013 by Agency-Adj'!$156:$156,'FY 2013 by Agency-Adj'!$163:$163,'FY 2013 by Agency-Adj'!$227:$241</oldFormula>
  </rdn>
  <rdn rId="0" localSheetId="5" customView="1" name="Z_50528D02_548E_47E0_94D7_D1E79CD3569C_.wvu.Cols" hidden="1" oldHidden="1">
    <formula>'FY 2013 by Agency-Adj'!$AD:$AE,'FY 2013 by Agency-Adj'!$AI:$BK,'FY 2013 by Agency-Adj'!$BO:$BT</formula>
    <oldFormula>'FY 2013 by Agency-Adj'!$AD:$AE,'FY 2013 by Agency-Adj'!$AI:$BK,'FY 2013 by Agency-Adj'!$BO:$BT</oldFormula>
  </rdn>
  <rdn rId="0" localSheetId="8" customView="1" name="Z_50528D02_548E_47E0_94D7_D1E79CD3569C_.wvu.Rows" hidden="1" oldHidden="1">
    <formula>'Sheet 4'!$1:$6</formula>
    <oldFormula>'Sheet 4'!$1:$6</oldFormula>
  </rdn>
  <rcv guid="{50528D02-548E-47E0-94D7-D1E79CD3569C}" action="add"/>
</revisions>
</file>

<file path=xl/revisions/revisionLog13121.xml><?xml version="1.0" encoding="utf-8"?>
<revisions xmlns="http://schemas.openxmlformats.org/spreadsheetml/2006/main" xmlns:r="http://schemas.openxmlformats.org/officeDocument/2006/relationships">
  <rfmt sheetId="4" sqref="BP178" start="0" length="0">
    <dxf>
      <numFmt numFmtId="3" formatCode="#,##0"/>
    </dxf>
  </rfmt>
  <rcc rId="41295" sId="4">
    <nc r="BP179">
      <v>12750</v>
    </nc>
  </rcc>
  <rcc rId="41296" sId="4">
    <nc r="BP181">
      <v>4139</v>
    </nc>
  </rcc>
  <rcc rId="41297" sId="4" numFmtId="4">
    <nc r="BP178">
      <v>6305</v>
    </nc>
  </rcc>
  <rcc rId="41298" sId="4">
    <nc r="BP180">
      <v>4167</v>
    </nc>
  </rcc>
  <rcc rId="41299" sId="4">
    <nc r="BP182">
      <v>454</v>
    </nc>
  </rcc>
  <rfmt sheetId="4" sqref="BP182">
    <dxf>
      <font>
        <b val="0"/>
        <i val="0"/>
        <strike val="0"/>
        <condense val="0"/>
        <extend val="0"/>
        <outline val="0"/>
        <shadow val="0"/>
        <u val="none"/>
        <vertAlign val="baseline"/>
        <sz val="10"/>
        <color auto="1"/>
        <name val="Arial"/>
        <scheme val="none"/>
      </font>
      <fill>
        <patternFill patternType="none">
          <fgColor indexed="64"/>
          <bgColor indexed="65"/>
        </patternFill>
      </fill>
    </dxf>
  </rfmt>
  <rcc rId="41300" sId="4">
    <nc r="BS179">
      <v>8</v>
    </nc>
  </rcc>
  <rcc rId="41301" sId="4">
    <nc r="BS181">
      <v>20</v>
    </nc>
  </rcc>
  <rcc rId="41302" sId="4">
    <nc r="BS178">
      <v>2</v>
    </nc>
  </rcc>
  <rcc rId="41303" sId="4">
    <nc r="BS180">
      <v>1612</v>
    </nc>
  </rcc>
  <rcv guid="{78CA186D-B240-44D5-8A24-D241DE0B0FD9}" action="delete"/>
  <rdn rId="0" localSheetId="2" customView="1" name="Z_78CA186D_B240_44D5_8A24_D241DE0B0FD9_.wvu.Cols" hidden="1" oldHidden="1">
    <formula>'FY2013 by Approp Title'!$AA:$AA</formula>
    <oldFormula>'FY2013 by Approp Title'!$AA:$AA</oldFormula>
  </rdn>
  <rdn rId="0" localSheetId="3" customView="1" name="Z_78CA186D_B240_44D5_8A24_D241DE0B0FD9_.wvu.Cols" hidden="1" oldHidden="1">
    <formula>'FY2013 By Approp Title-Adj'!$AA:$AA</formula>
    <oldFormula>'FY2013 By Approp Title-Adj'!$AA:$AA</oldFormula>
  </rdn>
  <rdn rId="0" localSheetId="4" customView="1" name="Z_78CA186D_B240_44D5_8A24_D241DE0B0FD9_.wvu.Rows" hidden="1" oldHidden="1">
    <formula>'FY 2013 by Agency'!$1:$3,'FY 2013 by Agency'!$226:$240</formula>
    <oldFormula>'FY 2013 by Agency'!$1:$3,'FY 2013 by Agency'!$226:$240</oldFormula>
  </rdn>
  <rdn rId="0" localSheetId="4" customView="1" name="Z_78CA186D_B240_44D5_8A24_D241DE0B0FD9_.wvu.Cols" hidden="1" oldHidden="1">
    <formula>'FY 2013 by Agency'!$D:$E,'FY 2013 by Agency'!$G:$H,'FY 2013 by Agency'!$J:$K,'FY 2013 by Agency'!$M:$N,'FY 2013 by Agency'!$P:$Q,'FY 2013 by Agency'!$S:$T,'FY 2013 by Agency'!$V:$W,'FY 2013 by Agency'!$Y:$Z,'FY 2013 by Agency'!$AB:$AE,'FY 2013 by Agency'!$AV:$AW,'FY 2013 by Agency'!$AY:$AZ,'FY 2013 by Agency'!$BF:$BG,'FY 2013 by Agency'!$BM:$BN</formula>
    <oldFormula>'FY 2013 by Agency'!$D:$E,'FY 2013 by Agency'!$G:$H,'FY 2013 by Agency'!$J:$K,'FY 2013 by Agency'!$M:$N,'FY 2013 by Agency'!$P:$Q,'FY 2013 by Agency'!$S:$T,'FY 2013 by Agency'!$V:$W,'FY 2013 by Agency'!$Y:$Z,'FY 2013 by Agency'!$AB:$AE,'FY 2013 by Agency'!$AV:$AW,'FY 2013 by Agency'!$AY:$AZ,'FY 2013 by Agency'!$BF:$BG,'FY 2013 by Agency'!$BM:$BN</oldFormula>
  </rdn>
  <rdn rId="0" localSheetId="5" customView="1" name="Z_78CA186D_B240_44D5_8A24_D241DE0B0FD9_.wvu.Rows" hidden="1" oldHidden="1">
    <formula>'FY 2013 by Agency-Adj'!$1:$3,'FY 2013 by Agency-Adj'!$14:$14,'FY 2013 by Agency-Adj'!$19:$19,'FY 2013 by Agency-Adj'!$156:$156,'FY 2013 by Agency-Adj'!$163:$163,'FY 2013 by Agency-Adj'!$227:$241</formula>
    <oldFormula>'FY 2013 by Agency-Adj'!$1:$3,'FY 2013 by Agency-Adj'!$14:$14,'FY 2013 by Agency-Adj'!$19:$19,'FY 2013 by Agency-Adj'!$156:$156,'FY 2013 by Agency-Adj'!$163:$163,'FY 2013 by Agency-Adj'!$227:$241</oldFormula>
  </rdn>
  <rdn rId="0" localSheetId="5" customView="1" name="Z_78CA186D_B240_44D5_8A24_D241DE0B0FD9_.wvu.Cols" hidden="1" oldHidden="1">
    <formula>'FY 2013 by Agency-Adj'!$AD:$AE,'FY 2013 by Agency-Adj'!$AI:$BK,'FY 2013 by Agency-Adj'!$BO:$BT</formula>
    <oldFormula>'FY 2013 by Agency-Adj'!$AD:$AE,'FY 2013 by Agency-Adj'!$AI:$BK,'FY 2013 by Agency-Adj'!$BO:$BT</oldFormula>
  </rdn>
  <rdn rId="0" localSheetId="8" customView="1" name="Z_78CA186D_B240_44D5_8A24_D241DE0B0FD9_.wvu.Rows" hidden="1" oldHidden="1">
    <formula>'Sheet 4'!$1:$6</formula>
    <oldFormula>'Sheet 4'!$1:$6</oldFormula>
  </rdn>
  <rcv guid="{78CA186D-B240-44D5-8A24-D241DE0B0FD9}" action="add"/>
</revisions>
</file>

<file path=xl/revisions/revisionLog131211.xml><?xml version="1.0" encoding="utf-8"?>
<revisions xmlns="http://schemas.openxmlformats.org/spreadsheetml/2006/main" xmlns:r="http://schemas.openxmlformats.org/officeDocument/2006/relationships">
  <rcc rId="40668" sId="4">
    <oc r="BU7">
      <f>BT7-BL7</f>
    </oc>
    <nc r="BU7">
      <f>BT7-BL7</f>
    </nc>
  </rcc>
  <rcc rId="40669" sId="5">
    <oc r="BL5" t="inlineStr">
      <is>
        <t>Approved + Fixed Costs</t>
      </is>
    </oc>
    <nc r="BL5" t="inlineStr">
      <is>
        <t>Actual</t>
      </is>
    </nc>
  </rcc>
  <rcc rId="40670" sId="4">
    <oc r="AS31">
      <f>AX31+AR31</f>
    </oc>
    <nc r="AS31">
      <f>AX31+AR31</f>
    </nc>
  </rcc>
  <rcc rId="40671" sId="4">
    <oc r="AS7">
      <f>AX7+AR7</f>
    </oc>
    <nc r="AS7">
      <f>BB7+AR7</f>
    </nc>
  </rcc>
  <rcc rId="40672" sId="4">
    <oc r="AS5" t="inlineStr">
      <is>
        <t>Approved + Fixed Costs</t>
      </is>
    </oc>
    <nc r="AS5" t="inlineStr">
      <is>
        <t>Actual + Fixed Costs</t>
      </is>
    </nc>
  </rcc>
  <rcv guid="{78CA186D-B240-44D5-8A24-D241DE0B0FD9}" action="delete"/>
  <rdn rId="0" localSheetId="2" customView="1" name="Z_78CA186D_B240_44D5_8A24_D241DE0B0FD9_.wvu.Cols" hidden="1" oldHidden="1">
    <formula>'FY2013 by Approp Title'!$AA:$AA</formula>
    <oldFormula>'FY2013 by Approp Title'!$AA:$AA</oldFormula>
  </rdn>
  <rdn rId="0" localSheetId="3" customView="1" name="Z_78CA186D_B240_44D5_8A24_D241DE0B0FD9_.wvu.Cols" hidden="1" oldHidden="1">
    <formula>'FY2013 By Approp Title-Adj'!$AA:$AA</formula>
    <oldFormula>'FY2013 By Approp Title-Adj'!$AA:$AA</oldFormula>
  </rdn>
  <rdn rId="0" localSheetId="4" customView="1" name="Z_78CA186D_B240_44D5_8A24_D241DE0B0FD9_.wvu.Rows" hidden="1" oldHidden="1">
    <formula>'FY 2013 by Agency'!$1:$3,'FY 2013 by Agency'!$226:$240</formula>
    <oldFormula>'FY 2013 by Agency'!$1:$3,'FY 2013 by Agency'!$226:$240</oldFormula>
  </rdn>
  <rdn rId="0" localSheetId="4" customView="1" name="Z_78CA186D_B240_44D5_8A24_D241DE0B0FD9_.wvu.Cols" hidden="1" oldHidden="1">
    <formula>'FY 2013 by Agency'!$D:$E,'FY 2013 by Agency'!$G:$H,'FY 2013 by Agency'!$J:$K,'FY 2013 by Agency'!$M:$N,'FY 2013 by Agency'!$P:$Q,'FY 2013 by Agency'!$S:$T,'FY 2013 by Agency'!$V:$W,'FY 2013 by Agency'!$Y:$Z,'FY 2013 by Agency'!$AB:$AE,'FY 2013 by Agency'!$AG:$AO,'FY 2013 by Agency'!$AV:$AW,'FY 2013 by Agency'!$AY:$AZ,'FY 2013 by Agency'!$BF:$BG</formula>
    <oldFormula>'FY 2013 by Agency'!$D:$E,'FY 2013 by Agency'!$G:$H,'FY 2013 by Agency'!$J:$K,'FY 2013 by Agency'!$M:$N,'FY 2013 by Agency'!$P:$Q,'FY 2013 by Agency'!$S:$T,'FY 2013 by Agency'!$V:$W,'FY 2013 by Agency'!$Y:$Z,'FY 2013 by Agency'!$AB:$AE,'FY 2013 by Agency'!$AG:$AO,'FY 2013 by Agency'!$AV:$AW,'FY 2013 by Agency'!$AY:$AZ,'FY 2013 by Agency'!$BF:$BG</oldFormula>
  </rdn>
  <rdn rId="0" localSheetId="5" customView="1" name="Z_78CA186D_B240_44D5_8A24_D241DE0B0FD9_.wvu.Rows" hidden="1" oldHidden="1">
    <formula>'FY 2013 by Agency-Adj'!$1:$3,'FY 2013 by Agency-Adj'!$14:$14,'FY 2013 by Agency-Adj'!$19:$19,'FY 2013 by Agency-Adj'!$156:$156,'FY 2013 by Agency-Adj'!$163:$163,'FY 2013 by Agency-Adj'!$227:$241</formula>
    <oldFormula>'FY 2013 by Agency-Adj'!$1:$3,'FY 2013 by Agency-Adj'!$14:$14,'FY 2013 by Agency-Adj'!$19:$19,'FY 2013 by Agency-Adj'!$156:$156,'FY 2013 by Agency-Adj'!$163:$163,'FY 2013 by Agency-Adj'!$227:$241</oldFormula>
  </rdn>
  <rdn rId="0" localSheetId="5" customView="1" name="Z_78CA186D_B240_44D5_8A24_D241DE0B0FD9_.wvu.Cols" hidden="1" oldHidden="1">
    <formula>'FY 2013 by Agency-Adj'!$AD:$AE,'FY 2013 by Agency-Adj'!$AI:$BK,'FY 2013 by Agency-Adj'!$BO:$BT</formula>
    <oldFormula>'FY 2013 by Agency-Adj'!$AD:$AE,'FY 2013 by Agency-Adj'!$AI:$BK,'FY 2013 by Agency-Adj'!$BO:$BT</oldFormula>
  </rdn>
  <rdn rId="0" localSheetId="8" customView="1" name="Z_78CA186D_B240_44D5_8A24_D241DE0B0FD9_.wvu.Rows" hidden="1" oldHidden="1">
    <formula>'Sheet 4'!$1:$6</formula>
    <oldFormula>'Sheet 4'!$1:$6</oldFormula>
  </rdn>
  <rcv guid="{78CA186D-B240-44D5-8A24-D241DE0B0FD9}" action="add"/>
</revisions>
</file>

<file path=xl/revisions/revisionLog13122.xml><?xml version="1.0" encoding="utf-8"?>
<revisions xmlns="http://schemas.openxmlformats.org/spreadsheetml/2006/main" xmlns:r="http://schemas.openxmlformats.org/officeDocument/2006/relationships">
  <rfmt sheetId="4" sqref="BT178:BT187">
    <dxf>
      <numFmt numFmtId="3" formatCode="#,##0"/>
    </dxf>
  </rfmt>
  <rfmt sheetId="4" sqref="BP178:BS186">
    <dxf>
      <numFmt numFmtId="3" formatCode="#,##0"/>
    </dxf>
  </rfmt>
  <rcv guid="{78CA186D-B240-44D5-8A24-D241DE0B0FD9}" action="delete"/>
  <rdn rId="0" localSheetId="2" customView="1" name="Z_78CA186D_B240_44D5_8A24_D241DE0B0FD9_.wvu.Cols" hidden="1" oldHidden="1">
    <formula>'FY2013 by Approp Title'!$AA:$AA</formula>
    <oldFormula>'FY2013 by Approp Title'!$AA:$AA</oldFormula>
  </rdn>
  <rdn rId="0" localSheetId="3" customView="1" name="Z_78CA186D_B240_44D5_8A24_D241DE0B0FD9_.wvu.Cols" hidden="1" oldHidden="1">
    <formula>'FY2013 By Approp Title-Adj'!$AA:$AA</formula>
    <oldFormula>'FY2013 By Approp Title-Adj'!$AA:$AA</oldFormula>
  </rdn>
  <rdn rId="0" localSheetId="4" customView="1" name="Z_78CA186D_B240_44D5_8A24_D241DE0B0FD9_.wvu.Rows" hidden="1" oldHidden="1">
    <formula>'FY 2013 by Agency'!$1:$3,'FY 2013 by Agency'!$226:$240</formula>
    <oldFormula>'FY 2013 by Agency'!$1:$3,'FY 2013 by Agency'!$226:$240</oldFormula>
  </rdn>
  <rdn rId="0" localSheetId="4" customView="1" name="Z_78CA186D_B240_44D5_8A24_D241DE0B0FD9_.wvu.Cols" hidden="1" oldHidden="1">
    <formula>'FY 2013 by Agency'!$D:$E,'FY 2013 by Agency'!$G:$H,'FY 2013 by Agency'!$J:$K,'FY 2013 by Agency'!$M:$N,'FY 2013 by Agency'!$P:$Q,'FY 2013 by Agency'!$S:$T,'FY 2013 by Agency'!$V:$W,'FY 2013 by Agency'!$Y:$Z,'FY 2013 by Agency'!$AB:$AE,'FY 2013 by Agency'!$AV:$AW,'FY 2013 by Agency'!$AY:$AZ,'FY 2013 by Agency'!$BF:$BG,'FY 2013 by Agency'!$BM:$BN</formula>
    <oldFormula>'FY 2013 by Agency'!$D:$E,'FY 2013 by Agency'!$G:$H,'FY 2013 by Agency'!$J:$K,'FY 2013 by Agency'!$M:$N,'FY 2013 by Agency'!$P:$Q,'FY 2013 by Agency'!$S:$T,'FY 2013 by Agency'!$V:$W,'FY 2013 by Agency'!$Y:$Z,'FY 2013 by Agency'!$AB:$AE,'FY 2013 by Agency'!$AV:$AW,'FY 2013 by Agency'!$AY:$AZ,'FY 2013 by Agency'!$BF:$BG,'FY 2013 by Agency'!$BM:$BN</oldFormula>
  </rdn>
  <rdn rId="0" localSheetId="5" customView="1" name="Z_78CA186D_B240_44D5_8A24_D241DE0B0FD9_.wvu.Rows" hidden="1" oldHidden="1">
    <formula>'FY 2013 by Agency-Adj'!$1:$3,'FY 2013 by Agency-Adj'!$14:$14,'FY 2013 by Agency-Adj'!$19:$19,'FY 2013 by Agency-Adj'!$156:$156,'FY 2013 by Agency-Adj'!$163:$163,'FY 2013 by Agency-Adj'!$227:$241</formula>
    <oldFormula>'FY 2013 by Agency-Adj'!$1:$3,'FY 2013 by Agency-Adj'!$14:$14,'FY 2013 by Agency-Adj'!$19:$19,'FY 2013 by Agency-Adj'!$156:$156,'FY 2013 by Agency-Adj'!$163:$163,'FY 2013 by Agency-Adj'!$227:$241</oldFormula>
  </rdn>
  <rdn rId="0" localSheetId="5" customView="1" name="Z_78CA186D_B240_44D5_8A24_D241DE0B0FD9_.wvu.Cols" hidden="1" oldHidden="1">
    <formula>'FY 2013 by Agency-Adj'!$AD:$AE,'FY 2013 by Agency-Adj'!$AI:$BK,'FY 2013 by Agency-Adj'!$BO:$BT</formula>
    <oldFormula>'FY 2013 by Agency-Adj'!$AD:$AE,'FY 2013 by Agency-Adj'!$AI:$BK,'FY 2013 by Agency-Adj'!$BO:$BT</oldFormula>
  </rdn>
  <rdn rId="0" localSheetId="8" customView="1" name="Z_78CA186D_B240_44D5_8A24_D241DE0B0FD9_.wvu.Rows" hidden="1" oldHidden="1">
    <formula>'Sheet 4'!$1:$6</formula>
    <oldFormula>'Sheet 4'!$1:$6</oldFormula>
  </rdn>
  <rcv guid="{78CA186D-B240-44D5-8A24-D241DE0B0FD9}" action="add"/>
</revisions>
</file>

<file path=xl/revisions/revisionLog132.xml><?xml version="1.0" encoding="utf-8"?>
<revisions xmlns="http://schemas.openxmlformats.org/spreadsheetml/2006/main" xmlns:r="http://schemas.openxmlformats.org/officeDocument/2006/relationships">
  <rcc rId="40921" sId="4" xfDxf="1" dxf="1" numFmtId="14">
    <nc r="BO7">
      <v>20194</v>
    </nc>
    <ndxf>
      <font/>
      <numFmt numFmtId="14" formatCode="0.00%"/>
    </ndxf>
  </rcc>
  <rfmt sheetId="4" sqref="BO7:BO41">
    <dxf>
      <numFmt numFmtId="165" formatCode="&quot;$&quot;#,##0"/>
    </dxf>
  </rfmt>
  <rfmt sheetId="4" sqref="BO42:BO242">
    <dxf>
      <numFmt numFmtId="3" formatCode="#,##0"/>
    </dxf>
  </rfmt>
  <rcc rId="40922" sId="4" xfDxf="1" dxf="1" numFmtId="11">
    <nc r="BO8">
      <v>3751</v>
    </nc>
    <ndxf>
      <font/>
      <numFmt numFmtId="165" formatCode="&quot;$&quot;#,##0"/>
    </ndxf>
  </rcc>
  <rcc rId="40923" sId="4" xfDxf="1" dxf="1" numFmtId="11">
    <nc r="BO9">
      <v>894</v>
    </nc>
    <ndxf>
      <font/>
      <numFmt numFmtId="165" formatCode="&quot;$&quot;#,##0"/>
    </ndxf>
  </rcc>
  <rcv guid="{455630F5-40FC-47DB-8AD4-712C20B8FB91}" action="delete"/>
  <rdn rId="0" localSheetId="2" customView="1" name="Z_455630F5_40FC_47DB_8AD4_712C20B8FB91_.wvu.Cols" hidden="1" oldHidden="1">
    <formula>'FY2013 by Approp Title'!$AA:$AA</formula>
    <oldFormula>'FY2013 by Approp Title'!$AA:$AA</oldFormula>
  </rdn>
  <rdn rId="0" localSheetId="3" customView="1" name="Z_455630F5_40FC_47DB_8AD4_712C20B8FB91_.wvu.Cols" hidden="1" oldHidden="1">
    <formula>'FY2013 By Approp Title-Adj'!$AA:$AA</formula>
    <oldFormula>'FY2013 By Approp Title-Adj'!$AA:$AA</oldFormula>
  </rdn>
  <rdn rId="0" localSheetId="4" customView="1" name="Z_455630F5_40FC_47DB_8AD4_712C20B8FB91_.wvu.Rows" hidden="1" oldHidden="1">
    <formula>'FY 2013 by Agency'!$1:$3,'FY 2013 by Agency'!$226:$240</formula>
    <oldFormula>'FY 2013 by Agency'!$1:$3,'FY 2013 by Agency'!$226:$240</oldFormula>
  </rdn>
  <rdn rId="0" localSheetId="4" customView="1" name="Z_455630F5_40FC_47DB_8AD4_712C20B8FB91_.wvu.Cols" hidden="1" oldHidden="1">
    <formula>'FY 2013 by Agency'!$D:$E,'FY 2013 by Agency'!$G:$H,'FY 2013 by Agency'!$J:$K,'FY 2013 by Agency'!$M:$N,'FY 2013 by Agency'!$P:$Q,'FY 2013 by Agency'!$S:$T,'FY 2013 by Agency'!$V:$W,'FY 2013 by Agency'!$Y:$Z,'FY 2013 by Agency'!$AB:$AE,'FY 2013 by Agency'!$AG:$AO,'FY 2013 by Agency'!$AV:$AW,'FY 2013 by Agency'!$AY:$AZ,'FY 2013 by Agency'!$BF:$BG</formula>
    <oldFormula>'FY 2013 by Agency'!$D:$E,'FY 2013 by Agency'!$G:$H,'FY 2013 by Agency'!$J:$K,'FY 2013 by Agency'!$M:$N,'FY 2013 by Agency'!$P:$Q,'FY 2013 by Agency'!$S:$T,'FY 2013 by Agency'!$V:$W,'FY 2013 by Agency'!$Y:$Z,'FY 2013 by Agency'!$AB:$AE,'FY 2013 by Agency'!$AG:$AO,'FY 2013 by Agency'!$AV:$AW,'FY 2013 by Agency'!$AY:$AZ,'FY 2013 by Agency'!$BF:$BG</oldFormula>
  </rdn>
  <rdn rId="0" localSheetId="5" customView="1" name="Z_455630F5_40FC_47DB_8AD4_712C20B8FB91_.wvu.Rows" hidden="1" oldHidden="1">
    <formula>'FY 2013 by Agency-Adj'!$1:$3,'FY 2013 by Agency-Adj'!$14:$14,'FY 2013 by Agency-Adj'!$19:$19,'FY 2013 by Agency-Adj'!$156:$156,'FY 2013 by Agency-Adj'!$163:$163,'FY 2013 by Agency-Adj'!$227:$241</formula>
    <oldFormula>'FY 2013 by Agency-Adj'!$1:$3,'FY 2013 by Agency-Adj'!$14:$14,'FY 2013 by Agency-Adj'!$19:$19,'FY 2013 by Agency-Adj'!$156:$156,'FY 2013 by Agency-Adj'!$163:$163,'FY 2013 by Agency-Adj'!$227:$241</oldFormula>
  </rdn>
  <rdn rId="0" localSheetId="5" customView="1" name="Z_455630F5_40FC_47DB_8AD4_712C20B8FB91_.wvu.Cols" hidden="1" oldHidden="1">
    <formula>'FY 2013 by Agency-Adj'!$AD:$AE,'FY 2013 by Agency-Adj'!$AI:$BK,'FY 2013 by Agency-Adj'!$BO:$BT</formula>
    <oldFormula>'FY 2013 by Agency-Adj'!$AD:$AE,'FY 2013 by Agency-Adj'!$AI:$BK,'FY 2013 by Agency-Adj'!$BO:$BT</oldFormula>
  </rdn>
  <rdn rId="0" localSheetId="8" customView="1" name="Z_455630F5_40FC_47DB_8AD4_712C20B8FB91_.wvu.Rows" hidden="1" oldHidden="1">
    <formula>'Sheet 4'!$1:$6</formula>
    <oldFormula>'Sheet 4'!$1:$6</oldFormula>
  </rdn>
  <rcv guid="{455630F5-40FC-47DB-8AD4-712C20B8FB91}" action="add"/>
</revisions>
</file>

<file path=xl/revisions/revisionLog14.xml><?xml version="1.0" encoding="utf-8"?>
<revisions xmlns="http://schemas.openxmlformats.org/spreadsheetml/2006/main" xmlns:r="http://schemas.openxmlformats.org/officeDocument/2006/relationships">
  <rcc rId="42390" sId="5" numFmtId="11">
    <oc r="CA71">
      <v>0</v>
    </oc>
    <nc r="CA71">
      <v>25460</v>
    </nc>
  </rcc>
  <rcv guid="{78CA186D-B240-44D5-8A24-D241DE0B0FD9}" action="delete"/>
  <rdn rId="0" localSheetId="2" customView="1" name="Z_78CA186D_B240_44D5_8A24_D241DE0B0FD9_.wvu.Cols" hidden="1" oldHidden="1">
    <formula>'FY2013 by Approp Title'!$AA:$AA</formula>
    <oldFormula>'FY2013 by Approp Title'!$AA:$AA</oldFormula>
  </rdn>
  <rdn rId="0" localSheetId="3" customView="1" name="Z_78CA186D_B240_44D5_8A24_D241DE0B0FD9_.wvu.Cols" hidden="1" oldHidden="1">
    <formula>'FY2013 By Approp Title-Adj'!$AA:$AA</formula>
    <oldFormula>'FY2013 By Approp Title-Adj'!$AA:$AA</oldFormula>
  </rdn>
  <rdn rId="0" localSheetId="4" customView="1" name="Z_78CA186D_B240_44D5_8A24_D241DE0B0FD9_.wvu.Rows" hidden="1" oldHidden="1">
    <formula>'FY 2013 by Agency'!$1:$3,'FY 2013 by Agency'!$227:$241</formula>
    <oldFormula>'FY 2013 by Agency'!$1:$3,'FY 2013 by Agency'!$227:$241</oldFormula>
  </rdn>
  <rdn rId="0" localSheetId="4" customView="1" name="Z_78CA186D_B240_44D5_8A24_D241DE0B0FD9_.wvu.Cols" hidden="1" oldHidden="1">
    <formula>'FY 2013 by Agency'!$D:$E,'FY 2013 by Agency'!$G:$H,'FY 2013 by Agency'!$J:$K,'FY 2013 by Agency'!$M:$N,'FY 2013 by Agency'!$P:$Q,'FY 2013 by Agency'!$S:$T,'FY 2013 by Agency'!$V:$W,'FY 2013 by Agency'!$Y:$Z,'FY 2013 by Agency'!$AB:$AE,'FY 2013 by Agency'!$AV:$AW,'FY 2013 by Agency'!$AY:$AZ,'FY 2013 by Agency'!$BF:$BG,'FY 2013 by Agency'!$BM:$BN</formula>
    <oldFormula>'FY 2013 by Agency'!$D:$E,'FY 2013 by Agency'!$G:$H,'FY 2013 by Agency'!$J:$K,'FY 2013 by Agency'!$M:$N,'FY 2013 by Agency'!$P:$Q,'FY 2013 by Agency'!$S:$T,'FY 2013 by Agency'!$V:$W,'FY 2013 by Agency'!$Y:$Z,'FY 2013 by Agency'!$AB:$AE,'FY 2013 by Agency'!$AV:$AW,'FY 2013 by Agency'!$AY:$AZ,'FY 2013 by Agency'!$BF:$BG,'FY 2013 by Agency'!$BM:$BN</oldFormula>
  </rdn>
  <rdn rId="0" localSheetId="5" customView="1" name="Z_78CA186D_B240_44D5_8A24_D241DE0B0FD9_.wvu.Rows" hidden="1" oldHidden="1">
    <formula>'FY 2013 by Agency-Adj'!$1:$3,'FY 2013 by Agency-Adj'!$14:$14,'FY 2013 by Agency-Adj'!$19:$19,'FY 2013 by Agency-Adj'!$157:$157,'FY 2013 by Agency-Adj'!$164:$164,'FY 2013 by Agency-Adj'!$228:$242</formula>
    <oldFormula>'FY 2013 by Agency-Adj'!$1:$3,'FY 2013 by Agency-Adj'!$14:$14,'FY 2013 by Agency-Adj'!$19:$19,'FY 2013 by Agency-Adj'!$157:$157,'FY 2013 by Agency-Adj'!$164:$164,'FY 2013 by Agency-Adj'!$228:$242</oldFormula>
  </rdn>
  <rdn rId="0" localSheetId="5" customView="1" name="Z_78CA186D_B240_44D5_8A24_D241DE0B0FD9_.wvu.Cols" hidden="1" oldHidden="1">
    <formula>'FY 2013 by Agency-Adj'!$AD:$AE,'FY 2013 by Agency-Adj'!$AI:$BK,'FY 2013 by Agency-Adj'!$BO:$BT</formula>
    <oldFormula>'FY 2013 by Agency-Adj'!$AD:$AE,'FY 2013 by Agency-Adj'!$AI:$BK,'FY 2013 by Agency-Adj'!$BO:$BT</oldFormula>
  </rdn>
  <rdn rId="0" localSheetId="8" customView="1" name="Z_78CA186D_B240_44D5_8A24_D241DE0B0FD9_.wvu.Rows" hidden="1" oldHidden="1">
    <formula>'Sheet 4'!$1:$6</formula>
    <oldFormula>'Sheet 4'!$1:$6</oldFormula>
  </rdn>
  <rcv guid="{78CA186D-B240-44D5-8A24-D241DE0B0FD9}" action="add"/>
</revisions>
</file>

<file path=xl/revisions/revisionLog141.xml><?xml version="1.0" encoding="utf-8"?>
<revisions xmlns="http://schemas.openxmlformats.org/spreadsheetml/2006/main" xmlns:r="http://schemas.openxmlformats.org/officeDocument/2006/relationships">
  <rcc rId="41512" sId="4">
    <nc r="BO167">
      <f>+BO165+920</f>
    </nc>
  </rcc>
  <rcv guid="{AEFEB150-9213-45F5-A178-7AC71E46DB11}" action="delete"/>
  <rdn rId="0" localSheetId="2" customView="1" name="Z_AEFEB150_9213_45F5_A178_7AC71E46DB11_.wvu.Cols" hidden="1" oldHidden="1">
    <formula>'FY2013 by Approp Title'!$AA:$AA</formula>
    <oldFormula>'FY2013 by Approp Title'!$AA:$AA</oldFormula>
  </rdn>
  <rdn rId="0" localSheetId="3" customView="1" name="Z_AEFEB150_9213_45F5_A178_7AC71E46DB11_.wvu.Cols" hidden="1" oldHidden="1">
    <formula>'FY2013 By Approp Title-Adj'!$AA:$AA</formula>
    <oldFormula>'FY2013 By Approp Title-Adj'!$AA:$AA</oldFormula>
  </rdn>
  <rdn rId="0" localSheetId="4" customView="1" name="Z_AEFEB150_9213_45F5_A178_7AC71E46DB11_.wvu.Rows" hidden="1" oldHidden="1">
    <formula>'FY 2013 by Agency'!$1:$3,'FY 2013 by Agency'!$226:$240</formula>
    <oldFormula>'FY 2013 by Agency'!$1:$3,'FY 2013 by Agency'!$226:$240</oldFormula>
  </rdn>
  <rdn rId="0" localSheetId="5" customView="1" name="Z_AEFEB150_9213_45F5_A178_7AC71E46DB11_.wvu.Rows" hidden="1" oldHidden="1">
    <formula>'FY 2013 by Agency-Adj'!$1:$3,'FY 2013 by Agency-Adj'!$227:$241</formula>
    <oldFormula>'FY 2013 by Agency-Adj'!$1:$3,'FY 2013 by Agency-Adj'!$227:$241</oldFormula>
  </rdn>
  <rdn rId="0" localSheetId="5" customView="1" name="Z_AEFEB150_9213_45F5_A178_7AC71E46DB11_.wvu.Cols" hidden="1" oldHidden="1">
    <formula>'FY 2013 by Agency-Adj'!$AJ:$AM</formula>
    <oldFormula>'FY 2013 by Agency-Adj'!$AJ:$AM</oldFormula>
  </rdn>
  <rdn rId="0" localSheetId="8" customView="1" name="Z_AEFEB150_9213_45F5_A178_7AC71E46DB11_.wvu.Rows" hidden="1" oldHidden="1">
    <formula>'Sheet 4'!$1:$6</formula>
    <oldFormula>'Sheet 4'!$1:$6</oldFormula>
  </rdn>
  <rcv guid="{AEFEB150-9213-45F5-A178-7AC71E46DB11}" action="add"/>
</revisions>
</file>

<file path=xl/revisions/revisionLog1411.xml><?xml version="1.0" encoding="utf-8"?>
<revisions xmlns="http://schemas.openxmlformats.org/spreadsheetml/2006/main" xmlns:r="http://schemas.openxmlformats.org/officeDocument/2006/relationships">
  <rcc rId="40868" sId="5">
    <oc r="BL244">
      <f>BL242-(80700+18000+14000+26165)</f>
    </oc>
    <nc r="BL244"/>
  </rcc>
  <rcc rId="40869" sId="5">
    <oc r="BU244">
      <f>BU242-(80700+18000+14000+44741)</f>
    </oc>
    <nc r="BU244"/>
  </rcc>
  <rcc rId="40870" sId="5">
    <oc r="BV244">
      <f>BU242-BL244</f>
    </oc>
    <nc r="BV244"/>
  </rcc>
  <rcc rId="40871" sId="5">
    <oc r="BW244">
      <f>BV244/BL244</f>
    </oc>
    <nc r="BW244"/>
  </rcc>
  <rcc rId="40872" sId="5">
    <oc r="BN246" t="inlineStr">
      <is>
        <t>minus trans for high, TIF, conv.</t>
      </is>
    </oc>
    <nc r="BN246"/>
  </rcc>
  <rcc rId="40873" sId="5">
    <oc r="BU246">
      <f>BU242-(BU218+BU217+BU216)</f>
    </oc>
    <nc r="BU246"/>
  </rcc>
  <rcc rId="40874" sId="5">
    <oc r="BX246">
      <v>2008</v>
    </oc>
    <nc r="BX246"/>
  </rcc>
  <rcc rId="40875" sId="5">
    <oc r="BY246" t="inlineStr">
      <is>
        <t>%</t>
      </is>
    </oc>
    <nc r="BY246"/>
  </rcc>
  <rcc rId="40876" sId="5">
    <oc r="BX247">
      <f>BU246-X242</f>
    </oc>
    <nc r="BX247"/>
  </rcc>
  <rcc rId="40877" sId="5">
    <oc r="BY247">
      <f>BX247/X242</f>
    </oc>
    <nc r="BY247"/>
  </rcc>
  <rcc rId="40878" sId="5">
    <oc r="BX222">
      <v>2008</v>
    </oc>
    <nc r="BX222"/>
  </rcc>
  <rcc rId="40879" sId="5">
    <oc r="BY222" t="inlineStr">
      <is>
        <t>%</t>
      </is>
    </oc>
    <nc r="BY222"/>
  </rcc>
  <rcc rId="40880" sId="5">
    <oc r="BX223">
      <f>BU221-X221</f>
    </oc>
    <nc r="BX223"/>
  </rcc>
  <rcc rId="40881" sId="5">
    <oc r="BY223">
      <f>BX223/X221</f>
    </oc>
    <nc r="BY223"/>
  </rcc>
  <rcc rId="40882" sId="5">
    <oc r="BX188">
      <v>2008</v>
    </oc>
    <nc r="BX188"/>
  </rcc>
  <rcc rId="40883" sId="5">
    <oc r="BY188" t="inlineStr">
      <is>
        <t>%</t>
      </is>
    </oc>
    <nc r="BY188"/>
  </rcc>
  <rcc rId="40884" sId="5">
    <oc r="BX189">
      <f>BU187-X187</f>
    </oc>
    <nc r="BX189"/>
  </rcc>
  <rcc rId="40885" sId="5">
    <oc r="BY189">
      <f>BX189/X187</f>
    </oc>
    <nc r="BY189"/>
  </rcc>
  <rcc rId="40886" sId="5">
    <oc r="BL167">
      <f>BL165+(BL56+BL57+BL58+BL71)</f>
    </oc>
    <nc r="BL167"/>
  </rcc>
  <rcc rId="40887" sId="5">
    <oc r="BU167">
      <f>BU165+(BU56+BU57+BU58+BU71)</f>
    </oc>
    <nc r="BU167"/>
  </rcc>
  <rcc rId="40888" sId="5">
    <oc r="BV167">
      <f>BU167-BL167</f>
    </oc>
    <nc r="BV167"/>
  </rcc>
  <rcc rId="40889" sId="5">
    <oc r="BW167">
      <f>BV167/BL167</f>
    </oc>
    <nc r="BW167"/>
  </rcc>
  <rcc rId="40890" sId="5">
    <oc r="BX167">
      <v>2008</v>
    </oc>
    <nc r="BX167"/>
  </rcc>
  <rcc rId="40891" sId="5">
    <oc r="BY167" t="inlineStr">
      <is>
        <t>%</t>
      </is>
    </oc>
    <nc r="BY167"/>
  </rcc>
  <rcc rId="40892" sId="5">
    <oc r="BX168">
      <f>BU167-X167</f>
    </oc>
    <nc r="BX168"/>
  </rcc>
  <rcc rId="40893" sId="5">
    <oc r="BY168">
      <f>BX168/X167</f>
    </oc>
    <nc r="BY168"/>
  </rcc>
  <rcc rId="40894" sId="5">
    <oc r="BX134">
      <v>2008</v>
    </oc>
    <nc r="BX134"/>
  </rcc>
  <rcc rId="40895" sId="5">
    <oc r="BY134" t="inlineStr">
      <is>
        <t>%</t>
      </is>
    </oc>
    <nc r="BY134"/>
  </rcc>
  <rcc rId="40896" sId="5">
    <oc r="BX135">
      <f>BU132-X132</f>
    </oc>
    <nc r="BX135"/>
  </rcc>
  <rcc rId="40897" sId="5">
    <oc r="BY135">
      <f>BX135/X132</f>
    </oc>
    <nc r="BY135"/>
  </rcc>
  <rcc rId="40898" sId="5">
    <oc r="BX110">
      <v>2008</v>
    </oc>
    <nc r="BX110"/>
  </rcc>
  <rcc rId="40899" sId="5">
    <oc r="BY110" t="inlineStr">
      <is>
        <t>%</t>
      </is>
    </oc>
    <nc r="BY110"/>
  </rcc>
  <rcc rId="40900" sId="5">
    <oc r="BX111">
      <f>BU108-X108</f>
    </oc>
    <nc r="BX111"/>
  </rcc>
  <rcc rId="40901" sId="5">
    <oc r="BY111">
      <f>BX111/X108</f>
    </oc>
    <nc r="BY111"/>
  </rcc>
  <rcc rId="40902" sId="5">
    <oc r="BX76">
      <v>2008</v>
    </oc>
    <nc r="BX76"/>
  </rcc>
  <rcc rId="40903" sId="5">
    <oc r="BY76" t="inlineStr">
      <is>
        <t>%</t>
      </is>
    </oc>
    <nc r="BY76"/>
  </rcc>
  <rcc rId="40904" sId="5">
    <oc r="BL77">
      <f>BL74-(BL56+BL57+BL58+BL71)</f>
    </oc>
    <nc r="BL77"/>
  </rcc>
  <rcc rId="40905" sId="5">
    <oc r="BU77">
      <f>BU74-(BU56+BU57+BU58+BU71)</f>
    </oc>
    <nc r="BU77"/>
  </rcc>
  <rcc rId="40906" sId="5">
    <oc r="BV77">
      <f>BU77-BL77</f>
    </oc>
    <nc r="BV77"/>
  </rcc>
  <rcc rId="40907" sId="5">
    <oc r="BW77">
      <f>BV77/BL77</f>
    </oc>
    <nc r="BW77"/>
  </rcc>
  <rcc rId="40908" sId="5">
    <oc r="BX77">
      <f>BU77-X76</f>
    </oc>
    <nc r="BX77"/>
  </rcc>
  <rcc rId="40909" sId="5">
    <oc r="BY77">
      <f>BX77/X76</f>
    </oc>
    <nc r="BY77"/>
  </rcc>
  <rcc rId="40910" sId="5">
    <oc r="BX42">
      <v>2008</v>
    </oc>
    <nc r="BX42"/>
  </rcc>
  <rcc rId="40911" sId="5">
    <oc r="BY42" t="inlineStr">
      <is>
        <t>%</t>
      </is>
    </oc>
    <nc r="BY42"/>
  </rcc>
  <rcc rId="40912" sId="5">
    <oc r="BX43">
      <f>BU41-X41</f>
    </oc>
    <nc r="BX43"/>
  </rcc>
  <rcc rId="40913" sId="5">
    <oc r="BY43">
      <f>BX43/X41</f>
    </oc>
    <nc r="BY43"/>
  </rcc>
  <rcv guid="{78CA186D-B240-44D5-8A24-D241DE0B0FD9}" action="delete"/>
  <rdn rId="0" localSheetId="2" customView="1" name="Z_78CA186D_B240_44D5_8A24_D241DE0B0FD9_.wvu.Cols" hidden="1" oldHidden="1">
    <formula>'FY2013 by Approp Title'!$AA:$AA</formula>
    <oldFormula>'FY2013 by Approp Title'!$AA:$AA</oldFormula>
  </rdn>
  <rdn rId="0" localSheetId="3" customView="1" name="Z_78CA186D_B240_44D5_8A24_D241DE0B0FD9_.wvu.Cols" hidden="1" oldHidden="1">
    <formula>'FY2013 By Approp Title-Adj'!$AA:$AA</formula>
    <oldFormula>'FY2013 By Approp Title-Adj'!$AA:$AA</oldFormula>
  </rdn>
  <rdn rId="0" localSheetId="4" customView="1" name="Z_78CA186D_B240_44D5_8A24_D241DE0B0FD9_.wvu.Rows" hidden="1" oldHidden="1">
    <formula>'FY 2013 by Agency'!$1:$3,'FY 2013 by Agency'!$226:$240</formula>
    <oldFormula>'FY 2013 by Agency'!$1:$3,'FY 2013 by Agency'!$226:$240</oldFormula>
  </rdn>
  <rdn rId="0" localSheetId="4" customView="1" name="Z_78CA186D_B240_44D5_8A24_D241DE0B0FD9_.wvu.Cols" hidden="1" oldHidden="1">
    <formula>'FY 2013 by Agency'!$D:$E,'FY 2013 by Agency'!$G:$H,'FY 2013 by Agency'!$J:$K,'FY 2013 by Agency'!$M:$N,'FY 2013 by Agency'!$P:$Q,'FY 2013 by Agency'!$S:$T,'FY 2013 by Agency'!$V:$W,'FY 2013 by Agency'!$Y:$Z,'FY 2013 by Agency'!$AB:$AE,'FY 2013 by Agency'!$AG:$AO,'FY 2013 by Agency'!$AV:$AW,'FY 2013 by Agency'!$AY:$AZ,'FY 2013 by Agency'!$BF:$BG</formula>
    <oldFormula>'FY 2013 by Agency'!$D:$E,'FY 2013 by Agency'!$G:$H,'FY 2013 by Agency'!$J:$K,'FY 2013 by Agency'!$M:$N,'FY 2013 by Agency'!$P:$Q,'FY 2013 by Agency'!$S:$T,'FY 2013 by Agency'!$V:$W,'FY 2013 by Agency'!$Y:$Z,'FY 2013 by Agency'!$AB:$AE,'FY 2013 by Agency'!$AG:$AO,'FY 2013 by Agency'!$AV:$AW,'FY 2013 by Agency'!$AY:$AZ,'FY 2013 by Agency'!$BF:$BG</oldFormula>
  </rdn>
  <rdn rId="0" localSheetId="5" customView="1" name="Z_78CA186D_B240_44D5_8A24_D241DE0B0FD9_.wvu.Rows" hidden="1" oldHidden="1">
    <formula>'FY 2013 by Agency-Adj'!$1:$3,'FY 2013 by Agency-Adj'!$14:$14,'FY 2013 by Agency-Adj'!$19:$19,'FY 2013 by Agency-Adj'!$156:$156,'FY 2013 by Agency-Adj'!$163:$163,'FY 2013 by Agency-Adj'!$227:$241</formula>
    <oldFormula>'FY 2013 by Agency-Adj'!$1:$3,'FY 2013 by Agency-Adj'!$14:$14,'FY 2013 by Agency-Adj'!$19:$19,'FY 2013 by Agency-Adj'!$156:$156,'FY 2013 by Agency-Adj'!$163:$163,'FY 2013 by Agency-Adj'!$227:$241</oldFormula>
  </rdn>
  <rdn rId="0" localSheetId="5" customView="1" name="Z_78CA186D_B240_44D5_8A24_D241DE0B0FD9_.wvu.Cols" hidden="1" oldHidden="1">
    <formula>'FY 2013 by Agency-Adj'!$AD:$AE,'FY 2013 by Agency-Adj'!$AI:$BK,'FY 2013 by Agency-Adj'!$BO:$BT</formula>
    <oldFormula>'FY 2013 by Agency-Adj'!$AD:$AE,'FY 2013 by Agency-Adj'!$AI:$BK,'FY 2013 by Agency-Adj'!$BO:$BT</oldFormula>
  </rdn>
  <rdn rId="0" localSheetId="8" customView="1" name="Z_78CA186D_B240_44D5_8A24_D241DE0B0FD9_.wvu.Rows" hidden="1" oldHidden="1">
    <formula>'Sheet 4'!$1:$6</formula>
    <oldFormula>'Sheet 4'!$1:$6</oldFormula>
  </rdn>
  <rcv guid="{78CA186D-B240-44D5-8A24-D241DE0B0FD9}" action="add"/>
</revisions>
</file>

<file path=xl/revisions/revisionLog14111.xml><?xml version="1.0" encoding="utf-8"?>
<revisions xmlns="http://schemas.openxmlformats.org/spreadsheetml/2006/main" xmlns:r="http://schemas.openxmlformats.org/officeDocument/2006/relationships">
  <rcc rId="40660" sId="5">
    <oc r="BX5" t="inlineStr">
      <is>
        <t>Proposed</t>
      </is>
    </oc>
    <nc r="BX5" t="inlineStr">
      <is>
        <t>Proposed w/ Fixed Costs</t>
      </is>
    </nc>
  </rcc>
  <rcv guid="{455630F5-40FC-47DB-8AD4-712C20B8FB91}" action="delete"/>
  <rdn rId="0" localSheetId="2" customView="1" name="Z_455630F5_40FC_47DB_8AD4_712C20B8FB91_.wvu.Cols" hidden="1" oldHidden="1">
    <formula>'FY2013 by Approp Title'!$AA:$AA</formula>
    <oldFormula>'FY2013 by Approp Title'!$AA:$AA</oldFormula>
  </rdn>
  <rdn rId="0" localSheetId="3" customView="1" name="Z_455630F5_40FC_47DB_8AD4_712C20B8FB91_.wvu.Cols" hidden="1" oldHidden="1">
    <formula>'FY2013 By Approp Title-Adj'!$AA:$AA</formula>
    <oldFormula>'FY2013 By Approp Title-Adj'!$AA:$AA</oldFormula>
  </rdn>
  <rdn rId="0" localSheetId="4" customView="1" name="Z_455630F5_40FC_47DB_8AD4_712C20B8FB91_.wvu.Rows" hidden="1" oldHidden="1">
    <formula>'FY 2013 by Agency'!$1:$3,'FY 2013 by Agency'!$226:$240</formula>
    <oldFormula>'FY 2013 by Agency'!$1:$3,'FY 2013 by Agency'!$226:$240</oldFormula>
  </rdn>
  <rdn rId="0" localSheetId="4" customView="1" name="Z_455630F5_40FC_47DB_8AD4_712C20B8FB91_.wvu.Cols" hidden="1" oldHidden="1">
    <formula>'FY 2013 by Agency'!$D:$E,'FY 2013 by Agency'!$G:$H,'FY 2013 by Agency'!$J:$K,'FY 2013 by Agency'!$M:$N,'FY 2013 by Agency'!$P:$Q,'FY 2013 by Agency'!$S:$T,'FY 2013 by Agency'!$V:$W,'FY 2013 by Agency'!$Y:$Z,'FY 2013 by Agency'!$AB:$AE,'FY 2013 by Agency'!$AG:$AO,'FY 2013 by Agency'!$AV:$AW,'FY 2013 by Agency'!$AY:$AZ,'FY 2013 by Agency'!$BF:$BG</formula>
    <oldFormula>'FY 2013 by Agency'!$D:$E,'FY 2013 by Agency'!$G:$H,'FY 2013 by Agency'!$J:$K,'FY 2013 by Agency'!$M:$N,'FY 2013 by Agency'!$P:$Q,'FY 2013 by Agency'!$S:$T,'FY 2013 by Agency'!$V:$W,'FY 2013 by Agency'!$Y:$Z,'FY 2013 by Agency'!$AB:$AE,'FY 2013 by Agency'!$AG:$AO,'FY 2013 by Agency'!$AV:$AW,'FY 2013 by Agency'!$AY:$AZ,'FY 2013 by Agency'!$BF:$BG</oldFormula>
  </rdn>
  <rdn rId="0" localSheetId="5" customView="1" name="Z_455630F5_40FC_47DB_8AD4_712C20B8FB91_.wvu.Rows" hidden="1" oldHidden="1">
    <formula>'FY 2013 by Agency-Adj'!$1:$3,'FY 2013 by Agency-Adj'!$14:$14,'FY 2013 by Agency-Adj'!$19:$19,'FY 2013 by Agency-Adj'!$156:$156,'FY 2013 by Agency-Adj'!$163:$163,'FY 2013 by Agency-Adj'!$227:$241</formula>
    <oldFormula>'FY 2013 by Agency-Adj'!$1:$3,'FY 2013 by Agency-Adj'!$14:$14,'FY 2013 by Agency-Adj'!$19:$19,'FY 2013 by Agency-Adj'!$156:$156,'FY 2013 by Agency-Adj'!$163:$163,'FY 2013 by Agency-Adj'!$227:$241</oldFormula>
  </rdn>
  <rdn rId="0" localSheetId="5" customView="1" name="Z_455630F5_40FC_47DB_8AD4_712C20B8FB91_.wvu.Cols" hidden="1" oldHidden="1">
    <formula>'FY 2013 by Agency-Adj'!$AD:$AE,'FY 2013 by Agency-Adj'!$AI:$BK,'FY 2013 by Agency-Adj'!$BO:$BT</formula>
    <oldFormula>'FY 2013 by Agency-Adj'!$AD:$AE,'FY 2013 by Agency-Adj'!$AI:$BK,'FY 2013 by Agency-Adj'!$BO:$BT</oldFormula>
  </rdn>
  <rdn rId="0" localSheetId="8" customView="1" name="Z_455630F5_40FC_47DB_8AD4_712C20B8FB91_.wvu.Rows" hidden="1" oldHidden="1">
    <formula>'Sheet 4'!$1:$6</formula>
    <oldFormula>'Sheet 4'!$1:$6</oldFormula>
  </rdn>
  <rcv guid="{455630F5-40FC-47DB-8AD4-712C20B8FB91}" action="add"/>
</revisions>
</file>

<file path=xl/revisions/revisionLog141111.xml><?xml version="1.0" encoding="utf-8"?>
<revisions xmlns="http://schemas.openxmlformats.org/spreadsheetml/2006/main" xmlns:r="http://schemas.openxmlformats.org/officeDocument/2006/relationships">
  <rfmt sheetId="3" sqref="AN9" start="0" length="0">
    <dxf>
      <font>
        <b/>
        <sz val="14"/>
        <color auto="1"/>
        <name val="Arial"/>
        <scheme val="none"/>
      </font>
      <numFmt numFmtId="166" formatCode="&quot;$&quot;#,##0;[Red]&quot;$&quot;#,##0"/>
      <fill>
        <patternFill patternType="solid">
          <bgColor rgb="FF00BCB8"/>
        </patternFill>
      </fill>
      <alignment horizontal="center" vertical="center" wrapText="1" readingOrder="0"/>
      <border outline="0">
        <left style="medium">
          <color indexed="64"/>
        </left>
        <right style="medium">
          <color indexed="64"/>
        </right>
        <top style="medium">
          <color indexed="64"/>
        </top>
      </border>
    </dxf>
  </rfmt>
  <rfmt sheetId="3" sqref="AO9" start="0" length="0">
    <dxf>
      <font>
        <b/>
        <sz val="14"/>
        <color auto="1"/>
        <name val="Arial"/>
        <scheme val="none"/>
      </font>
      <fill>
        <patternFill patternType="solid">
          <bgColor rgb="FF00BCB8"/>
        </patternFill>
      </fill>
      <alignment horizontal="left" vertical="top" readingOrder="0"/>
      <border outline="0">
        <left style="medium">
          <color indexed="64"/>
        </left>
        <top style="medium">
          <color indexed="64"/>
        </top>
        <bottom style="medium">
          <color indexed="64"/>
        </bottom>
      </border>
    </dxf>
  </rfmt>
  <rfmt sheetId="3" sqref="AP9" start="0" length="0">
    <dxf>
      <font>
        <b/>
        <sz val="14"/>
        <color auto="1"/>
        <name val="Arial"/>
        <scheme val="none"/>
      </font>
      <fill>
        <patternFill patternType="solid">
          <bgColor rgb="FF00BCB8"/>
        </patternFill>
      </fill>
      <alignment horizontal="center" vertical="top" readingOrder="0"/>
      <border outline="0">
        <right style="medium">
          <color indexed="64"/>
        </right>
        <top style="medium">
          <color indexed="64"/>
        </top>
        <bottom style="medium">
          <color indexed="64"/>
        </bottom>
      </border>
    </dxf>
  </rfmt>
  <rfmt sheetId="3" sqref="AN10" start="0" length="0">
    <dxf>
      <font>
        <b/>
        <sz val="14"/>
        <color auto="1"/>
        <name val="Arial"/>
        <scheme val="none"/>
      </font>
      <fill>
        <patternFill patternType="solid">
          <bgColor rgb="FF00BCB8"/>
        </patternFill>
      </fill>
      <alignment horizontal="center" vertical="center" readingOrder="0"/>
      <border outline="0">
        <left style="medium">
          <color indexed="64"/>
        </left>
        <right style="medium">
          <color indexed="64"/>
        </right>
        <bottom style="medium">
          <color indexed="64"/>
        </bottom>
      </border>
    </dxf>
  </rfmt>
  <rcc rId="40595" sId="3" odxf="1" dxf="1">
    <nc r="AO10" t="inlineStr">
      <is>
        <t>$</t>
      </is>
    </nc>
    <odxf>
      <font>
        <b val="0"/>
        <sz val="10"/>
        <color auto="1"/>
        <name val="Arial"/>
        <scheme val="none"/>
      </font>
      <fill>
        <patternFill patternType="none">
          <bgColor indexed="65"/>
        </patternFill>
      </fill>
      <alignment horizontal="general" vertical="bottom" readingOrder="0"/>
      <border outline="0">
        <left/>
      </border>
    </odxf>
    <ndxf>
      <font>
        <b/>
        <sz val="14"/>
        <color auto="1"/>
        <name val="Arial"/>
        <scheme val="none"/>
      </font>
      <fill>
        <patternFill patternType="solid">
          <bgColor rgb="FF00BCB8"/>
        </patternFill>
      </fill>
      <alignment horizontal="center" vertical="top" readingOrder="0"/>
      <border outline="0">
        <left style="medium">
          <color indexed="64"/>
        </left>
      </border>
    </ndxf>
  </rcc>
  <rcc rId="40596" sId="3" odxf="1" dxf="1">
    <nc r="AP10" t="inlineStr">
      <is>
        <t>%</t>
      </is>
    </nc>
    <odxf>
      <font>
        <b val="0"/>
        <sz val="10"/>
        <color auto="1"/>
        <name val="Arial"/>
        <scheme val="none"/>
      </font>
      <numFmt numFmtId="0" formatCode="General"/>
      <fill>
        <patternFill patternType="none">
          <bgColor indexed="65"/>
        </patternFill>
      </fill>
      <alignment horizontal="general" vertical="bottom" readingOrder="0"/>
      <border outline="0">
        <left/>
        <right/>
        <top/>
        <bottom/>
      </border>
    </odxf>
    <ndxf>
      <font>
        <b/>
        <sz val="14"/>
        <color auto="1"/>
        <name val="Arial"/>
        <scheme val="none"/>
      </font>
      <numFmt numFmtId="14" formatCode="0.00%"/>
      <fill>
        <patternFill patternType="solid">
          <bgColor rgb="FF00BCB8"/>
        </patternFill>
      </fill>
      <alignment horizontal="center" vertical="top" readingOrder="0"/>
      <border outline="0">
        <left style="medium">
          <color indexed="64"/>
        </left>
        <right style="medium">
          <color indexed="64"/>
        </right>
        <top style="medium">
          <color indexed="64"/>
        </top>
        <bottom style="medium">
          <color indexed="64"/>
        </bottom>
      </border>
    </ndxf>
  </rcc>
  <rfmt sheetId="2" sqref="AN9" start="0" length="0">
    <dxf>
      <font>
        <b/>
        <sz val="14"/>
        <color auto="1"/>
        <name val="Arial"/>
        <scheme val="none"/>
      </font>
      <numFmt numFmtId="166" formatCode="&quot;$&quot;#,##0;[Red]&quot;$&quot;#,##0"/>
      <fill>
        <patternFill patternType="solid">
          <bgColor rgb="FF00BCB8"/>
        </patternFill>
      </fill>
      <alignment horizontal="center" vertical="center" wrapText="1" readingOrder="0"/>
      <border outline="0">
        <left style="medium">
          <color indexed="64"/>
        </left>
        <right style="medium">
          <color indexed="64"/>
        </right>
        <top style="medium">
          <color indexed="64"/>
        </top>
      </border>
    </dxf>
  </rfmt>
  <rfmt sheetId="2" sqref="AO9" start="0" length="0">
    <dxf>
      <font>
        <b/>
        <sz val="14"/>
        <color auto="1"/>
        <name val="Arial"/>
        <scheme val="none"/>
      </font>
      <fill>
        <patternFill patternType="solid">
          <bgColor rgb="FF00BCB8"/>
        </patternFill>
      </fill>
      <alignment horizontal="center" vertical="top" wrapText="1" readingOrder="0"/>
      <border outline="0">
        <left style="medium">
          <color indexed="64"/>
        </left>
        <top style="medium">
          <color indexed="64"/>
        </top>
        <bottom style="medium">
          <color indexed="64"/>
        </bottom>
      </border>
    </dxf>
  </rfmt>
  <rfmt sheetId="2" sqref="AP9" start="0" length="0">
    <dxf>
      <font>
        <b/>
        <sz val="14"/>
        <color auto="1"/>
        <name val="Arial"/>
        <scheme val="none"/>
      </font>
      <fill>
        <patternFill patternType="solid">
          <bgColor rgb="FF00BCB8"/>
        </patternFill>
      </fill>
      <alignment horizontal="center" vertical="top" readingOrder="0"/>
      <border outline="0">
        <right style="medium">
          <color indexed="64"/>
        </right>
        <top style="medium">
          <color indexed="64"/>
        </top>
        <bottom style="medium">
          <color indexed="64"/>
        </bottom>
      </border>
    </dxf>
  </rfmt>
  <rfmt sheetId="2" sqref="AN10" start="0" length="0">
    <dxf>
      <fill>
        <patternFill patternType="solid">
          <bgColor rgb="FF00BCB8"/>
        </patternFill>
      </fill>
      <alignment horizontal="center" vertical="center" readingOrder="0"/>
      <border outline="0">
        <left style="medium">
          <color indexed="64"/>
        </left>
        <right style="medium">
          <color indexed="64"/>
        </right>
        <bottom style="medium">
          <color indexed="64"/>
        </bottom>
      </border>
    </dxf>
  </rfmt>
  <rcc rId="40597" sId="2" odxf="1" dxf="1">
    <nc r="AO10" t="inlineStr">
      <is>
        <t>$</t>
      </is>
    </nc>
    <odxf>
      <font>
        <b val="0"/>
        <sz val="10"/>
        <color auto="1"/>
        <name val="Arial"/>
        <scheme val="none"/>
      </font>
      <fill>
        <patternFill patternType="none">
          <bgColor indexed="65"/>
        </patternFill>
      </fill>
      <alignment horizontal="general" vertical="bottom" readingOrder="0"/>
      <border outline="0">
        <left/>
      </border>
    </odxf>
    <ndxf>
      <font>
        <b/>
        <sz val="14"/>
        <color auto="1"/>
        <name val="Arial"/>
        <scheme val="none"/>
      </font>
      <fill>
        <patternFill patternType="solid">
          <bgColor rgb="FF00BCB8"/>
        </patternFill>
      </fill>
      <alignment horizontal="center" vertical="top" readingOrder="0"/>
      <border outline="0">
        <left style="medium">
          <color indexed="64"/>
        </left>
      </border>
    </ndxf>
  </rcc>
  <rcc rId="40598" sId="2" odxf="1" dxf="1">
    <nc r="AP10" t="inlineStr">
      <is>
        <t>%</t>
      </is>
    </nc>
    <odxf>
      <font>
        <b val="0"/>
        <sz val="10"/>
        <color auto="1"/>
        <name val="Arial"/>
        <scheme val="none"/>
      </font>
      <numFmt numFmtId="0" formatCode="General"/>
      <fill>
        <patternFill patternType="none">
          <bgColor indexed="65"/>
        </patternFill>
      </fill>
      <alignment horizontal="general" vertical="bottom" readingOrder="0"/>
      <border outline="0">
        <left/>
        <right/>
        <top/>
        <bottom/>
      </border>
    </odxf>
    <ndxf>
      <font>
        <b/>
        <sz val="14"/>
        <color auto="1"/>
        <name val="Arial"/>
        <scheme val="none"/>
      </font>
      <numFmt numFmtId="14" formatCode="0.00%"/>
      <fill>
        <patternFill patternType="solid">
          <bgColor rgb="FF00BCB8"/>
        </patternFill>
      </fill>
      <alignment horizontal="center" vertical="top" readingOrder="0"/>
      <border outline="0">
        <left style="medium">
          <color indexed="64"/>
        </left>
        <right style="medium">
          <color indexed="64"/>
        </right>
        <top style="medium">
          <color indexed="64"/>
        </top>
        <bottom style="medium">
          <color indexed="64"/>
        </bottom>
      </border>
    </ndxf>
  </rcc>
  <rcc rId="40599" sId="2">
    <nc r="AO9" t="inlineStr">
      <is>
        <t xml:space="preserve">Change FY '12 - '13A 
</t>
      </is>
    </nc>
  </rcc>
  <rcc rId="40600" sId="3">
    <nc r="AN9" t="inlineStr">
      <is>
        <t xml:space="preserve">FY 2013 </t>
      </is>
    </nc>
  </rcc>
  <rcc rId="40601" sId="3">
    <nc r="AO9" t="inlineStr">
      <is>
        <t>Change FY '12- '13A</t>
      </is>
    </nc>
  </rcc>
  <rfmt sheetId="2" sqref="AO9">
    <dxf>
      <alignment wrapText="0" readingOrder="0"/>
    </dxf>
  </rfmt>
  <rfmt sheetId="2" sqref="AO9">
    <dxf>
      <alignment wrapText="1" readingOrder="0"/>
    </dxf>
  </rfmt>
  <rm rId="40602" sheetId="2" source="AN11" destination="AN11" sourceSheetId="3"/>
  <rfmt sheetId="2" sqref="AN11" start="0" length="0">
    <dxf>
      <numFmt numFmtId="1" formatCode="0"/>
    </dxf>
  </rfmt>
  <rfmt sheetId="2" sqref="AN11" start="0" length="0">
    <dxf>
      <numFmt numFmtId="3" formatCode="#,##0"/>
      <border outline="0">
        <right style="medium">
          <color indexed="64"/>
        </right>
        <top style="medium">
          <color indexed="64"/>
        </top>
        <bottom style="medium">
          <color indexed="64"/>
        </bottom>
      </border>
    </dxf>
  </rfmt>
  <rfmt sheetId="2" sqref="AN12" start="0" length="0">
    <dxf>
      <numFmt numFmtId="3" formatCode="#,##0"/>
      <fill>
        <patternFill patternType="solid">
          <bgColor theme="0" tint="-0.249977111117893"/>
        </patternFill>
      </fill>
      <border outline="0">
        <right style="medium">
          <color indexed="64"/>
        </right>
        <top style="medium">
          <color indexed="64"/>
        </top>
        <bottom style="medium">
          <color indexed="64"/>
        </bottom>
      </border>
    </dxf>
  </rfmt>
  <rfmt sheetId="2" sqref="AN13" start="0" length="0">
    <dxf>
      <numFmt numFmtId="3" formatCode="#,##0"/>
      <border outline="0">
        <right style="medium">
          <color indexed="64"/>
        </right>
        <top style="medium">
          <color indexed="64"/>
        </top>
        <bottom style="medium">
          <color indexed="64"/>
        </bottom>
      </border>
    </dxf>
  </rfmt>
  <rfmt sheetId="2" sqref="AN14" start="0" length="0">
    <dxf>
      <numFmt numFmtId="3" formatCode="#,##0"/>
      <fill>
        <patternFill patternType="solid">
          <bgColor theme="0" tint="-0.249977111117893"/>
        </patternFill>
      </fill>
      <border outline="0">
        <right style="medium">
          <color indexed="64"/>
        </right>
        <top style="medium">
          <color indexed="64"/>
        </top>
        <bottom style="medium">
          <color indexed="64"/>
        </bottom>
      </border>
    </dxf>
  </rfmt>
  <rfmt sheetId="2" sqref="AN15" start="0" length="0">
    <dxf>
      <numFmt numFmtId="3" formatCode="#,##0"/>
      <border outline="0">
        <right style="medium">
          <color indexed="64"/>
        </right>
        <top style="medium">
          <color indexed="64"/>
        </top>
        <bottom style="medium">
          <color indexed="64"/>
        </bottom>
      </border>
    </dxf>
  </rfmt>
  <rfmt sheetId="2" sqref="AN16" start="0" length="0">
    <dxf>
      <numFmt numFmtId="3" formatCode="#,##0"/>
      <fill>
        <patternFill patternType="solid">
          <bgColor theme="0" tint="-0.249977111117893"/>
        </patternFill>
      </fill>
      <border outline="0">
        <right style="medium">
          <color indexed="64"/>
        </right>
        <top style="medium">
          <color indexed="64"/>
        </top>
        <bottom style="medium">
          <color indexed="64"/>
        </bottom>
      </border>
    </dxf>
  </rfmt>
  <rfmt sheetId="2" sqref="AN17" start="0" length="0">
    <dxf>
      <numFmt numFmtId="3" formatCode="#,##0"/>
      <border outline="0">
        <right style="medium">
          <color indexed="64"/>
        </right>
        <top style="medium">
          <color indexed="64"/>
        </top>
        <bottom style="medium">
          <color indexed="64"/>
        </bottom>
      </border>
    </dxf>
  </rfmt>
  <rfmt sheetId="2" sqref="AN18" start="0" length="0">
    <dxf>
      <font>
        <b val="0"/>
        <sz val="10"/>
        <color auto="1"/>
        <name val="Arial"/>
        <scheme val="none"/>
      </font>
      <numFmt numFmtId="3" formatCode="#,##0"/>
      <fill>
        <patternFill patternType="solid">
          <bgColor theme="0" tint="-0.249977111117893"/>
        </patternFill>
      </fill>
      <border outline="0">
        <right style="medium">
          <color indexed="64"/>
        </right>
        <top style="medium">
          <color indexed="64"/>
        </top>
        <bottom style="medium">
          <color indexed="64"/>
        </bottom>
      </border>
    </dxf>
  </rfmt>
  <rcc rId="40603" sId="2">
    <nc r="AN11">
      <f>'FY 2013 by Agency'!BT41</f>
    </nc>
  </rcc>
  <rcc rId="40604" sId="2">
    <nc r="AN12">
      <f>'FY 2013 by Agency'!BT74</f>
    </nc>
  </rcc>
  <rcc rId="40605" sId="2">
    <nc r="AN13">
      <f>'FY 2013 by Agency'!BT108</f>
    </nc>
  </rcc>
  <rcc rId="40606" sId="2">
    <nc r="AN14">
      <f>'FY 2013 by Agency'!BT132</f>
    </nc>
  </rcc>
  <rcc rId="40607" sId="2">
    <nc r="AN15">
      <f>'FY 2013 by Agency'!BT165</f>
    </nc>
  </rcc>
  <rcc rId="40608" sId="2">
    <nc r="AN16">
      <f>'FY 2013 by Agency'!BT187</f>
    </nc>
  </rcc>
  <rcc rId="40609" sId="2">
    <nc r="AN17">
      <f>'FY 2013 by Agency'!BT221</f>
    </nc>
  </rcc>
  <rcc rId="40610" sId="2">
    <nc r="AN18">
      <f>'FY 2013 by Agency'!BT241</f>
    </nc>
  </rcc>
  <rcc rId="40611" sId="2" odxf="1" dxf="1">
    <nc r="AO11">
      <f>AN11-AK11</f>
    </nc>
    <odxf>
      <numFmt numFmtId="0" formatCode="General"/>
    </odxf>
    <ndxf>
      <numFmt numFmtId="3" formatCode="#,##0"/>
    </ndxf>
  </rcc>
  <rcc rId="40612" sId="2" odxf="1" dxf="1">
    <nc r="AO12">
      <f>AN12-AK12</f>
    </nc>
    <odxf>
      <numFmt numFmtId="0" formatCode="General"/>
    </odxf>
    <ndxf>
      <numFmt numFmtId="3" formatCode="#,##0"/>
    </ndxf>
  </rcc>
  <rcc rId="40613" sId="2" odxf="1" dxf="1">
    <nc r="AO13">
      <f>AN13-AK13</f>
    </nc>
    <odxf>
      <numFmt numFmtId="0" formatCode="General"/>
    </odxf>
    <ndxf>
      <numFmt numFmtId="3" formatCode="#,##0"/>
    </ndxf>
  </rcc>
  <rcc rId="40614" sId="2" odxf="1" dxf="1">
    <nc r="AO14">
      <f>AN14-AK14</f>
    </nc>
    <odxf>
      <numFmt numFmtId="0" formatCode="General"/>
    </odxf>
    <ndxf>
      <numFmt numFmtId="3" formatCode="#,##0"/>
    </ndxf>
  </rcc>
  <rcc rId="40615" sId="2" odxf="1" dxf="1">
    <nc r="AO15">
      <f>AN15-AK15</f>
    </nc>
    <odxf>
      <numFmt numFmtId="0" formatCode="General"/>
    </odxf>
    <ndxf>
      <numFmt numFmtId="3" formatCode="#,##0"/>
    </ndxf>
  </rcc>
  <rcc rId="40616" sId="2" odxf="1" dxf="1">
    <nc r="AO16">
      <f>AN16-AK16</f>
    </nc>
    <odxf>
      <numFmt numFmtId="0" formatCode="General"/>
    </odxf>
    <ndxf>
      <numFmt numFmtId="3" formatCode="#,##0"/>
    </ndxf>
  </rcc>
  <rcc rId="40617" sId="2" odxf="1" dxf="1">
    <nc r="AO17">
      <f>AN17-AK17</f>
    </nc>
    <odxf>
      <numFmt numFmtId="0" formatCode="General"/>
    </odxf>
    <ndxf>
      <numFmt numFmtId="3" formatCode="#,##0"/>
    </ndxf>
  </rcc>
  <rcc rId="40618" sId="2" odxf="1" dxf="1">
    <nc r="AO18">
      <f>AN18-AK18</f>
    </nc>
    <odxf>
      <font>
        <b/>
      </font>
      <numFmt numFmtId="0" formatCode="General"/>
    </odxf>
    <ndxf>
      <font>
        <b val="0"/>
        <sz val="10"/>
        <color auto="1"/>
        <name val="Arial"/>
        <scheme val="none"/>
      </font>
      <numFmt numFmtId="3" formatCode="#,##0"/>
    </ndxf>
  </rcc>
  <rcc rId="40619" sId="2">
    <nc r="AP11">
      <f>AO11/AK11</f>
    </nc>
  </rcc>
  <rcc rId="40620" sId="2">
    <nc r="AN9" t="inlineStr">
      <is>
        <t>FY 2013 Proposed</t>
      </is>
    </nc>
  </rcc>
  <rcc rId="40621" sId="2">
    <nc r="AP12">
      <f>AO12/AK12</f>
    </nc>
  </rcc>
  <rcc rId="40622" sId="2">
    <nc r="AP13">
      <f>AO13/AK13</f>
    </nc>
  </rcc>
  <rcc rId="40623" sId="2">
    <nc r="AP14">
      <f>AO14/AK14</f>
    </nc>
  </rcc>
  <rcc rId="40624" sId="2">
    <nc r="AP15">
      <f>AO15/AK15</f>
    </nc>
  </rcc>
  <rcc rId="40625" sId="2">
    <nc r="AP16">
      <f>AO16/AK16</f>
    </nc>
  </rcc>
  <rcc rId="40626" sId="2">
    <nc r="AP17">
      <f>AO17/AK17</f>
    </nc>
  </rcc>
  <rcc rId="40627" sId="2" odxf="1" dxf="1">
    <nc r="AP18">
      <f>AO18/AK18</f>
    </nc>
    <odxf>
      <font>
        <b/>
      </font>
    </odxf>
    <ndxf>
      <font>
        <b val="0"/>
        <sz val="10"/>
        <color auto="1"/>
        <name val="Arial"/>
        <scheme val="none"/>
      </font>
    </ndxf>
  </rcc>
  <rfmt sheetId="2" sqref="AP11:AP18">
    <dxf>
      <numFmt numFmtId="14" formatCode="0.00%"/>
    </dxf>
  </rfmt>
  <rcc rId="40628" sId="3">
    <nc r="AN10" t="inlineStr">
      <is>
        <t>Proposed</t>
      </is>
    </nc>
  </rcc>
  <rcc rId="40629" sId="3">
    <nc r="AN11">
      <f>'FY2013 by Approp Title'!AN11*Inflator!E15</f>
    </nc>
  </rcc>
  <rfmt sheetId="3" sqref="AN18" start="0" length="0">
    <dxf>
      <font>
        <b val="0"/>
        <sz val="10"/>
        <color auto="1"/>
        <name val="Arial"/>
        <scheme val="none"/>
      </font>
    </dxf>
  </rfmt>
  <rcc rId="40630" sId="3">
    <nc r="AN12">
      <f>'FY2013 by Approp Title'!AN12*Inflator!E15</f>
    </nc>
  </rcc>
  <rcc rId="40631" sId="3">
    <nc r="AN13">
      <f>'FY2013 by Approp Title'!AN13*Inflator!E15</f>
    </nc>
  </rcc>
  <rcc rId="40632" sId="3">
    <nc r="AN14">
      <f>'FY2013 by Approp Title'!AN14*Inflator!E15</f>
    </nc>
  </rcc>
  <rcc rId="40633" sId="3">
    <nc r="AN15">
      <f>'FY2013 by Approp Title'!AN15*Inflator!E15</f>
    </nc>
  </rcc>
  <rcc rId="40634" sId="3">
    <nc r="AN16">
      <f>'FY2013 by Approp Title'!AN16*Inflator!E15</f>
    </nc>
  </rcc>
  <rcc rId="40635" sId="3">
    <nc r="AN17">
      <f>'FY2013 by Approp Title'!AN17*Inflator!E15</f>
    </nc>
  </rcc>
  <rcc rId="40636" sId="3">
    <nc r="AN18">
      <f>'FY2013 by Approp Title'!AN18*Inflator!E15</f>
    </nc>
  </rcc>
  <rcc rId="40637" sId="3" odxf="1" dxf="1">
    <nc r="AO11">
      <f>AN11-AK11</f>
    </nc>
    <odxf>
      <numFmt numFmtId="0" formatCode="General"/>
    </odxf>
    <ndxf>
      <numFmt numFmtId="165" formatCode="&quot;$&quot;#,##0"/>
    </ndxf>
  </rcc>
  <rcc rId="40638" sId="3" odxf="1" dxf="1">
    <nc r="AO12">
      <f>AN12-AK12</f>
    </nc>
    <odxf>
      <numFmt numFmtId="0" formatCode="General"/>
    </odxf>
    <ndxf>
      <numFmt numFmtId="165" formatCode="&quot;$&quot;#,##0"/>
    </ndxf>
  </rcc>
  <rcc rId="40639" sId="3" odxf="1" dxf="1">
    <nc r="AO13">
      <f>AN13-AK13</f>
    </nc>
    <odxf>
      <numFmt numFmtId="0" formatCode="General"/>
    </odxf>
    <ndxf>
      <numFmt numFmtId="165" formatCode="&quot;$&quot;#,##0"/>
    </ndxf>
  </rcc>
  <rcc rId="40640" sId="3" odxf="1" dxf="1">
    <nc r="AO14">
      <f>AN14-AK14</f>
    </nc>
    <odxf>
      <numFmt numFmtId="0" formatCode="General"/>
    </odxf>
    <ndxf>
      <numFmt numFmtId="165" formatCode="&quot;$&quot;#,##0"/>
    </ndxf>
  </rcc>
  <rcc rId="40641" sId="3" odxf="1" dxf="1">
    <nc r="AO15">
      <f>AN15-AK15</f>
    </nc>
    <odxf>
      <numFmt numFmtId="0" formatCode="General"/>
    </odxf>
    <ndxf>
      <numFmt numFmtId="165" formatCode="&quot;$&quot;#,##0"/>
    </ndxf>
  </rcc>
  <rcc rId="40642" sId="3" odxf="1" dxf="1">
    <nc r="AO16">
      <f>AN16-AK16</f>
    </nc>
    <odxf>
      <numFmt numFmtId="0" formatCode="General"/>
    </odxf>
    <ndxf>
      <numFmt numFmtId="165" formatCode="&quot;$&quot;#,##0"/>
    </ndxf>
  </rcc>
  <rcc rId="40643" sId="3" odxf="1" dxf="1">
    <nc r="AO17">
      <f>AN17-AK17</f>
    </nc>
    <odxf>
      <numFmt numFmtId="0" formatCode="General"/>
    </odxf>
    <ndxf>
      <numFmt numFmtId="165" formatCode="&quot;$&quot;#,##0"/>
    </ndxf>
  </rcc>
  <rcc rId="40644" sId="3">
    <nc r="AP11">
      <f>AO11/AK11</f>
    </nc>
  </rcc>
  <rcc rId="40645" sId="3">
    <nc r="AP12">
      <f>AO12/AK12</f>
    </nc>
  </rcc>
  <rcc rId="40646" sId="3">
    <nc r="AP13">
      <f>AO13/AK13</f>
    </nc>
  </rcc>
  <rcc rId="40647" sId="3">
    <nc r="AP14">
      <f>AO14/AK14</f>
    </nc>
  </rcc>
  <rcc rId="40648" sId="3">
    <nc r="AP15">
      <f>AO15/AK15</f>
    </nc>
  </rcc>
  <rcc rId="40649" sId="3">
    <nc r="AP16">
      <f>AO16/AK16</f>
    </nc>
  </rcc>
  <rcc rId="40650" sId="3">
    <nc r="AP17">
      <f>AO17/AK17</f>
    </nc>
  </rcc>
  <rcc rId="40651" sId="3" odxf="1" dxf="1">
    <nc r="AP18">
      <f>AO18/AK18</f>
    </nc>
    <odxf>
      <font>
        <b/>
      </font>
    </odxf>
    <ndxf>
      <font>
        <b val="0"/>
        <sz val="10"/>
        <color auto="1"/>
        <name val="Arial"/>
        <scheme val="none"/>
      </font>
    </ndxf>
  </rcc>
  <rcc rId="40652" sId="3" odxf="1" dxf="1">
    <nc r="AO18">
      <f>AN18-AK18</f>
    </nc>
    <odxf>
      <font>
        <b/>
      </font>
      <numFmt numFmtId="0" formatCode="General"/>
    </odxf>
    <ndxf>
      <font>
        <b val="0"/>
        <sz val="10"/>
        <color auto="1"/>
        <name val="Arial"/>
        <scheme val="none"/>
      </font>
      <numFmt numFmtId="165" formatCode="&quot;$&quot;#,##0"/>
    </ndxf>
  </rcc>
  <rcv guid="{455630F5-40FC-47DB-8AD4-712C20B8FB91}" action="delete"/>
  <rdn rId="0" localSheetId="2" customView="1" name="Z_455630F5_40FC_47DB_8AD4_712C20B8FB91_.wvu.Cols" hidden="1" oldHidden="1">
    <formula>'FY2013 by Approp Title'!$AA:$AA</formula>
    <oldFormula>'FY2013 by Approp Title'!$AA:$AA</oldFormula>
  </rdn>
  <rdn rId="0" localSheetId="3" customView="1" name="Z_455630F5_40FC_47DB_8AD4_712C20B8FB91_.wvu.Cols" hidden="1" oldHidden="1">
    <formula>'FY2013 By Approp Title-Adj'!$AA:$AA</formula>
    <oldFormula>'FY2013 By Approp Title-Adj'!$AA:$AA</oldFormula>
  </rdn>
  <rdn rId="0" localSheetId="4" customView="1" name="Z_455630F5_40FC_47DB_8AD4_712C20B8FB91_.wvu.Rows" hidden="1" oldHidden="1">
    <formula>'FY 2013 by Agency'!$1:$3,'FY 2013 by Agency'!$226:$240</formula>
    <oldFormula>'FY 2013 by Agency'!$1:$3,'FY 2013 by Agency'!$226:$240</oldFormula>
  </rdn>
  <rdn rId="0" localSheetId="4" customView="1" name="Z_455630F5_40FC_47DB_8AD4_712C20B8FB91_.wvu.Cols" hidden="1" oldHidden="1">
    <formula>'FY 2013 by Agency'!$D:$E,'FY 2013 by Agency'!$G:$H,'FY 2013 by Agency'!$J:$K,'FY 2013 by Agency'!$M:$N,'FY 2013 by Agency'!$P:$Q,'FY 2013 by Agency'!$S:$T,'FY 2013 by Agency'!$V:$W,'FY 2013 by Agency'!$Y:$Z,'FY 2013 by Agency'!$AB:$AE,'FY 2013 by Agency'!$AG:$AO,'FY 2013 by Agency'!$AV:$AW,'FY 2013 by Agency'!$AY:$AZ,'FY 2013 by Agency'!$BF:$BG</formula>
    <oldFormula>'FY 2013 by Agency'!$D:$E,'FY 2013 by Agency'!$G:$H,'FY 2013 by Agency'!$J:$K,'FY 2013 by Agency'!$M:$N,'FY 2013 by Agency'!$P:$Q,'FY 2013 by Agency'!$S:$T,'FY 2013 by Agency'!$V:$W,'FY 2013 by Agency'!$Y:$Z,'FY 2013 by Agency'!$AB:$AE,'FY 2013 by Agency'!$AG:$AO,'FY 2013 by Agency'!$AV:$AW,'FY 2013 by Agency'!$AY:$AZ,'FY 2013 by Agency'!$BF:$BG</oldFormula>
  </rdn>
  <rdn rId="0" localSheetId="5" customView="1" name="Z_455630F5_40FC_47DB_8AD4_712C20B8FB91_.wvu.Rows" hidden="1" oldHidden="1">
    <formula>'FY 2013 by Agency-Adj'!$1:$3,'FY 2013 by Agency-Adj'!$14:$14,'FY 2013 by Agency-Adj'!$19:$19,'FY 2013 by Agency-Adj'!$156:$156,'FY 2013 by Agency-Adj'!$163:$163,'FY 2013 by Agency-Adj'!$227:$241</formula>
    <oldFormula>'FY 2013 by Agency-Adj'!$1:$3,'FY 2013 by Agency-Adj'!$14:$14,'FY 2013 by Agency-Adj'!$19:$19,'FY 2013 by Agency-Adj'!$156:$156,'FY 2013 by Agency-Adj'!$163:$163,'FY 2013 by Agency-Adj'!$227:$241</oldFormula>
  </rdn>
  <rdn rId="0" localSheetId="5" customView="1" name="Z_455630F5_40FC_47DB_8AD4_712C20B8FB91_.wvu.Cols" hidden="1" oldHidden="1">
    <formula>'FY 2013 by Agency-Adj'!$AD:$AE,'FY 2013 by Agency-Adj'!$AI:$BK,'FY 2013 by Agency-Adj'!$BO:$BT</formula>
    <oldFormula>'FY 2013 by Agency-Adj'!$AD:$AE,'FY 2013 by Agency-Adj'!$AI:$BK,'FY 2013 by Agency-Adj'!$BO:$BT</oldFormula>
  </rdn>
  <rdn rId="0" localSheetId="8" customView="1" name="Z_455630F5_40FC_47DB_8AD4_712C20B8FB91_.wvu.Rows" hidden="1" oldHidden="1">
    <formula>'Sheet 4'!$1:$6</formula>
    <oldFormula>'Sheet 4'!$1:$6</oldFormula>
  </rdn>
  <rcv guid="{455630F5-40FC-47DB-8AD4-712C20B8FB91}" action="add"/>
</revisions>
</file>

<file path=xl/revisions/revisionLog1412.xml><?xml version="1.0" encoding="utf-8"?>
<revisions xmlns="http://schemas.openxmlformats.org/spreadsheetml/2006/main" xmlns:r="http://schemas.openxmlformats.org/officeDocument/2006/relationships">
  <rcc rId="41355" sId="4" numFmtId="11">
    <nc r="BP120">
      <v>44880660.832675785</v>
    </nc>
  </rcc>
  <rcc rId="41356" sId="4" numFmtId="11">
    <nc r="BP122">
      <v>4249886</v>
    </nc>
  </rcc>
  <rcc rId="41357" sId="4" numFmtId="11">
    <nc r="BP124">
      <v>54360</v>
    </nc>
  </rcc>
  <rcc rId="41358" sId="4" numFmtId="11">
    <nc r="BP125">
      <v>2616201</v>
    </nc>
  </rcc>
  <rcc rId="41359" sId="4" numFmtId="11">
    <nc r="BP127">
      <v>832527</v>
    </nc>
  </rcc>
  <rcc rId="41360" sId="4" numFmtId="11">
    <nc r="BP128">
      <v>391726</v>
    </nc>
  </rcc>
  <rcc rId="41361" sId="4">
    <nc r="BS125">
      <v>2590</v>
    </nc>
  </rcc>
  <rcc rId="41362" sId="4">
    <nc r="BS127">
      <v>250</v>
    </nc>
  </rcc>
  <rcc rId="41363" sId="4">
    <nc r="BS119">
      <v>0</v>
    </nc>
  </rcc>
  <rcc rId="41364" sId="4">
    <nc r="BS128">
      <v>2140</v>
    </nc>
  </rcc>
  <rcc rId="41365" sId="4">
    <nc r="BS124">
      <v>0</v>
    </nc>
  </rcc>
  <rcc rId="41366" sId="4">
    <nc r="BS122">
      <v>128983</v>
    </nc>
  </rcc>
  <rcc rId="41367" sId="4">
    <nc r="BS120">
      <v>152000</v>
    </nc>
  </rcc>
  <rcv guid="{50528D02-548E-47E0-94D7-D1E79CD3569C}" action="delete"/>
  <rdn rId="0" localSheetId="2" customView="1" name="Z_50528D02_548E_47E0_94D7_D1E79CD3569C_.wvu.Cols" hidden="1" oldHidden="1">
    <formula>'FY2013 by Approp Title'!$AA:$AA</formula>
    <oldFormula>'FY2013 by Approp Title'!$AA:$AA</oldFormula>
  </rdn>
  <rdn rId="0" localSheetId="3" customView="1" name="Z_50528D02_548E_47E0_94D7_D1E79CD3569C_.wvu.Cols" hidden="1" oldHidden="1">
    <formula>'FY2013 By Approp Title-Adj'!$AA:$AA</formula>
    <oldFormula>'FY2013 By Approp Title-Adj'!$AA:$AA</oldFormula>
  </rdn>
  <rdn rId="0" localSheetId="4" customView="1" name="Z_50528D02_548E_47E0_94D7_D1E79CD3569C_.wvu.Rows" hidden="1" oldHidden="1">
    <formula>'FY 2013 by Agency'!$1:$3,'FY 2013 by Agency'!$226:$240</formula>
    <oldFormula>'FY 2013 by Agency'!$1:$3,'FY 2013 by Agency'!$226:$240</oldFormula>
  </rdn>
  <rdn rId="0" localSheetId="4" customView="1" name="Z_50528D02_548E_47E0_94D7_D1E79CD3569C_.wvu.Cols" hidden="1" oldHidden="1">
    <formula>'FY 2013 by Agency'!$D:$E,'FY 2013 by Agency'!$G:$H,'FY 2013 by Agency'!$J:$K,'FY 2013 by Agency'!$M:$N,'FY 2013 by Agency'!$P:$Q,'FY 2013 by Agency'!$S:$T,'FY 2013 by Agency'!$V:$W,'FY 2013 by Agency'!$Y:$Z,'FY 2013 by Agency'!$AB:$AE,'FY 2013 by Agency'!$AG:$AO,'FY 2013 by Agency'!$AV:$AW,'FY 2013 by Agency'!$AY:$AZ,'FY 2013 by Agency'!$BF:$BG</formula>
    <oldFormula>'FY 2013 by Agency'!$D:$E,'FY 2013 by Agency'!$G:$H,'FY 2013 by Agency'!$J:$K,'FY 2013 by Agency'!$M:$N,'FY 2013 by Agency'!$P:$Q,'FY 2013 by Agency'!$S:$T,'FY 2013 by Agency'!$V:$W,'FY 2013 by Agency'!$Y:$Z,'FY 2013 by Agency'!$AB:$AE,'FY 2013 by Agency'!$AG:$AO,'FY 2013 by Agency'!$AV:$AW,'FY 2013 by Agency'!$AY:$AZ,'FY 2013 by Agency'!$BF:$BG</oldFormula>
  </rdn>
  <rdn rId="0" localSheetId="5" customView="1" name="Z_50528D02_548E_47E0_94D7_D1E79CD3569C_.wvu.Rows" hidden="1" oldHidden="1">
    <formula>'FY 2013 by Agency-Adj'!$1:$3,'FY 2013 by Agency-Adj'!$14:$14,'FY 2013 by Agency-Adj'!$19:$19,'FY 2013 by Agency-Adj'!$156:$156,'FY 2013 by Agency-Adj'!$163:$163,'FY 2013 by Agency-Adj'!$227:$241</formula>
    <oldFormula>'FY 2013 by Agency-Adj'!$1:$3,'FY 2013 by Agency-Adj'!$14:$14,'FY 2013 by Agency-Adj'!$19:$19,'FY 2013 by Agency-Adj'!$156:$156,'FY 2013 by Agency-Adj'!$163:$163,'FY 2013 by Agency-Adj'!$227:$241</oldFormula>
  </rdn>
  <rdn rId="0" localSheetId="5" customView="1" name="Z_50528D02_548E_47E0_94D7_D1E79CD3569C_.wvu.Cols" hidden="1" oldHidden="1">
    <formula>'FY 2013 by Agency-Adj'!$AD:$AE,'FY 2013 by Agency-Adj'!$AI:$BK,'FY 2013 by Agency-Adj'!$BO:$BT</formula>
    <oldFormula>'FY 2013 by Agency-Adj'!$AD:$AE,'FY 2013 by Agency-Adj'!$AI:$BK,'FY 2013 by Agency-Adj'!$BO:$BT</oldFormula>
  </rdn>
  <rdn rId="0" localSheetId="8" customView="1" name="Z_50528D02_548E_47E0_94D7_D1E79CD3569C_.wvu.Rows" hidden="1" oldHidden="1">
    <formula>'Sheet 4'!$1:$6</formula>
    <oldFormula>'Sheet 4'!$1:$6</oldFormula>
  </rdn>
  <rcv guid="{50528D02-548E-47E0-94D7-D1E79CD3569C}" action="add"/>
</revisions>
</file>

<file path=xl/revisions/revisionLog14121.xml><?xml version="1.0" encoding="utf-8"?>
<revisions xmlns="http://schemas.openxmlformats.org/spreadsheetml/2006/main" xmlns:r="http://schemas.openxmlformats.org/officeDocument/2006/relationships">
  <rcv guid="{9D4F0482-B164-4671-805A-E0D2D4DD4720}" action="delete"/>
  <rdn rId="0" localSheetId="2" customView="1" name="Z_9D4F0482_B164_4671_805A_E0D2D4DD4720_.wvu.Cols" hidden="1" oldHidden="1">
    <formula>'FY2013 by Approp Title'!$AA:$AA</formula>
    <oldFormula>'FY2013 by Approp Title'!$AA:$AA</oldFormula>
  </rdn>
  <rdn rId="0" localSheetId="3" customView="1" name="Z_9D4F0482_B164_4671_805A_E0D2D4DD4720_.wvu.Cols" hidden="1" oldHidden="1">
    <formula>'FY2013 By Approp Title-Adj'!$AA:$AA</formula>
    <oldFormula>'FY2013 By Approp Title-Adj'!$AA:$AA</oldFormula>
  </rdn>
  <rdn rId="0" localSheetId="4" customView="1" name="Z_9D4F0482_B164_4671_805A_E0D2D4DD4720_.wvu.Rows" hidden="1" oldHidden="1">
    <formula>'FY 2013 by Agency'!$1:$3,'FY 2013 by Agency'!$226:$240</formula>
    <oldFormula>'FY 2013 by Agency'!$1:$3,'FY 2013 by Agency'!$226:$240</oldFormula>
  </rdn>
  <rdn rId="0" localSheetId="4" customView="1" name="Z_9D4F0482_B164_4671_805A_E0D2D4DD4720_.wvu.Cols" hidden="1" oldHidden="1">
    <formula>'FY 2013 by Agency'!$AI:$AW</formula>
    <oldFormula>'FY 2013 by Agency'!$AI:$AW</oldFormula>
  </rdn>
  <rdn rId="0" localSheetId="5" customView="1" name="Z_9D4F0482_B164_4671_805A_E0D2D4DD4720_.wvu.Rows" hidden="1" oldHidden="1">
    <formula>'FY 2013 by Agency-Adj'!$1:$3,'FY 2013 by Agency-Adj'!$14:$14,'FY 2013 by Agency-Adj'!$19:$19,'FY 2013 by Agency-Adj'!$148:$148,'FY 2013 by Agency-Adj'!$156:$156,'FY 2013 by Agency-Adj'!$163:$163,'FY 2013 by Agency-Adj'!$227:$241</formula>
    <oldFormula>'FY 2013 by Agency-Adj'!$1:$3,'FY 2013 by Agency-Adj'!$14:$14,'FY 2013 by Agency-Adj'!$19:$19,'FY 2013 by Agency-Adj'!$148:$148,'FY 2013 by Agency-Adj'!$156:$156,'FY 2013 by Agency-Adj'!$163:$163,'FY 2013 by Agency-Adj'!$227:$241</oldFormula>
  </rdn>
  <rdn rId="0" localSheetId="5" customView="1" name="Z_9D4F0482_B164_4671_805A_E0D2D4DD4720_.wvu.Cols" hidden="1" oldHidden="1">
    <formula>'FY 2013 by Agency-Adj'!$AD:$AE,'FY 2013 by Agency-Adj'!$AI:$BJ</formula>
    <oldFormula>'FY 2013 by Agency-Adj'!$AD:$AE,'FY 2013 by Agency-Adj'!$AI:$BJ</oldFormula>
  </rdn>
  <rdn rId="0" localSheetId="8" customView="1" name="Z_9D4F0482_B164_4671_805A_E0D2D4DD4720_.wvu.Rows" hidden="1" oldHidden="1">
    <formula>'Sheet 4'!$1:$6</formula>
    <oldFormula>'Sheet 4'!$1:$6</oldFormula>
  </rdn>
  <rcv guid="{9D4F0482-B164-4671-805A-E0D2D4DD4720}" action="add"/>
</revisions>
</file>

<file path=xl/revisions/revisionLog141211.xml><?xml version="1.0" encoding="utf-8"?>
<revisions xmlns="http://schemas.openxmlformats.org/spreadsheetml/2006/main" xmlns:r="http://schemas.openxmlformats.org/officeDocument/2006/relationships">
  <rcc rId="41091" sId="4" numFmtId="11">
    <nc r="BO85">
      <v>497064</v>
    </nc>
  </rcc>
  <rcc rId="41092" sId="4" numFmtId="11">
    <nc r="BO86">
      <v>200728</v>
    </nc>
  </rcc>
  <rcc rId="41093" sId="4" numFmtId="11">
    <nc r="BO87">
      <v>96314</v>
    </nc>
  </rcc>
  <rcc rId="41094" sId="4" numFmtId="11">
    <nc r="BO88">
      <v>141400</v>
    </nc>
  </rcc>
  <rcc rId="41095" sId="4" numFmtId="11">
    <nc r="BO89">
      <v>7015</v>
    </nc>
  </rcc>
  <rcc rId="41096" sId="4" numFmtId="11">
    <nc r="BO90">
      <v>102039</v>
    </nc>
  </rcc>
  <rcc rId="41097" sId="4" numFmtId="11">
    <nc r="BO92">
      <v>295</v>
    </nc>
  </rcc>
  <rcc rId="41098" sId="4" numFmtId="11">
    <nc r="BO93">
      <v>205</v>
    </nc>
  </rcc>
  <rcc rId="41099" sId="4" numFmtId="11">
    <nc r="BO95">
      <v>907</v>
    </nc>
  </rcc>
  <rcc rId="41100" sId="4" numFmtId="11">
    <nc r="BO94">
      <v>2091</v>
    </nc>
  </rcc>
  <rcc rId="41101" sId="4" numFmtId="11">
    <nc r="BO96">
      <v>7974</v>
    </nc>
  </rcc>
  <rcc rId="41102" sId="4" numFmtId="11">
    <nc r="BO97">
      <v>9125</v>
    </nc>
  </rcc>
  <rcc rId="41103" sId="4" numFmtId="11">
    <nc r="BO99">
      <v>2108</v>
    </nc>
  </rcc>
  <rcc rId="41104" sId="4" numFmtId="11">
    <nc r="BO100">
      <v>0</v>
    </nc>
  </rcc>
  <rcc rId="41105" sId="4" numFmtId="11">
    <nc r="BO104">
      <v>44293</v>
    </nc>
  </rcc>
  <rcc rId="41106" sId="4" numFmtId="11">
    <nc r="BO106">
      <v>18484</v>
    </nc>
  </rcc>
  <rdn rId="0" localSheetId="2" customView="1" name="Z_E81D05A4_5B21_42D3_A8D3_906ABCABC0F4_.wvu.Cols" hidden="1" oldHidden="1">
    <formula>'FY2013 by Approp Title'!$AA:$AA</formula>
  </rdn>
  <rdn rId="0" localSheetId="3" customView="1" name="Z_E81D05A4_5B21_42D3_A8D3_906ABCABC0F4_.wvu.Cols" hidden="1" oldHidden="1">
    <formula>'FY2013 By Approp Title-Adj'!$AA:$AA</formula>
  </rdn>
  <rdn rId="0" localSheetId="4" customView="1" name="Z_E81D05A4_5B21_42D3_A8D3_906ABCABC0F4_.wvu.Rows" hidden="1" oldHidden="1">
    <formula>'FY 2013 by Agency'!$1:$3,'FY 2013 by Agency'!$226:$240</formula>
  </rdn>
  <rdn rId="0" localSheetId="4" customView="1" name="Z_E81D05A4_5B21_42D3_A8D3_906ABCABC0F4_.wvu.Cols" hidden="1" oldHidden="1">
    <formula>'FY 2013 by Agency'!$D:$E,'FY 2013 by Agency'!$G:$H,'FY 2013 by Agency'!$J:$K,'FY 2013 by Agency'!$M:$N,'FY 2013 by Agency'!$P:$Q,'FY 2013 by Agency'!$S:$T,'FY 2013 by Agency'!$V:$W,'FY 2013 by Agency'!$Y:$Z,'FY 2013 by Agency'!$AB:$AE,'FY 2013 by Agency'!$AV:$AW,'FY 2013 by Agency'!$AY:$AZ,'FY 2013 by Agency'!$BF:$BG,'FY 2013 by Agency'!$BM:$BN</formula>
  </rdn>
  <rdn rId="0" localSheetId="5" customView="1" name="Z_E81D05A4_5B21_42D3_A8D3_906ABCABC0F4_.wvu.Rows" hidden="1" oldHidden="1">
    <formula>'FY 2013 by Agency-Adj'!$1:$3,'FY 2013 by Agency-Adj'!$14:$14,'FY 2013 by Agency-Adj'!$19:$19,'FY 2013 by Agency-Adj'!$156:$156,'FY 2013 by Agency-Adj'!$163:$163,'FY 2013 by Agency-Adj'!$227:$241</formula>
  </rdn>
  <rdn rId="0" localSheetId="5" customView="1" name="Z_E81D05A4_5B21_42D3_A8D3_906ABCABC0F4_.wvu.Cols" hidden="1" oldHidden="1">
    <formula>'FY 2013 by Agency-Adj'!$AD:$AE,'FY 2013 by Agency-Adj'!$AI:$BK,'FY 2013 by Agency-Adj'!$BO:$BT</formula>
  </rdn>
  <rdn rId="0" localSheetId="8" customView="1" name="Z_E81D05A4_5B21_42D3_A8D3_906ABCABC0F4_.wvu.Rows" hidden="1" oldHidden="1">
    <formula>'Sheet 4'!$1:$6</formula>
  </rdn>
  <rcv guid="{E81D05A4-5B21-42D3-A8D3-906ABCABC0F4}" action="add"/>
</revisions>
</file>

<file path=xl/revisions/revisionLog1412111.xml><?xml version="1.0" encoding="utf-8"?>
<revisions xmlns="http://schemas.openxmlformats.org/spreadsheetml/2006/main" xmlns:r="http://schemas.openxmlformats.org/officeDocument/2006/relationships">
  <rcc rId="41050" sId="4" numFmtId="11">
    <nc r="BO181">
      <v>65433</v>
    </nc>
  </rcc>
  <rcv guid="{78CA186D-B240-44D5-8A24-D241DE0B0FD9}" action="delete"/>
  <rdn rId="0" localSheetId="2" customView="1" name="Z_78CA186D_B240_44D5_8A24_D241DE0B0FD9_.wvu.Cols" hidden="1" oldHidden="1">
    <formula>'FY2013 by Approp Title'!$AA:$AA</formula>
    <oldFormula>'FY2013 by Approp Title'!$AA:$AA</oldFormula>
  </rdn>
  <rdn rId="0" localSheetId="3" customView="1" name="Z_78CA186D_B240_44D5_8A24_D241DE0B0FD9_.wvu.Cols" hidden="1" oldHidden="1">
    <formula>'FY2013 By Approp Title-Adj'!$AA:$AA</formula>
    <oldFormula>'FY2013 By Approp Title-Adj'!$AA:$AA</oldFormula>
  </rdn>
  <rdn rId="0" localSheetId="4" customView="1" name="Z_78CA186D_B240_44D5_8A24_D241DE0B0FD9_.wvu.Rows" hidden="1" oldHidden="1">
    <formula>'FY 2013 by Agency'!$1:$3,'FY 2013 by Agency'!$226:$240</formula>
    <oldFormula>'FY 2013 by Agency'!$1:$3,'FY 2013 by Agency'!$226:$240</oldFormula>
  </rdn>
  <rdn rId="0" localSheetId="4" customView="1" name="Z_78CA186D_B240_44D5_8A24_D241DE0B0FD9_.wvu.Cols" hidden="1" oldHidden="1">
    <formula>'FY 2013 by Agency'!$D:$E,'FY 2013 by Agency'!$G:$H,'FY 2013 by Agency'!$J:$K,'FY 2013 by Agency'!$M:$N,'FY 2013 by Agency'!$P:$Q,'FY 2013 by Agency'!$S:$T,'FY 2013 by Agency'!$V:$W,'FY 2013 by Agency'!$Y:$Z,'FY 2013 by Agency'!$AB:$AE,'FY 2013 by Agency'!$AV:$AW,'FY 2013 by Agency'!$AY:$AZ,'FY 2013 by Agency'!$BF:$BG,'FY 2013 by Agency'!$BM:$BN</formula>
    <oldFormula>'FY 2013 by Agency'!$D:$E,'FY 2013 by Agency'!$G:$H,'FY 2013 by Agency'!$J:$K,'FY 2013 by Agency'!$M:$N,'FY 2013 by Agency'!$P:$Q,'FY 2013 by Agency'!$S:$T,'FY 2013 by Agency'!$V:$W,'FY 2013 by Agency'!$Y:$Z,'FY 2013 by Agency'!$AB:$AE,'FY 2013 by Agency'!$AV:$AW,'FY 2013 by Agency'!$AY:$AZ,'FY 2013 by Agency'!$BF:$BG,'FY 2013 by Agency'!$BM:$BN</oldFormula>
  </rdn>
  <rdn rId="0" localSheetId="5" customView="1" name="Z_78CA186D_B240_44D5_8A24_D241DE0B0FD9_.wvu.Rows" hidden="1" oldHidden="1">
    <formula>'FY 2013 by Agency-Adj'!$1:$3,'FY 2013 by Agency-Adj'!$14:$14,'FY 2013 by Agency-Adj'!$19:$19,'FY 2013 by Agency-Adj'!$156:$156,'FY 2013 by Agency-Adj'!$163:$163,'FY 2013 by Agency-Adj'!$227:$241</formula>
    <oldFormula>'FY 2013 by Agency-Adj'!$1:$3,'FY 2013 by Agency-Adj'!$14:$14,'FY 2013 by Agency-Adj'!$19:$19,'FY 2013 by Agency-Adj'!$156:$156,'FY 2013 by Agency-Adj'!$163:$163,'FY 2013 by Agency-Adj'!$227:$241</oldFormula>
  </rdn>
  <rdn rId="0" localSheetId="5" customView="1" name="Z_78CA186D_B240_44D5_8A24_D241DE0B0FD9_.wvu.Cols" hidden="1" oldHidden="1">
    <formula>'FY 2013 by Agency-Adj'!$AD:$AE,'FY 2013 by Agency-Adj'!$AI:$BK,'FY 2013 by Agency-Adj'!$BO:$BT</formula>
    <oldFormula>'FY 2013 by Agency-Adj'!$AD:$AE,'FY 2013 by Agency-Adj'!$AI:$BK,'FY 2013 by Agency-Adj'!$BO:$BT</oldFormula>
  </rdn>
  <rdn rId="0" localSheetId="8" customView="1" name="Z_78CA186D_B240_44D5_8A24_D241DE0B0FD9_.wvu.Rows" hidden="1" oldHidden="1">
    <formula>'Sheet 4'!$1:$6</formula>
    <oldFormula>'Sheet 4'!$1:$6</oldFormula>
  </rdn>
  <rcv guid="{78CA186D-B240-44D5-8A24-D241DE0B0FD9}" action="add"/>
</revisions>
</file>

<file path=xl/revisions/revisionLog1413.xml><?xml version="1.0" encoding="utf-8"?>
<revisions xmlns="http://schemas.openxmlformats.org/spreadsheetml/2006/main" xmlns:r="http://schemas.openxmlformats.org/officeDocument/2006/relationships">
  <rcc rId="41501" sId="4">
    <oc r="A109" t="inlineStr">
      <is>
        <t>Adjusted for shifts (see Fy2013 notes tab)</t>
      </is>
    </oc>
    <nc r="A109" t="inlineStr">
      <is>
        <t>Adjusted for 2012-2013 comparisons (see Fy2013 notes tab)</t>
      </is>
    </nc>
  </rcc>
  <rcc rId="41502" sId="4">
    <nc r="A110" t="inlineStr">
      <is>
        <t>Adjusted for 2008-2013 comparisons (see Fy2013 notes tab)</t>
      </is>
    </nc>
  </rcc>
  <rcc rId="41503" sId="4">
    <nc r="BO110">
      <f>+BO108-920</f>
    </nc>
  </rcc>
  <rcc rId="41504" sId="4">
    <oc r="A166" t="inlineStr">
      <is>
        <t>Adjusted for shifts (see Fy2013 notes tab)</t>
      </is>
    </oc>
    <nc r="A166" t="inlineStr">
      <is>
        <t>Adjusted for 2012-2013 comparisons (see Fy2013 notes tab)</t>
      </is>
    </nc>
  </rcc>
  <rcc rId="41505" sId="4" odxf="1" dxf="1">
    <nc r="A167" t="inlineStr">
      <is>
        <t>Adjusted for 2008-2013 comparisons (see Fy2013 notes tab)</t>
      </is>
    </nc>
    <odxf/>
    <ndxf/>
  </rcc>
  <rcv guid="{AEFEB150-9213-45F5-A178-7AC71E46DB11}" action="delete"/>
  <rdn rId="0" localSheetId="2" customView="1" name="Z_AEFEB150_9213_45F5_A178_7AC71E46DB11_.wvu.Cols" hidden="1" oldHidden="1">
    <formula>'FY2013 by Approp Title'!$AA:$AA</formula>
    <oldFormula>'FY2013 by Approp Title'!$AA:$AA</oldFormula>
  </rdn>
  <rdn rId="0" localSheetId="3" customView="1" name="Z_AEFEB150_9213_45F5_A178_7AC71E46DB11_.wvu.Cols" hidden="1" oldHidden="1">
    <formula>'FY2013 By Approp Title-Adj'!$AA:$AA</formula>
    <oldFormula>'FY2013 By Approp Title-Adj'!$AA:$AA</oldFormula>
  </rdn>
  <rdn rId="0" localSheetId="4" customView="1" name="Z_AEFEB150_9213_45F5_A178_7AC71E46DB11_.wvu.Rows" hidden="1" oldHidden="1">
    <formula>'FY 2013 by Agency'!$1:$3,'FY 2013 by Agency'!$226:$240</formula>
    <oldFormula>'FY 2013 by Agency'!$1:$3,'FY 2013 by Agency'!$226:$240</oldFormula>
  </rdn>
  <rdn rId="0" localSheetId="5" customView="1" name="Z_AEFEB150_9213_45F5_A178_7AC71E46DB11_.wvu.Rows" hidden="1" oldHidden="1">
    <formula>'FY 2013 by Agency-Adj'!$1:$3,'FY 2013 by Agency-Adj'!$227:$241</formula>
    <oldFormula>'FY 2013 by Agency-Adj'!$1:$3,'FY 2013 by Agency-Adj'!$227:$241</oldFormula>
  </rdn>
  <rdn rId="0" localSheetId="5" customView="1" name="Z_AEFEB150_9213_45F5_A178_7AC71E46DB11_.wvu.Cols" hidden="1" oldHidden="1">
    <formula>'FY 2013 by Agency-Adj'!$AJ:$AM</formula>
    <oldFormula>'FY 2013 by Agency-Adj'!$AJ:$AM</oldFormula>
  </rdn>
  <rdn rId="0" localSheetId="8" customView="1" name="Z_AEFEB150_9213_45F5_A178_7AC71E46DB11_.wvu.Rows" hidden="1" oldHidden="1">
    <formula>'Sheet 4'!$1:$6</formula>
    <oldFormula>'Sheet 4'!$1:$6</oldFormula>
  </rdn>
  <rcv guid="{AEFEB150-9213-45F5-A178-7AC71E46DB11}" action="add"/>
</revisions>
</file>

<file path=xl/revisions/revisionLog142.xml><?xml version="1.0" encoding="utf-8"?>
<revisions xmlns="http://schemas.openxmlformats.org/spreadsheetml/2006/main" xmlns:r="http://schemas.openxmlformats.org/officeDocument/2006/relationships">
  <rfmt sheetId="5" sqref="BR133" start="0" length="0">
    <dxf>
      <font>
        <b val="0"/>
      </font>
      <numFmt numFmtId="165" formatCode="&quot;$&quot;#,##0"/>
    </dxf>
  </rfmt>
  <rcc rId="42130" sId="5">
    <oc r="BR133">
      <f>'FY 2013 by Agency'!BE133*Inflator!$E$14</f>
    </oc>
    <nc r="BR133">
      <f>SUM(BR120:BR132)</f>
    </nc>
  </rcc>
  <rfmt sheetId="5" sqref="BR133" start="0" length="2147483647">
    <dxf>
      <font>
        <b/>
      </font>
    </dxf>
  </rfmt>
  <rcv guid="{567C3053-2D8E-4705-8DC7-18896C5303CA}" action="delete"/>
  <rdn rId="0" localSheetId="2" customView="1" name="Z_567C3053_2D8E_4705_8DC7_18896C5303CA_.wvu.Cols" hidden="1" oldHidden="1">
    <formula>'FY2013 by Approp Title'!$AA:$AA</formula>
    <oldFormula>'FY2013 by Approp Title'!$AA:$AA</oldFormula>
  </rdn>
  <rdn rId="0" localSheetId="3" customView="1" name="Z_567C3053_2D8E_4705_8DC7_18896C5303CA_.wvu.Cols" hidden="1" oldHidden="1">
    <formula>'FY2013 By Approp Title-Adj'!$AA:$AA</formula>
    <oldFormula>'FY2013 By Approp Title-Adj'!$AA:$AA</oldFormula>
  </rdn>
  <rdn rId="0" localSheetId="4" customView="1" name="Z_567C3053_2D8E_4705_8DC7_18896C5303CA_.wvu.Rows" hidden="1" oldHidden="1">
    <formula>'FY 2013 by Agency'!$1:$3,'FY 2013 by Agency'!$227:$241</formula>
    <oldFormula>'FY 2013 by Agency'!$1:$3,'FY 2013 by Agency'!$227:$241</oldFormula>
  </rdn>
  <rdn rId="0" localSheetId="5" customView="1" name="Z_567C3053_2D8E_4705_8DC7_18896C5303CA_.wvu.Rows" hidden="1" oldHidden="1">
    <formula>'FY 2013 by Agency-Adj'!$1:$3,'FY 2013 by Agency-Adj'!$228:$242</formula>
    <oldFormula>'FY 2013 by Agency-Adj'!$1:$3,'FY 2013 by Agency-Adj'!$228:$242</oldFormula>
  </rdn>
  <rdn rId="0" localSheetId="5" customView="1" name="Z_567C3053_2D8E_4705_8DC7_18896C5303CA_.wvu.Cols" hidden="1" oldHidden="1">
    <formula>'FY 2013 by Agency-Adj'!$V:$AB,'FY 2013 by Agency-Adj'!$AJ:$AM,'FY 2013 by Agency-Adj'!$AP:$AS,'FY 2013 by Agency-Adj'!$BS:$BZ</formula>
    <oldFormula>'FY 2013 by Agency-Adj'!$V:$AB,'FY 2013 by Agency-Adj'!$AJ:$AM,'FY 2013 by Agency-Adj'!$AP:$AS,'FY 2013 by Agency-Adj'!$BS:$BZ</oldFormula>
  </rdn>
  <rdn rId="0" localSheetId="8" customView="1" name="Z_567C3053_2D8E_4705_8DC7_18896C5303CA_.wvu.Rows" hidden="1" oldHidden="1">
    <formula>'Sheet 4'!$1:$6</formula>
    <oldFormula>'Sheet 4'!$1:$6</oldFormula>
  </rdn>
  <rcv guid="{567C3053-2D8E-4705-8DC7-18896C5303CA}" action="add"/>
</revisions>
</file>

<file path=xl/revisions/revisionLog1421.xml><?xml version="1.0" encoding="utf-8"?>
<revisions xmlns="http://schemas.openxmlformats.org/spreadsheetml/2006/main" xmlns:r="http://schemas.openxmlformats.org/officeDocument/2006/relationships">
  <rcc rId="41959" sId="5">
    <oc r="BR5" t="inlineStr">
      <is>
        <t>Proposed</t>
      </is>
    </oc>
    <nc r="BR5" t="inlineStr">
      <is>
        <t>Approved</t>
      </is>
    </nc>
  </rcc>
  <rcc rId="41960" sId="5" odxf="1" dxf="1">
    <nc r="CA4" t="inlineStr">
      <is>
        <t>FY 2013</t>
      </is>
    </nc>
    <odxf>
      <font>
        <b val="0"/>
      </font>
      <numFmt numFmtId="0" formatCode="General"/>
      <fill>
        <patternFill patternType="none">
          <bgColor indexed="65"/>
        </patternFill>
      </fill>
      <alignment horizontal="general" vertical="bottom" readingOrder="0"/>
      <border outline="0">
        <bottom/>
      </border>
    </odxf>
    <ndxf>
      <font>
        <b/>
      </font>
      <numFmt numFmtId="165" formatCode="&quot;$&quot;#,##0"/>
      <fill>
        <patternFill patternType="solid">
          <bgColor rgb="FFFFFF00"/>
        </patternFill>
      </fill>
      <alignment horizontal="center" vertical="top" readingOrder="0"/>
      <border outline="0">
        <bottom style="medium">
          <color indexed="64"/>
        </bottom>
      </border>
    </ndxf>
  </rcc>
  <rcc rId="41961" sId="5" odxf="1" dxf="1">
    <nc r="CA5" t="inlineStr">
      <is>
        <t>Proposed</t>
      </is>
    </nc>
    <odxf>
      <font>
        <b val="0"/>
      </font>
      <numFmt numFmtId="0" formatCode="General"/>
      <fill>
        <patternFill patternType="none">
          <bgColor indexed="65"/>
        </patternFill>
      </fill>
      <alignment horizontal="general" vertical="bottom" readingOrder="0"/>
      <border outline="0">
        <left/>
        <right/>
        <bottom/>
      </border>
    </odxf>
    <ndxf>
      <font>
        <b/>
      </font>
      <numFmt numFmtId="165" formatCode="&quot;$&quot;#,##0"/>
      <fill>
        <patternFill patternType="solid">
          <bgColor rgb="FFFFFF00"/>
        </patternFill>
      </fill>
      <alignment horizontal="center" vertical="top" readingOrder="0"/>
      <border outline="0">
        <left style="medium">
          <color indexed="64"/>
        </left>
        <right style="medium">
          <color indexed="64"/>
        </right>
        <bottom style="medium">
          <color indexed="64"/>
        </bottom>
      </border>
    </ndxf>
  </rcc>
  <rfmt sheetId="5" sqref="CA6" start="0" length="0">
    <dxf>
      <numFmt numFmtId="165" formatCode="&quot;$&quot;#,##0"/>
    </dxf>
  </rfmt>
  <rcc rId="41962" sId="5" odxf="1" dxf="1" numFmtId="11">
    <nc r="CA7">
      <v>20194</v>
    </nc>
    <odxf>
      <numFmt numFmtId="0" formatCode="General"/>
    </odxf>
    <ndxf>
      <numFmt numFmtId="165" formatCode="&quot;$&quot;#,##0"/>
    </ndxf>
  </rcc>
  <rcc rId="41963" sId="5" odxf="1" dxf="1" numFmtId="11">
    <nc r="CA8">
      <v>3751</v>
    </nc>
    <odxf>
      <numFmt numFmtId="0" formatCode="General"/>
    </odxf>
    <ndxf>
      <numFmt numFmtId="165" formatCode="&quot;$&quot;#,##0"/>
    </ndxf>
  </rcc>
  <rcc rId="41964" sId="5" odxf="1" dxf="1" numFmtId="11">
    <nc r="CA9">
      <v>894</v>
    </nc>
    <odxf>
      <numFmt numFmtId="0" formatCode="General"/>
    </odxf>
    <ndxf>
      <numFmt numFmtId="165" formatCode="&quot;$&quot;#,##0"/>
    </ndxf>
  </rcc>
  <rcc rId="41965" sId="5" odxf="1" dxf="1" numFmtId="11">
    <nc r="CA10">
      <v>8435</v>
    </nc>
    <odxf>
      <numFmt numFmtId="0" formatCode="General"/>
    </odxf>
    <ndxf>
      <numFmt numFmtId="165" formatCode="&quot;$&quot;#,##0"/>
    </ndxf>
  </rcc>
  <rcc rId="41966" sId="5" odxf="1" dxf="1" numFmtId="11">
    <nc r="CA11">
      <v>0</v>
    </nc>
    <odxf>
      <numFmt numFmtId="0" formatCode="General"/>
    </odxf>
    <ndxf>
      <numFmt numFmtId="165" formatCode="&quot;$&quot;#,##0"/>
    </ndxf>
  </rcc>
  <rcc rId="41967" sId="5" odxf="1" dxf="1" numFmtId="11">
    <nc r="CA12">
      <v>0</v>
    </nc>
    <odxf>
      <numFmt numFmtId="0" formatCode="General"/>
    </odxf>
    <ndxf>
      <numFmt numFmtId="165" formatCode="&quot;$&quot;#,##0"/>
    </ndxf>
  </rcc>
  <rcc rId="41968" sId="5" odxf="1" dxf="1" numFmtId="11">
    <nc r="CA13">
      <v>3246</v>
    </nc>
    <odxf>
      <numFmt numFmtId="0" formatCode="General"/>
    </odxf>
    <ndxf>
      <numFmt numFmtId="165" formatCode="&quot;$&quot;#,##0"/>
    </ndxf>
  </rcc>
  <rfmt sheetId="5" sqref="CA14" start="0" length="0">
    <dxf>
      <numFmt numFmtId="165" formatCode="&quot;$&quot;#,##0"/>
    </dxf>
  </rfmt>
  <rcc rId="41969" sId="5" odxf="1" dxf="1" numFmtId="11">
    <nc r="CA15">
      <v>3351</v>
    </nc>
    <odxf>
      <numFmt numFmtId="0" formatCode="General"/>
    </odxf>
    <ndxf>
      <numFmt numFmtId="165" formatCode="&quot;$&quot;#,##0"/>
    </ndxf>
  </rcc>
  <rcc rId="41970" sId="5" odxf="1" dxf="1" numFmtId="11">
    <nc r="CA16">
      <v>2962</v>
    </nc>
    <odxf>
      <numFmt numFmtId="0" formatCode="General"/>
    </odxf>
    <ndxf>
      <numFmt numFmtId="165" formatCode="&quot;$&quot;#,##0"/>
    </ndxf>
  </rcc>
  <rfmt sheetId="5" sqref="CA17" start="0" length="0">
    <dxf>
      <numFmt numFmtId="165" formatCode="&quot;$&quot;#,##0"/>
    </dxf>
  </rfmt>
  <rcc rId="41971" sId="5" odxf="1" dxf="1" numFmtId="11">
    <nc r="CA18">
      <v>7814</v>
    </nc>
    <odxf>
      <numFmt numFmtId="0" formatCode="General"/>
    </odxf>
    <ndxf>
      <numFmt numFmtId="165" formatCode="&quot;$&quot;#,##0"/>
    </ndxf>
  </rcc>
  <rfmt sheetId="5" sqref="CA19" start="0" length="0">
    <dxf>
      <numFmt numFmtId="165" formatCode="&quot;$&quot;#,##0"/>
    </dxf>
  </rfmt>
  <rcc rId="41972" sId="5" odxf="1" dxf="1" numFmtId="11">
    <nc r="CA20">
      <v>970</v>
    </nc>
    <odxf>
      <numFmt numFmtId="0" formatCode="General"/>
    </odxf>
    <ndxf>
      <numFmt numFmtId="165" formatCode="&quot;$&quot;#,##0"/>
    </ndxf>
  </rcc>
  <rcc rId="41973" sId="5" odxf="1" dxf="1">
    <nc r="CA21">
      <f>19667-1360</f>
    </nc>
    <odxf>
      <numFmt numFmtId="0" formatCode="General"/>
    </odxf>
    <ndxf>
      <numFmt numFmtId="165" formatCode="&quot;$&quot;#,##0"/>
    </ndxf>
  </rcc>
  <rfmt sheetId="5" sqref="CA22" start="0" length="0">
    <dxf>
      <numFmt numFmtId="165" formatCode="&quot;$&quot;#,##0"/>
    </dxf>
  </rfmt>
  <rcc rId="41974" sId="5" odxf="1" dxf="1" numFmtId="11">
    <nc r="CA23">
      <v>8971</v>
    </nc>
    <odxf>
      <numFmt numFmtId="0" formatCode="General"/>
    </odxf>
    <ndxf>
      <numFmt numFmtId="165" formatCode="&quot;$&quot;#,##0"/>
    </ndxf>
  </rcc>
  <rcc rId="41975" sId="5" odxf="1" dxf="1" numFmtId="11">
    <nc r="CA24">
      <v>52142</v>
    </nc>
    <odxf>
      <numFmt numFmtId="0" formatCode="General"/>
    </odxf>
    <ndxf>
      <numFmt numFmtId="165" formatCode="&quot;$&quot;#,##0"/>
    </ndxf>
  </rcc>
  <rcc rId="41976" sId="5" odxf="1" dxf="1">
    <nc r="CA25">
      <f>251379-47782-9794</f>
    </nc>
    <odxf>
      <numFmt numFmtId="0" formatCode="General"/>
    </odxf>
    <ndxf>
      <numFmt numFmtId="165" formatCode="&quot;$&quot;#,##0"/>
    </ndxf>
  </rcc>
  <rcc rId="41977" sId="5" odxf="1" dxf="1" numFmtId="11">
    <nc r="CA26">
      <v>847</v>
    </nc>
    <odxf>
      <numFmt numFmtId="0" formatCode="General"/>
    </odxf>
    <ndxf>
      <numFmt numFmtId="165" formatCode="&quot;$&quot;#,##0"/>
    </ndxf>
  </rcc>
  <rcc rId="41978" sId="5" odxf="1" dxf="1" numFmtId="11">
    <nc r="CA27">
      <v>5836</v>
    </nc>
    <odxf>
      <numFmt numFmtId="0" formatCode="General"/>
    </odxf>
    <ndxf>
      <numFmt numFmtId="165" formatCode="&quot;$&quot;#,##0"/>
    </ndxf>
  </rcc>
  <rcc rId="41979" sId="5" odxf="1" dxf="1" numFmtId="11">
    <nc r="CA28">
      <v>1474</v>
    </nc>
    <odxf>
      <numFmt numFmtId="0" formatCode="General"/>
    </odxf>
    <ndxf>
      <numFmt numFmtId="165" formatCode="&quot;$&quot;#,##0"/>
    </ndxf>
  </rcc>
  <rcc rId="41980" sId="5" odxf="1" dxf="1" numFmtId="11">
    <nc r="CA29">
      <v>971</v>
    </nc>
    <odxf>
      <numFmt numFmtId="0" formatCode="General"/>
    </odxf>
    <ndxf>
      <numFmt numFmtId="165" formatCode="&quot;$&quot;#,##0"/>
    </ndxf>
  </rcc>
  <rcc rId="41981" sId="5" odxf="1" dxf="1" numFmtId="11">
    <nc r="CA30">
      <v>1383</v>
    </nc>
    <odxf>
      <numFmt numFmtId="0" formatCode="General"/>
    </odxf>
    <ndxf>
      <numFmt numFmtId="165" formatCode="&quot;$&quot;#,##0"/>
    </ndxf>
  </rcc>
  <rcc rId="41982" sId="5" odxf="1" dxf="1" numFmtId="11">
    <nc r="CA31">
      <v>408</v>
    </nc>
    <odxf>
      <numFmt numFmtId="0" formatCode="General"/>
    </odxf>
    <ndxf>
      <numFmt numFmtId="165" formatCode="&quot;$&quot;#,##0"/>
    </ndxf>
  </rcc>
  <rcc rId="41983" sId="5" odxf="1" dxf="1" numFmtId="11">
    <nc r="CA32">
      <v>59800</v>
    </nc>
    <odxf>
      <numFmt numFmtId="0" formatCode="General"/>
    </odxf>
    <ndxf>
      <numFmt numFmtId="165" formatCode="&quot;$&quot;#,##0"/>
    </ndxf>
  </rcc>
  <rcc rId="41984" sId="5" odxf="1" dxf="1" numFmtId="11">
    <nc r="CA33">
      <v>13308</v>
    </nc>
    <odxf>
      <numFmt numFmtId="0" formatCode="General"/>
    </odxf>
    <ndxf>
      <numFmt numFmtId="165" formatCode="&quot;$&quot;#,##0"/>
    </ndxf>
  </rcc>
  <rcc rId="41985" sId="5" odxf="1" dxf="1">
    <nc r="CA34">
      <f>128292-2200</f>
    </nc>
    <odxf>
      <numFmt numFmtId="0" formatCode="General"/>
    </odxf>
    <ndxf>
      <numFmt numFmtId="165" formatCode="&quot;$&quot;#,##0"/>
    </ndxf>
  </rcc>
  <rcc rId="41986" sId="5" odxf="1" dxf="1" numFmtId="11">
    <nc r="CA35">
      <v>2496</v>
    </nc>
    <odxf>
      <numFmt numFmtId="0" formatCode="General"/>
    </odxf>
    <ndxf>
      <numFmt numFmtId="165" formatCode="&quot;$&quot;#,##0"/>
    </ndxf>
  </rcc>
  <rfmt sheetId="5" sqref="CA36" start="0" length="0">
    <dxf>
      <numFmt numFmtId="165" formatCode="&quot;$&quot;#,##0"/>
    </dxf>
  </rfmt>
  <rcc rId="41987" sId="5" odxf="1" dxf="1" numFmtId="11">
    <nc r="CA37">
      <v>2951</v>
    </nc>
    <odxf>
      <numFmt numFmtId="0" formatCode="General"/>
    </odxf>
    <ndxf>
      <numFmt numFmtId="165" formatCode="&quot;$&quot;#,##0"/>
    </ndxf>
  </rcc>
  <rfmt sheetId="5" sqref="CA38" start="0" length="0">
    <dxf>
      <numFmt numFmtId="165" formatCode="&quot;$&quot;#,##0"/>
    </dxf>
  </rfmt>
  <rfmt sheetId="5" sqref="CA39" start="0" length="0">
    <dxf>
      <numFmt numFmtId="165" formatCode="&quot;$&quot;#,##0"/>
    </dxf>
  </rfmt>
  <rcc rId="41988" sId="5" odxf="1" dxf="1" numFmtId="11">
    <nc r="CA40">
      <v>835</v>
    </nc>
    <odxf>
      <numFmt numFmtId="0" formatCode="General"/>
      <border outline="0">
        <bottom style="thin">
          <color indexed="64"/>
        </bottom>
      </border>
    </odxf>
    <ndxf>
      <numFmt numFmtId="165" formatCode="&quot;$&quot;#,##0"/>
      <border outline="0">
        <bottom/>
      </border>
    </ndxf>
  </rcc>
  <rcc rId="41989" sId="5" odxf="1" dxf="1">
    <nc r="CA41">
      <f>SUM(CA7:CA40)</f>
    </nc>
    <odxf>
      <numFmt numFmtId="0" formatCode="General"/>
    </odxf>
    <ndxf>
      <numFmt numFmtId="165" formatCode="&quot;$&quot;#,##0"/>
    </ndxf>
  </rcc>
  <rfmt sheetId="5" sqref="CA42" start="0" length="0">
    <dxf>
      <font>
        <b val="0"/>
      </font>
      <numFmt numFmtId="165" formatCode="&quot;$&quot;#,##0"/>
    </dxf>
  </rfmt>
  <rfmt sheetId="5" sqref="CA43" start="0" length="0">
    <dxf>
      <font>
        <b val="0"/>
      </font>
      <numFmt numFmtId="165" formatCode="&quot;$&quot;#,##0"/>
    </dxf>
  </rfmt>
  <rfmt sheetId="5" sqref="CA44" start="0" length="0">
    <dxf>
      <font>
        <b val="0"/>
      </font>
      <numFmt numFmtId="165" formatCode="&quot;$&quot;#,##0"/>
    </dxf>
  </rfmt>
  <rfmt sheetId="5" sqref="CA45" start="0" length="0">
    <dxf>
      <font>
        <b val="0"/>
      </font>
      <numFmt numFmtId="165" formatCode="&quot;$&quot;#,##0"/>
    </dxf>
  </rfmt>
  <rfmt sheetId="5" sqref="CA46" start="0" length="0">
    <dxf>
      <font>
        <b val="0"/>
      </font>
      <numFmt numFmtId="165" formatCode="&quot;$&quot;#,##0"/>
    </dxf>
  </rfmt>
  <rfmt sheetId="5" sqref="CA47" start="0" length="0">
    <dxf>
      <font>
        <b val="0"/>
      </font>
      <numFmt numFmtId="165" formatCode="&quot;$&quot;#,##0"/>
    </dxf>
  </rfmt>
  <rfmt sheetId="5" sqref="CA48" start="0" length="0">
    <dxf>
      <numFmt numFmtId="165" formatCode="&quot;$&quot;#,##0"/>
    </dxf>
  </rfmt>
  <rfmt sheetId="5" sqref="CA49" start="0" length="0">
    <dxf>
      <numFmt numFmtId="165" formatCode="&quot;$&quot;#,##0"/>
    </dxf>
  </rfmt>
  <rfmt sheetId="5" sqref="CA50" start="0" length="0">
    <dxf>
      <numFmt numFmtId="165" formatCode="&quot;$&quot;#,##0"/>
    </dxf>
  </rfmt>
  <rcc rId="41990" sId="5" odxf="1" dxf="1" numFmtId="11">
    <nc r="CA51">
      <v>19527</v>
    </nc>
    <odxf>
      <numFmt numFmtId="0" formatCode="General"/>
    </odxf>
    <ndxf>
      <numFmt numFmtId="165" formatCode="&quot;$&quot;#,##0"/>
    </ndxf>
  </rcc>
  <rcc rId="41991" sId="5" odxf="1" dxf="1" numFmtId="11">
    <nc r="CA52">
      <v>6389</v>
    </nc>
    <odxf>
      <numFmt numFmtId="0" formatCode="General"/>
    </odxf>
    <ndxf>
      <numFmt numFmtId="165" formatCode="&quot;$&quot;#,##0"/>
    </ndxf>
  </rcc>
  <rcc rId="41992" sId="5" odxf="1" dxf="1" numFmtId="11">
    <nc r="CA53">
      <v>5276</v>
    </nc>
    <odxf>
      <numFmt numFmtId="0" formatCode="General"/>
    </odxf>
    <ndxf>
      <numFmt numFmtId="165" formatCode="&quot;$&quot;#,##0"/>
    </ndxf>
  </rcc>
  <rcc rId="41993" sId="5" odxf="1" dxf="1" numFmtId="11">
    <nc r="CA54">
      <v>869</v>
    </nc>
    <odxf>
      <numFmt numFmtId="0" formatCode="General"/>
    </odxf>
    <ndxf>
      <numFmt numFmtId="165" formatCode="&quot;$&quot;#,##0"/>
    </ndxf>
  </rcc>
  <rcc rId="41994" sId="5" odxf="1" dxf="1" numFmtId="11">
    <nc r="CA55">
      <v>2596</v>
    </nc>
    <odxf>
      <numFmt numFmtId="0" formatCode="General"/>
    </odxf>
    <ndxf>
      <numFmt numFmtId="165" formatCode="&quot;$&quot;#,##0"/>
    </ndxf>
  </rcc>
  <rcc rId="41995" sId="5" odxf="1" dxf="1" numFmtId="11">
    <nc r="CA56">
      <v>14784</v>
    </nc>
    <odxf>
      <numFmt numFmtId="0" formatCode="General"/>
    </odxf>
    <ndxf>
      <numFmt numFmtId="165" formatCode="&quot;$&quot;#,##0"/>
    </ndxf>
  </rcc>
  <rcc rId="41996" sId="5" odxf="1" dxf="1" numFmtId="11">
    <nc r="CA57">
      <v>30182</v>
    </nc>
    <odxf>
      <numFmt numFmtId="0" formatCode="General"/>
    </odxf>
    <ndxf>
      <numFmt numFmtId="165" formatCode="&quot;$&quot;#,##0"/>
    </ndxf>
  </rcc>
  <rcc rId="41997" sId="5" odxf="1" dxf="1" numFmtId="11">
    <nc r="CA58">
      <v>78332</v>
    </nc>
    <odxf>
      <numFmt numFmtId="0" formatCode="General"/>
    </odxf>
    <ndxf>
      <numFmt numFmtId="165" formatCode="&quot;$&quot;#,##0"/>
    </ndxf>
  </rcc>
  <rfmt sheetId="5" sqref="CA59" start="0" length="0">
    <dxf>
      <numFmt numFmtId="165" formatCode="&quot;$&quot;#,##0"/>
    </dxf>
  </rfmt>
  <rcc rId="41998" sId="5" odxf="1" dxf="1" numFmtId="11">
    <nc r="CA60">
      <v>1663</v>
    </nc>
    <odxf>
      <numFmt numFmtId="0" formatCode="General"/>
    </odxf>
    <ndxf>
      <numFmt numFmtId="165" formatCode="&quot;$&quot;#,##0"/>
    </ndxf>
  </rcc>
  <rcc rId="41999" sId="5" odxf="1" dxf="1" numFmtId="11">
    <nc r="CA61">
      <v>33149</v>
    </nc>
    <odxf>
      <numFmt numFmtId="0" formatCode="General"/>
    </odxf>
    <ndxf>
      <numFmt numFmtId="165" formatCode="&quot;$&quot;#,##0"/>
    </ndxf>
  </rcc>
  <rcc rId="42000" sId="5" odxf="1" dxf="1" numFmtId="11">
    <nc r="CA62">
      <v>1961</v>
    </nc>
    <odxf>
      <numFmt numFmtId="0" formatCode="General"/>
    </odxf>
    <ndxf>
      <numFmt numFmtId="165" formatCode="&quot;$&quot;#,##0"/>
    </ndxf>
  </rcc>
  <rcc rId="42001" sId="5" odxf="1" dxf="1" numFmtId="11">
    <nc r="CA63">
      <v>4390</v>
    </nc>
    <odxf>
      <numFmt numFmtId="0" formatCode="General"/>
    </odxf>
    <ndxf>
      <numFmt numFmtId="165" formatCode="&quot;$&quot;#,##0"/>
    </ndxf>
  </rcc>
  <rcc rId="42002" sId="5" odxf="1" dxf="1" numFmtId="11">
    <nc r="CA64">
      <v>6835</v>
    </nc>
    <odxf>
      <numFmt numFmtId="0" formatCode="General"/>
    </odxf>
    <ndxf>
      <numFmt numFmtId="165" formatCode="&quot;$&quot;#,##0"/>
    </ndxf>
  </rcc>
  <rfmt sheetId="5" sqref="CA65" start="0" length="0">
    <dxf>
      <numFmt numFmtId="165" formatCode="&quot;$&quot;#,##0"/>
    </dxf>
  </rfmt>
  <rcc rId="42003" sId="5" odxf="1" dxf="1" numFmtId="11">
    <nc r="CA66">
      <v>10360</v>
    </nc>
    <odxf>
      <numFmt numFmtId="0" formatCode="General"/>
    </odxf>
    <ndxf>
      <numFmt numFmtId="165" formatCode="&quot;$&quot;#,##0"/>
    </ndxf>
  </rcc>
  <rcc rId="42004" sId="5" odxf="1" dxf="1" numFmtId="11">
    <nc r="CA67">
      <v>6116</v>
    </nc>
    <odxf>
      <numFmt numFmtId="0" formatCode="General"/>
    </odxf>
    <ndxf>
      <numFmt numFmtId="165" formatCode="&quot;$&quot;#,##0"/>
    </ndxf>
  </rcc>
  <rcc rId="42005" sId="5" odxf="1" dxf="1" numFmtId="11">
    <nc r="CA68">
      <v>17868</v>
    </nc>
    <odxf>
      <numFmt numFmtId="0" formatCode="General"/>
    </odxf>
    <ndxf>
      <numFmt numFmtId="165" formatCode="&quot;$&quot;#,##0"/>
    </ndxf>
  </rcc>
  <rcc rId="42006" sId="5" odxf="1" dxf="1" numFmtId="11">
    <nc r="CA69">
      <v>8592</v>
    </nc>
    <odxf>
      <numFmt numFmtId="0" formatCode="General"/>
    </odxf>
    <ndxf>
      <numFmt numFmtId="165" formatCode="&quot;$&quot;#,##0"/>
    </ndxf>
  </rcc>
  <rfmt sheetId="5" sqref="CA70" start="0" length="0">
    <dxf>
      <numFmt numFmtId="165" formatCode="&quot;$&quot;#,##0"/>
    </dxf>
  </rfmt>
  <rcc rId="42007" sId="5" odxf="1" dxf="1" numFmtId="11">
    <nc r="CA71">
      <v>0</v>
    </nc>
    <odxf>
      <numFmt numFmtId="0" formatCode="General"/>
    </odxf>
    <ndxf>
      <numFmt numFmtId="165" formatCode="&quot;$&quot;#,##0"/>
    </ndxf>
  </rcc>
  <rcc rId="42008" sId="5" odxf="1" dxf="1" numFmtId="11">
    <nc r="CA72">
      <v>0</v>
    </nc>
    <odxf>
      <numFmt numFmtId="0" formatCode="General"/>
    </odxf>
    <ndxf>
      <numFmt numFmtId="165" formatCode="&quot;$&quot;#,##0"/>
    </ndxf>
  </rcc>
  <rcc rId="42009" sId="5" odxf="1" dxf="1" numFmtId="11">
    <nc r="CA73">
      <v>23000</v>
    </nc>
    <odxf>
      <numFmt numFmtId="0" formatCode="General"/>
    </odxf>
    <ndxf>
      <numFmt numFmtId="165" formatCode="&quot;$&quot;#,##0"/>
    </ndxf>
  </rcc>
  <rcc rId="42010" sId="5" odxf="1" dxf="1">
    <nc r="CA74">
      <f>SUM(CA51:CA73)</f>
    </nc>
    <odxf>
      <numFmt numFmtId="0" formatCode="General"/>
    </odxf>
    <ndxf>
      <numFmt numFmtId="165" formatCode="&quot;$&quot;#,##0"/>
    </ndxf>
  </rcc>
  <rfmt sheetId="5" sqref="CA75" start="0" length="0">
    <dxf>
      <font>
        <b val="0"/>
      </font>
      <numFmt numFmtId="165" formatCode="&quot;$&quot;#,##0"/>
    </dxf>
  </rfmt>
  <rfmt sheetId="5" sqref="CA76" start="0" length="0">
    <dxf>
      <font>
        <b val="0"/>
      </font>
      <numFmt numFmtId="165" formatCode="&quot;$&quot;#,##0"/>
    </dxf>
  </rfmt>
  <rfmt sheetId="5" sqref="CA77" start="0" length="0">
    <dxf>
      <font>
        <b val="0"/>
      </font>
      <numFmt numFmtId="165" formatCode="&quot;$&quot;#,##0"/>
    </dxf>
  </rfmt>
  <rfmt sheetId="5" sqref="CA78" start="0" length="0">
    <dxf>
      <font>
        <b val="0"/>
      </font>
      <numFmt numFmtId="165" formatCode="&quot;$&quot;#,##0"/>
    </dxf>
  </rfmt>
  <rfmt sheetId="5" sqref="CA79" start="0" length="0">
    <dxf>
      <font>
        <b val="0"/>
      </font>
      <numFmt numFmtId="165" formatCode="&quot;$&quot;#,##0"/>
    </dxf>
  </rfmt>
  <rfmt sheetId="5" sqref="CA80" start="0" length="0">
    <dxf>
      <font>
        <b val="0"/>
      </font>
      <numFmt numFmtId="165" formatCode="&quot;$&quot;#,##0"/>
    </dxf>
  </rfmt>
  <rfmt sheetId="5" sqref="CA81" start="0" length="0">
    <dxf>
      <font>
        <b val="0"/>
      </font>
      <numFmt numFmtId="165" formatCode="&quot;$&quot;#,##0"/>
    </dxf>
  </rfmt>
  <rfmt sheetId="5" sqref="CA82" start="0" length="0">
    <dxf>
      <font>
        <b val="0"/>
      </font>
      <numFmt numFmtId="165" formatCode="&quot;$&quot;#,##0"/>
    </dxf>
  </rfmt>
  <rfmt sheetId="5" sqref="CA83" start="0" length="0">
    <dxf>
      <numFmt numFmtId="165" formatCode="&quot;$&quot;#,##0"/>
    </dxf>
  </rfmt>
  <rfmt sheetId="5" sqref="CA84" start="0" length="0">
    <dxf>
      <numFmt numFmtId="165" formatCode="&quot;$&quot;#,##0"/>
    </dxf>
  </rfmt>
  <rcc rId="42011" sId="5" odxf="1" dxf="1" numFmtId="11">
    <nc r="CA85">
      <v>471523</v>
    </nc>
    <odxf>
      <numFmt numFmtId="0" formatCode="General"/>
    </odxf>
    <ndxf>
      <numFmt numFmtId="165" formatCode="&quot;$&quot;#,##0"/>
    </ndxf>
  </rcc>
  <rcc rId="42012" sId="5" odxf="1" dxf="1" numFmtId="11">
    <nc r="CA86">
      <v>200729</v>
    </nc>
    <odxf>
      <numFmt numFmtId="0" formatCode="General"/>
    </odxf>
    <ndxf>
      <numFmt numFmtId="165" formatCode="&quot;$&quot;#,##0"/>
    </ndxf>
  </rcc>
  <rcc rId="42013" sId="5" odxf="1" dxf="1" numFmtId="11">
    <nc r="CA87">
      <v>96314</v>
    </nc>
    <odxf>
      <numFmt numFmtId="0" formatCode="General"/>
    </odxf>
    <ndxf>
      <numFmt numFmtId="165" formatCode="&quot;$&quot;#,##0"/>
    </ndxf>
  </rcc>
  <rcc rId="42014" sId="5" odxf="1" dxf="1" numFmtId="11">
    <nc r="CA88">
      <v>141085</v>
    </nc>
    <odxf>
      <numFmt numFmtId="0" formatCode="General"/>
    </odxf>
    <ndxf>
      <numFmt numFmtId="165" formatCode="&quot;$&quot;#,##0"/>
    </ndxf>
  </rcc>
  <rcc rId="42015" sId="5" odxf="1" dxf="1" numFmtId="11">
    <nc r="CA89">
      <v>2346</v>
    </nc>
    <odxf>
      <numFmt numFmtId="0" formatCode="General"/>
    </odxf>
    <ndxf>
      <numFmt numFmtId="165" formatCode="&quot;$&quot;#,##0"/>
    </ndxf>
  </rcc>
  <rcc rId="42016" sId="5" odxf="1" dxf="1" numFmtId="11">
    <nc r="CA90">
      <v>2007</v>
    </nc>
    <odxf>
      <numFmt numFmtId="0" formatCode="General"/>
    </odxf>
    <ndxf>
      <numFmt numFmtId="165" formatCode="&quot;$&quot;#,##0"/>
    </ndxf>
  </rcc>
  <rfmt sheetId="5" sqref="CA91" start="0" length="0">
    <dxf>
      <numFmt numFmtId="165" formatCode="&quot;$&quot;#,##0"/>
    </dxf>
  </rfmt>
  <rcc rId="42017" sId="5" odxf="1" dxf="1" numFmtId="11">
    <nc r="CA92">
      <v>0</v>
    </nc>
    <odxf>
      <numFmt numFmtId="0" formatCode="General"/>
    </odxf>
    <ndxf>
      <numFmt numFmtId="165" formatCode="&quot;$&quot;#,##0"/>
    </ndxf>
  </rcc>
  <rfmt sheetId="5" sqref="CA93" start="0" length="0">
    <dxf>
      <numFmt numFmtId="165" formatCode="&quot;$&quot;#,##0"/>
    </dxf>
  </rfmt>
  <rcc rId="42018" sId="5" odxf="1" dxf="1" numFmtId="11">
    <nc r="CA94">
      <v>2091</v>
    </nc>
    <odxf>
      <numFmt numFmtId="0" formatCode="General"/>
    </odxf>
    <ndxf>
      <numFmt numFmtId="165" formatCode="&quot;$&quot;#,##0"/>
    </ndxf>
  </rcc>
  <rcc rId="42019" sId="5" odxf="1" dxf="1" numFmtId="11">
    <nc r="CA95">
      <v>907</v>
    </nc>
    <odxf>
      <numFmt numFmtId="0" formatCode="General"/>
    </odxf>
    <ndxf>
      <numFmt numFmtId="165" formatCode="&quot;$&quot;#,##0"/>
    </ndxf>
  </rcc>
  <rcc rId="42020" sId="5" odxf="1" dxf="1" numFmtId="11">
    <nc r="CA96">
      <v>7884</v>
    </nc>
    <odxf>
      <numFmt numFmtId="0" formatCode="General"/>
    </odxf>
    <ndxf>
      <numFmt numFmtId="165" formatCode="&quot;$&quot;#,##0"/>
    </ndxf>
  </rcc>
  <rcc rId="42021" sId="5" odxf="1" dxf="1" numFmtId="11">
    <nc r="CA97">
      <v>8852</v>
    </nc>
    <odxf>
      <numFmt numFmtId="0" formatCode="General"/>
    </odxf>
    <ndxf>
      <numFmt numFmtId="165" formatCode="&quot;$&quot;#,##0"/>
    </ndxf>
  </rcc>
  <rfmt sheetId="5" sqref="CA98" start="0" length="0">
    <dxf>
      <numFmt numFmtId="165" formatCode="&quot;$&quot;#,##0"/>
    </dxf>
  </rfmt>
  <rcc rId="42022" sId="5" odxf="1" dxf="1" numFmtId="11">
    <nc r="CA99">
      <v>199</v>
    </nc>
    <odxf>
      <numFmt numFmtId="0" formatCode="General"/>
    </odxf>
    <ndxf>
      <numFmt numFmtId="165" formatCode="&quot;$&quot;#,##0"/>
    </ndxf>
  </rcc>
  <rcc rId="42023" sId="5" odxf="1" dxf="1" numFmtId="11">
    <nc r="CA100">
      <v>0</v>
    </nc>
    <odxf>
      <numFmt numFmtId="0" formatCode="General"/>
    </odxf>
    <ndxf>
      <numFmt numFmtId="165" formatCode="&quot;$&quot;#,##0"/>
    </ndxf>
  </rcc>
  <rfmt sheetId="5" sqref="CA101" start="0" length="0">
    <dxf>
      <numFmt numFmtId="165" formatCode="&quot;$&quot;#,##0"/>
    </dxf>
  </rfmt>
  <rfmt sheetId="5" sqref="CA102" start="0" length="0">
    <dxf>
      <numFmt numFmtId="165" formatCode="&quot;$&quot;#,##0"/>
    </dxf>
  </rfmt>
  <rfmt sheetId="5" sqref="CA103" start="0" length="0">
    <dxf>
      <numFmt numFmtId="165" formatCode="&quot;$&quot;#,##0"/>
    </dxf>
  </rfmt>
  <rcc rId="42024" sId="5" odxf="1" dxf="1" numFmtId="11">
    <nc r="CA104">
      <v>43746</v>
    </nc>
    <odxf>
      <numFmt numFmtId="0" formatCode="General"/>
    </odxf>
    <ndxf>
      <numFmt numFmtId="165" formatCode="&quot;$&quot;#,##0"/>
    </ndxf>
  </rcc>
  <rfmt sheetId="5" sqref="CA105" start="0" length="0">
    <dxf>
      <numFmt numFmtId="165" formatCode="&quot;$&quot;#,##0"/>
    </dxf>
  </rfmt>
  <rcc rId="42025" sId="5" odxf="1" dxf="1">
    <nc r="CA106">
      <f>11195-2951</f>
    </nc>
    <odxf>
      <font/>
      <numFmt numFmtId="0" formatCode="General"/>
    </odxf>
    <ndxf>
      <font/>
      <numFmt numFmtId="165" formatCode="&quot;$&quot;#,##0"/>
    </ndxf>
  </rcc>
  <rcc rId="42026" sId="5" odxf="1" dxf="1" numFmtId="11">
    <nc r="CA107">
      <v>8294</v>
    </nc>
    <odxf>
      <font/>
      <numFmt numFmtId="0" formatCode="General"/>
    </odxf>
    <ndxf>
      <font/>
      <numFmt numFmtId="165" formatCode="&quot;$&quot;#,##0"/>
    </ndxf>
  </rcc>
  <rfmt sheetId="5" sqref="CA108" start="0" length="0">
    <dxf>
      <numFmt numFmtId="165" formatCode="&quot;$&quot;#,##0"/>
    </dxf>
  </rfmt>
  <rcc rId="42027" sId="5" odxf="1" dxf="1">
    <nc r="CA109">
      <f>SUM(CA85:CA108)</f>
    </nc>
    <odxf>
      <numFmt numFmtId="0" formatCode="General"/>
    </odxf>
    <ndxf>
      <numFmt numFmtId="165" formatCode="&quot;$&quot;#,##0"/>
    </ndxf>
  </rcc>
  <rcc rId="42028" sId="5" odxf="1" dxf="1">
    <nc r="CA110">
      <f>+CA109-920</f>
    </nc>
    <odxf>
      <font>
        <b/>
      </font>
      <numFmt numFmtId="0" formatCode="General"/>
    </odxf>
    <ndxf>
      <font>
        <b val="0"/>
      </font>
      <numFmt numFmtId="165" formatCode="&quot;$&quot;#,##0"/>
    </ndxf>
  </rcc>
  <rcc rId="42029" sId="5" odxf="1" dxf="1">
    <nc r="CA111">
      <f>+CA109-920</f>
    </nc>
    <odxf>
      <font>
        <b/>
      </font>
      <numFmt numFmtId="0" formatCode="General"/>
    </odxf>
    <ndxf>
      <font>
        <b val="0"/>
      </font>
      <numFmt numFmtId="165" formatCode="&quot;$&quot;#,##0"/>
    </ndxf>
  </rcc>
  <rfmt sheetId="5" sqref="CA112" start="0" length="0">
    <dxf>
      <font>
        <b val="0"/>
      </font>
      <numFmt numFmtId="165" formatCode="&quot;$&quot;#,##0"/>
    </dxf>
  </rfmt>
  <rfmt sheetId="5" sqref="CA113" start="0" length="0">
    <dxf>
      <font>
        <b val="0"/>
      </font>
      <numFmt numFmtId="165" formatCode="&quot;$&quot;#,##0"/>
    </dxf>
  </rfmt>
  <rfmt sheetId="5" sqref="CA114" start="0" length="0">
    <dxf>
      <font>
        <b val="0"/>
      </font>
      <numFmt numFmtId="165" formatCode="&quot;$&quot;#,##0"/>
    </dxf>
  </rfmt>
  <rfmt sheetId="5" sqref="CA115" start="0" length="0">
    <dxf>
      <font>
        <b val="0"/>
      </font>
      <numFmt numFmtId="165" formatCode="&quot;$&quot;#,##0"/>
    </dxf>
  </rfmt>
  <rfmt sheetId="5" sqref="CA116" start="0" length="0">
    <dxf>
      <numFmt numFmtId="165" formatCode="&quot;$&quot;#,##0"/>
    </dxf>
  </rfmt>
  <rfmt sheetId="5" sqref="CA117" start="0" length="0">
    <dxf>
      <numFmt numFmtId="165" formatCode="&quot;$&quot;#,##0"/>
    </dxf>
  </rfmt>
  <rfmt sheetId="5" sqref="CA118" start="0" length="0">
    <dxf>
      <numFmt numFmtId="165" formatCode="&quot;$&quot;#,##0"/>
    </dxf>
  </rfmt>
  <rfmt sheetId="5" sqref="CA119" start="0" length="0">
    <dxf>
      <numFmt numFmtId="165" formatCode="&quot;$&quot;#,##0"/>
    </dxf>
  </rfmt>
  <rcc rId="42030" sId="5" odxf="1" dxf="1" numFmtId="11">
    <nc r="CA120">
      <v>1803</v>
    </nc>
    <odxf>
      <numFmt numFmtId="0" formatCode="General"/>
    </odxf>
    <ndxf>
      <numFmt numFmtId="165" formatCode="&quot;$&quot;#,##0"/>
    </ndxf>
  </rcc>
  <rcc rId="42031" sId="5" odxf="1" dxf="1" numFmtId="11">
    <nc r="CA121">
      <v>657784</v>
    </nc>
    <odxf>
      <numFmt numFmtId="0" formatCode="General"/>
    </odxf>
    <ndxf>
      <numFmt numFmtId="165" formatCode="&quot;$&quot;#,##0"/>
    </ndxf>
  </rcc>
  <rcc rId="42032" sId="5" odxf="1" dxf="1" numFmtId="11">
    <nc r="CA122">
      <v>6407</v>
    </nc>
    <odxf>
      <numFmt numFmtId="0" formatCode="General"/>
    </odxf>
    <ndxf>
      <numFmt numFmtId="165" formatCode="&quot;$&quot;#,##0"/>
    </ndxf>
  </rcc>
  <rcc rId="42033" sId="5" odxf="1" dxf="1" numFmtId="11">
    <nc r="CA123">
      <v>102506</v>
    </nc>
    <odxf>
      <numFmt numFmtId="0" formatCode="General"/>
    </odxf>
    <ndxf>
      <numFmt numFmtId="165" formatCode="&quot;$&quot;#,##0"/>
    </ndxf>
  </rcc>
  <rcc rId="42034" sId="5" odxf="1" dxf="1" numFmtId="11">
    <nc r="CA124">
      <v>535364</v>
    </nc>
    <odxf>
      <numFmt numFmtId="0" formatCode="General"/>
    </odxf>
    <ndxf>
      <numFmt numFmtId="165" formatCode="&quot;$&quot;#,##0"/>
    </ndxf>
  </rcc>
  <rcc rId="42035" sId="5" odxf="1" dxf="1" numFmtId="11">
    <nc r="CA125">
      <v>64955</v>
    </nc>
    <odxf>
      <numFmt numFmtId="0" formatCode="General"/>
    </odxf>
    <ndxf>
      <numFmt numFmtId="165" formatCode="&quot;$&quot;#,##0"/>
    </ndxf>
  </rcc>
  <rcc rId="42036" sId="5" odxf="1" dxf="1" numFmtId="11">
    <nc r="CA126">
      <v>40047</v>
    </nc>
    <odxf>
      <numFmt numFmtId="0" formatCode="General"/>
    </odxf>
    <ndxf>
      <numFmt numFmtId="165" formatCode="&quot;$&quot;#,##0"/>
    </ndxf>
  </rcc>
  <rcc rId="42037" sId="5" odxf="1" dxf="1" numFmtId="11">
    <nc r="CA127">
      <v>3495</v>
    </nc>
    <odxf>
      <numFmt numFmtId="0" formatCode="General"/>
    </odxf>
    <ndxf>
      <numFmt numFmtId="165" formatCode="&quot;$&quot;#,##0"/>
    </ndxf>
  </rcc>
  <rfmt sheetId="5" sqref="CA128" start="0" length="0">
    <dxf>
      <numFmt numFmtId="165" formatCode="&quot;$&quot;#,##0"/>
    </dxf>
  </rfmt>
  <rcc rId="42038" sId="5" odxf="1" dxf="1" numFmtId="11">
    <nc r="CA129">
      <v>47782</v>
    </nc>
    <odxf>
      <numFmt numFmtId="0" formatCode="General"/>
    </odxf>
    <ndxf>
      <numFmt numFmtId="165" formatCode="&quot;$&quot;#,##0"/>
    </ndxf>
  </rcc>
  <rcc rId="42039" sId="5" odxf="1" dxf="1" numFmtId="11">
    <nc r="CA130">
      <v>109941</v>
    </nc>
    <odxf>
      <numFmt numFmtId="0" formatCode="General"/>
    </odxf>
    <ndxf>
      <numFmt numFmtId="165" formatCode="&quot;$&quot;#,##0"/>
    </ndxf>
  </rcc>
  <rcc rId="42040" sId="5" odxf="1" dxf="1" numFmtId="11">
    <nc r="CA131">
      <v>91190</v>
    </nc>
    <odxf>
      <numFmt numFmtId="0" formatCode="General"/>
    </odxf>
    <ndxf>
      <numFmt numFmtId="165" formatCode="&quot;$&quot;#,##0"/>
    </ndxf>
  </rcc>
  <rcc rId="42041" sId="5" odxf="1" dxf="1" numFmtId="11">
    <nc r="CA132">
      <v>0</v>
    </nc>
    <odxf>
      <numFmt numFmtId="0" formatCode="General"/>
    </odxf>
    <ndxf>
      <numFmt numFmtId="165" formatCode="&quot;$&quot;#,##0"/>
    </ndxf>
  </rcc>
  <rcc rId="42042" sId="5" odxf="1" dxf="1">
    <nc r="CA133">
      <f>SUM(CA120:CA132)</f>
    </nc>
    <odxf>
      <numFmt numFmtId="0" formatCode="General"/>
    </odxf>
    <ndxf>
      <numFmt numFmtId="165" formatCode="&quot;$&quot;#,##0"/>
    </ndxf>
  </rcc>
  <rfmt sheetId="5" sqref="CA134" start="0" length="0">
    <dxf>
      <font>
        <b val="0"/>
      </font>
      <numFmt numFmtId="165" formatCode="&quot;$&quot;#,##0"/>
    </dxf>
  </rfmt>
  <rfmt sheetId="5" sqref="CA135" start="0" length="0">
    <dxf>
      <font>
        <b val="0"/>
      </font>
      <numFmt numFmtId="165" formatCode="&quot;$&quot;#,##0"/>
    </dxf>
  </rfmt>
  <rfmt sheetId="5" sqref="CA136" start="0" length="0">
    <dxf>
      <font>
        <b val="0"/>
      </font>
      <numFmt numFmtId="165" formatCode="&quot;$&quot;#,##0"/>
    </dxf>
  </rfmt>
  <rfmt sheetId="5" sqref="CA137" start="0" length="0">
    <dxf>
      <numFmt numFmtId="165" formatCode="&quot;$&quot;#,##0"/>
    </dxf>
  </rfmt>
  <rfmt sheetId="5" sqref="CA138" start="0" length="0">
    <dxf>
      <numFmt numFmtId="165" formatCode="&quot;$&quot;#,##0"/>
    </dxf>
  </rfmt>
  <rfmt sheetId="5" sqref="CA139" start="0" length="0">
    <dxf>
      <numFmt numFmtId="165" formatCode="&quot;$&quot;#,##0"/>
    </dxf>
  </rfmt>
  <rfmt sheetId="5" sqref="CA140" start="0" length="0">
    <dxf>
      <numFmt numFmtId="165" formatCode="&quot;$&quot;#,##0"/>
    </dxf>
  </rfmt>
  <rfmt sheetId="5" sqref="CA141" start="0" length="0">
    <dxf>
      <numFmt numFmtId="165" formatCode="&quot;$&quot;#,##0"/>
    </dxf>
  </rfmt>
  <rfmt sheetId="5" sqref="CA142" start="0" length="0">
    <dxf>
      <numFmt numFmtId="165" formatCode="&quot;$&quot;#,##0"/>
    </dxf>
  </rfmt>
  <rfmt sheetId="5" sqref="CA143" start="0" length="0">
    <dxf>
      <numFmt numFmtId="165" formatCode="&quot;$&quot;#,##0"/>
    </dxf>
  </rfmt>
  <rfmt sheetId="5" sqref="CA144" start="0" length="0">
    <dxf>
      <numFmt numFmtId="165" formatCode="&quot;$&quot;#,##0"/>
    </dxf>
  </rfmt>
  <rfmt sheetId="5" sqref="CA145" start="0" length="0">
    <dxf>
      <numFmt numFmtId="165" formatCode="&quot;$&quot;#,##0"/>
    </dxf>
  </rfmt>
  <rcc rId="42043" sId="5" odxf="1" dxf="1" numFmtId="11">
    <nc r="CA146">
      <v>167135</v>
    </nc>
    <odxf>
      <numFmt numFmtId="0" formatCode="General"/>
    </odxf>
    <ndxf>
      <numFmt numFmtId="165" formatCode="&quot;$&quot;#,##0"/>
    </ndxf>
  </rcc>
  <rcc rId="42044" sId="5" odxf="1" dxf="1" numFmtId="11">
    <nc r="CA147">
      <v>192439</v>
    </nc>
    <odxf>
      <numFmt numFmtId="0" formatCode="General"/>
    </odxf>
    <ndxf>
      <numFmt numFmtId="165" formatCode="&quot;$&quot;#,##0"/>
    </ndxf>
  </rcc>
  <rcc rId="42045" sId="5" odxf="1" dxf="1" numFmtId="11">
    <nc r="CA148">
      <v>170917</v>
    </nc>
    <odxf>
      <numFmt numFmtId="0" formatCode="General"/>
    </odxf>
    <ndxf>
      <numFmt numFmtId="165" formatCode="&quot;$&quot;#,##0"/>
    </ndxf>
  </rcc>
  <rcc rId="42046" sId="5" odxf="1" dxf="1" numFmtId="11">
    <nc r="CA149">
      <v>700</v>
    </nc>
    <odxf>
      <numFmt numFmtId="0" formatCode="General"/>
    </odxf>
    <ndxf>
      <numFmt numFmtId="165" formatCode="&quot;$&quot;#,##0"/>
    </ndxf>
  </rcc>
  <rcc rId="42047" sId="5" odxf="1" dxf="1" numFmtId="11">
    <nc r="CA150">
      <v>99377</v>
    </nc>
    <odxf>
      <numFmt numFmtId="0" formatCode="General"/>
    </odxf>
    <ndxf>
      <numFmt numFmtId="165" formatCode="&quot;$&quot;#,##0"/>
    </ndxf>
  </rcc>
  <rcc rId="42048" sId="5" odxf="1" dxf="1">
    <nc r="CA151">
      <f>35866+9794</f>
    </nc>
    <odxf>
      <numFmt numFmtId="0" formatCode="General"/>
    </odxf>
    <ndxf>
      <numFmt numFmtId="165" formatCode="&quot;$&quot;#,##0"/>
    </ndxf>
  </rcc>
  <rcc rId="42049" sId="5" odxf="1" dxf="1" numFmtId="11">
    <nc r="CA152">
      <v>16153</v>
    </nc>
    <odxf>
      <numFmt numFmtId="0" formatCode="General"/>
    </odxf>
    <ndxf>
      <numFmt numFmtId="165" formatCode="&quot;$&quot;#,##0"/>
    </ndxf>
  </rcc>
  <rcc rId="42050" sId="5" odxf="1" dxf="1" numFmtId="11">
    <nc r="CA153">
      <v>6512</v>
    </nc>
    <odxf>
      <numFmt numFmtId="0" formatCode="General"/>
    </odxf>
    <ndxf>
      <numFmt numFmtId="165" formatCode="&quot;$&quot;#,##0"/>
    </ndxf>
  </rcc>
  <rcc rId="42051" sId="5" odxf="1" dxf="1" numFmtId="11">
    <nc r="CA154">
      <v>19822</v>
    </nc>
    <odxf>
      <numFmt numFmtId="0" formatCode="General"/>
    </odxf>
    <ndxf>
      <numFmt numFmtId="165" formatCode="&quot;$&quot;#,##0"/>
    </ndxf>
  </rcc>
  <rcc rId="42052" sId="5" odxf="1" dxf="1" numFmtId="11">
    <nc r="CA155">
      <v>2193</v>
    </nc>
    <odxf>
      <numFmt numFmtId="0" formatCode="General"/>
    </odxf>
    <ndxf>
      <numFmt numFmtId="165" formatCode="&quot;$&quot;#,##0"/>
    </ndxf>
  </rcc>
  <rcc rId="42053" sId="5" odxf="1" dxf="1" numFmtId="11">
    <nc r="CA156">
      <v>2685</v>
    </nc>
    <odxf>
      <numFmt numFmtId="0" formatCode="General"/>
    </odxf>
    <ndxf>
      <numFmt numFmtId="165" formatCode="&quot;$&quot;#,##0"/>
    </ndxf>
  </rcc>
  <rfmt sheetId="5" sqref="CA157" start="0" length="0">
    <dxf>
      <numFmt numFmtId="165" formatCode="&quot;$&quot;#,##0"/>
    </dxf>
  </rfmt>
  <rcc rId="42054" sId="5" odxf="1" dxf="1" numFmtId="11">
    <nc r="CA158">
      <v>3000</v>
    </nc>
    <odxf>
      <numFmt numFmtId="0" formatCode="General"/>
    </odxf>
    <ndxf>
      <numFmt numFmtId="165" formatCode="&quot;$&quot;#,##0"/>
    </ndxf>
  </rcc>
  <rcc rId="42055" sId="5" odxf="1" dxf="1" numFmtId="11">
    <nc r="CA159">
      <v>780</v>
    </nc>
    <odxf>
      <numFmt numFmtId="0" formatCode="General"/>
    </odxf>
    <ndxf>
      <numFmt numFmtId="165" formatCode="&quot;$&quot;#,##0"/>
    </ndxf>
  </rcc>
  <rcc rId="42056" sId="5" odxf="1" dxf="1" numFmtId="11">
    <nc r="CA160">
      <v>394</v>
    </nc>
    <odxf>
      <numFmt numFmtId="0" formatCode="General"/>
    </odxf>
    <ndxf>
      <numFmt numFmtId="165" formatCode="&quot;$&quot;#,##0"/>
    </ndxf>
  </rcc>
  <rcc rId="42057" sId="5" odxf="1" dxf="1" numFmtId="11">
    <nc r="CA161">
      <v>106384</v>
    </nc>
    <odxf>
      <numFmt numFmtId="0" formatCode="General"/>
    </odxf>
    <ndxf>
      <numFmt numFmtId="165" formatCode="&quot;$&quot;#,##0"/>
    </ndxf>
  </rcc>
  <rcc rId="42058" sId="5" odxf="1" dxf="1" numFmtId="11">
    <nc r="CA162">
      <v>61276</v>
    </nc>
    <odxf>
      <numFmt numFmtId="0" formatCode="General"/>
    </odxf>
    <ndxf>
      <numFmt numFmtId="165" formatCode="&quot;$&quot;#,##0"/>
    </ndxf>
  </rcc>
  <rcc rId="42059" sId="5" odxf="1" dxf="1" numFmtId="11">
    <nc r="CA163">
      <v>750612</v>
    </nc>
    <odxf>
      <numFmt numFmtId="0" formatCode="General"/>
      <border outline="0">
        <bottom style="medium">
          <color indexed="64"/>
        </bottom>
      </border>
    </odxf>
    <ndxf>
      <numFmt numFmtId="165" formatCode="&quot;$&quot;#,##0"/>
      <border outline="0">
        <bottom/>
      </border>
    </ndxf>
  </rcc>
  <rfmt sheetId="5" sqref="CA164" start="0" length="0">
    <dxf>
      <numFmt numFmtId="165" formatCode="&quot;$&quot;#,##0"/>
    </dxf>
  </rfmt>
  <rfmt sheetId="5" sqref="CA165" start="0" length="0">
    <dxf>
      <numFmt numFmtId="165" formatCode="&quot;$&quot;#,##0"/>
      <border outline="0">
        <bottom style="medium">
          <color indexed="64"/>
        </bottom>
      </border>
    </dxf>
  </rfmt>
  <rcc rId="42060" sId="5" odxf="1" dxf="1">
    <nc r="CA166">
      <f>SUM(CA146:CA165)</f>
    </nc>
    <odxf>
      <numFmt numFmtId="0" formatCode="General"/>
      <border outline="0">
        <top style="medium">
          <color indexed="64"/>
        </top>
      </border>
    </odxf>
    <ndxf>
      <numFmt numFmtId="165" formatCode="&quot;$&quot;#,##0"/>
      <border outline="0">
        <top/>
      </border>
    </ndxf>
  </rcc>
  <rcc rId="42061" sId="5" odxf="1" dxf="1">
    <nc r="CA167">
      <f>+CA166+920</f>
    </nc>
    <odxf>
      <font>
        <b/>
      </font>
      <numFmt numFmtId="0" formatCode="General"/>
    </odxf>
    <ndxf>
      <font>
        <b val="0"/>
      </font>
      <numFmt numFmtId="165" formatCode="&quot;$&quot;#,##0"/>
    </ndxf>
  </rcc>
  <rcc rId="42062" sId="5" odxf="1" dxf="1">
    <nc r="CA168">
      <f>+CA166+920</f>
    </nc>
    <odxf>
      <font>
        <b/>
      </font>
      <numFmt numFmtId="0" formatCode="General"/>
    </odxf>
    <ndxf>
      <font>
        <b val="0"/>
      </font>
      <numFmt numFmtId="165" formatCode="&quot;$&quot;#,##0"/>
    </ndxf>
  </rcc>
  <rfmt sheetId="5" sqref="CA169" start="0" length="0">
    <dxf>
      <font>
        <b val="0"/>
      </font>
      <numFmt numFmtId="165" formatCode="&quot;$&quot;#,##0"/>
    </dxf>
  </rfmt>
  <rfmt sheetId="5" sqref="CA170" start="0" length="0">
    <dxf>
      <font>
        <b val="0"/>
      </font>
      <numFmt numFmtId="165" formatCode="&quot;$&quot;#,##0"/>
    </dxf>
  </rfmt>
  <rfmt sheetId="5" sqref="CA171" start="0" length="0">
    <dxf>
      <font>
        <b val="0"/>
      </font>
      <numFmt numFmtId="165" formatCode="&quot;$&quot;#,##0"/>
    </dxf>
  </rfmt>
  <rfmt sheetId="5" sqref="CA172" start="0" length="0">
    <dxf>
      <font>
        <b val="0"/>
      </font>
      <numFmt numFmtId="165" formatCode="&quot;$&quot;#,##0"/>
    </dxf>
  </rfmt>
  <rfmt sheetId="5" sqref="CA173" start="0" length="0">
    <dxf>
      <font>
        <b val="0"/>
      </font>
      <numFmt numFmtId="165" formatCode="&quot;$&quot;#,##0"/>
    </dxf>
  </rfmt>
  <rfmt sheetId="5" sqref="CA174" start="0" length="0">
    <dxf>
      <font>
        <b val="0"/>
      </font>
      <numFmt numFmtId="165" formatCode="&quot;$&quot;#,##0"/>
    </dxf>
  </rfmt>
  <rfmt sheetId="5" sqref="CA175" start="0" length="0">
    <dxf>
      <font>
        <b val="0"/>
      </font>
      <numFmt numFmtId="165" formatCode="&quot;$&quot;#,##0"/>
    </dxf>
  </rfmt>
  <rfmt sheetId="5" sqref="CA176" start="0" length="0">
    <dxf>
      <numFmt numFmtId="165" formatCode="&quot;$&quot;#,##0"/>
    </dxf>
  </rfmt>
  <rfmt sheetId="5" sqref="CA177" start="0" length="0">
    <dxf>
      <numFmt numFmtId="165" formatCode="&quot;$&quot;#,##0"/>
    </dxf>
  </rfmt>
  <rfmt sheetId="5" sqref="CA178" start="0" length="0">
    <dxf>
      <numFmt numFmtId="165" formatCode="&quot;$&quot;#,##0"/>
    </dxf>
  </rfmt>
  <rcc rId="42063" sId="5" odxf="1" dxf="1" numFmtId="11">
    <nc r="CA179">
      <v>111153</v>
    </nc>
    <odxf>
      <numFmt numFmtId="0" formatCode="General"/>
    </odxf>
    <ndxf>
      <numFmt numFmtId="165" formatCode="&quot;$&quot;#,##0"/>
    </ndxf>
  </rcc>
  <rcc rId="42064" sId="5" odxf="1" dxf="1">
    <nc r="CA180">
      <f>70684+1360+50600</f>
    </nc>
    <odxf>
      <numFmt numFmtId="0" formatCode="General"/>
    </odxf>
    <ndxf>
      <numFmt numFmtId="165" formatCode="&quot;$&quot;#,##0"/>
    </ndxf>
  </rcc>
  <rcc rId="42065" sId="5" odxf="1" dxf="1">
    <nc r="CA181">
      <f>34060+2200</f>
    </nc>
    <odxf>
      <numFmt numFmtId="0" formatCode="General"/>
    </odxf>
    <ndxf>
      <numFmt numFmtId="165" formatCode="&quot;$&quot;#,##0"/>
    </ndxf>
  </rcc>
  <rcc rId="42066" sId="5" odxf="1" dxf="1" numFmtId="11">
    <nc r="CA182">
      <v>65433</v>
    </nc>
    <odxf>
      <numFmt numFmtId="0" formatCode="General"/>
    </odxf>
    <ndxf>
      <numFmt numFmtId="165" formatCode="&quot;$&quot;#,##0"/>
    </ndxf>
  </rcc>
  <rcc rId="42067" sId="5" odxf="1" dxf="1" numFmtId="11">
    <nc r="CA183">
      <v>1607</v>
    </nc>
    <odxf>
      <numFmt numFmtId="0" formatCode="General"/>
    </odxf>
    <ndxf>
      <numFmt numFmtId="165" formatCode="&quot;$&quot;#,##0"/>
    </ndxf>
  </rcc>
  <rcc rId="42068" sId="5" odxf="1" dxf="1" numFmtId="11">
    <nc r="CA184">
      <v>126</v>
    </nc>
    <odxf>
      <numFmt numFmtId="0" formatCode="General"/>
    </odxf>
    <ndxf>
      <numFmt numFmtId="165" formatCode="&quot;$&quot;#,##0"/>
    </ndxf>
  </rcc>
  <rcc rId="42069" sId="5" odxf="1" dxf="1">
    <nc r="CA185">
      <f>288224-50600</f>
    </nc>
    <odxf>
      <font/>
      <numFmt numFmtId="0" formatCode="General"/>
    </odxf>
    <ndxf>
      <font/>
      <numFmt numFmtId="165" formatCode="&quot;$&quot;#,##0"/>
    </ndxf>
  </rcc>
  <rfmt sheetId="5" sqref="CA186" start="0" length="0">
    <dxf>
      <numFmt numFmtId="165" formatCode="&quot;$&quot;#,##0"/>
    </dxf>
  </rfmt>
  <rcc rId="42070" sId="5" odxf="1" dxf="1" numFmtId="11">
    <nc r="CA187">
      <v>0</v>
    </nc>
    <odxf>
      <numFmt numFmtId="0" formatCode="General"/>
      <border outline="0">
        <bottom/>
      </border>
    </odxf>
    <ndxf>
      <numFmt numFmtId="165" formatCode="&quot;$&quot;#,##0"/>
      <border outline="0">
        <bottom style="medium">
          <color indexed="64"/>
        </bottom>
      </border>
    </ndxf>
  </rcc>
  <rcc rId="42071" sId="5" odxf="1" dxf="1">
    <nc r="CA188">
      <f>SUM(CA179:CA187)</f>
    </nc>
    <odxf>
      <numFmt numFmtId="0" formatCode="General"/>
      <border outline="0">
        <top style="medium">
          <color indexed="64"/>
        </top>
      </border>
    </odxf>
    <ndxf>
      <numFmt numFmtId="165" formatCode="&quot;$&quot;#,##0"/>
      <border outline="0">
        <top/>
      </border>
    </ndxf>
  </rcc>
  <rfmt sheetId="5" sqref="CA189" start="0" length="0">
    <dxf>
      <font>
        <b val="0"/>
      </font>
      <numFmt numFmtId="165" formatCode="&quot;$&quot;#,##0"/>
    </dxf>
  </rfmt>
  <rfmt sheetId="5" sqref="CA190" start="0" length="0">
    <dxf>
      <font>
        <b val="0"/>
      </font>
      <numFmt numFmtId="165" formatCode="&quot;$&quot;#,##0"/>
    </dxf>
  </rfmt>
  <rfmt sheetId="5" sqref="CA191" start="0" length="0">
    <dxf>
      <numFmt numFmtId="165" formatCode="&quot;$&quot;#,##0"/>
    </dxf>
  </rfmt>
  <rfmt sheetId="5" sqref="CA192" start="0" length="0">
    <dxf>
      <numFmt numFmtId="165" formatCode="&quot;$&quot;#,##0"/>
    </dxf>
  </rfmt>
  <rfmt sheetId="5" sqref="CA193" start="0" length="0">
    <dxf>
      <numFmt numFmtId="165" formatCode="&quot;$&quot;#,##0"/>
    </dxf>
  </rfmt>
  <rfmt sheetId="5" sqref="CA194" start="0" length="0">
    <dxf>
      <numFmt numFmtId="165" formatCode="&quot;$&quot;#,##0"/>
    </dxf>
  </rfmt>
  <rfmt sheetId="5" sqref="CA195" start="0" length="0">
    <dxf>
      <numFmt numFmtId="165" formatCode="&quot;$&quot;#,##0"/>
    </dxf>
  </rfmt>
  <rfmt sheetId="5" sqref="CA196" start="0" length="0">
    <dxf>
      <numFmt numFmtId="165" formatCode="&quot;$&quot;#,##0"/>
    </dxf>
  </rfmt>
  <rfmt sheetId="5" sqref="CA197" start="0" length="0">
    <dxf>
      <numFmt numFmtId="165" formatCode="&quot;$&quot;#,##0"/>
    </dxf>
  </rfmt>
  <rcc rId="42072" sId="5" odxf="1" dxf="1" numFmtId="11">
    <nc r="CA198">
      <v>469424</v>
    </nc>
    <odxf>
      <numFmt numFmtId="0" formatCode="General"/>
    </odxf>
    <ndxf>
      <numFmt numFmtId="165" formatCode="&quot;$&quot;#,##0"/>
    </ndxf>
  </rcc>
  <rcc rId="42073" sId="5" odxf="1" dxf="1" numFmtId="11">
    <nc r="CA199">
      <v>5000</v>
    </nc>
    <odxf>
      <numFmt numFmtId="0" formatCode="General"/>
    </odxf>
    <ndxf>
      <numFmt numFmtId="165" formatCode="&quot;$&quot;#,##0"/>
    </ndxf>
  </rcc>
  <rcc rId="42074" sId="5" odxf="1" dxf="1" numFmtId="11">
    <nc r="CA200">
      <v>32542</v>
    </nc>
    <odxf>
      <numFmt numFmtId="0" formatCode="General"/>
    </odxf>
    <ndxf>
      <numFmt numFmtId="165" formatCode="&quot;$&quot;#,##0"/>
    </ndxf>
  </rcc>
  <rcc rId="42075" sId="5" odxf="1" dxf="1" numFmtId="11">
    <nc r="CA201">
      <v>21477</v>
    </nc>
    <odxf>
      <numFmt numFmtId="0" formatCode="General"/>
    </odxf>
    <ndxf>
      <numFmt numFmtId="165" formatCode="&quot;$&quot;#,##0"/>
    </ndxf>
  </rcc>
  <rcc rId="42076" sId="5" odxf="1" dxf="1" numFmtId="11">
    <nc r="CA202">
      <v>4193</v>
    </nc>
    <odxf>
      <numFmt numFmtId="0" formatCode="General"/>
    </odxf>
    <ndxf>
      <numFmt numFmtId="165" formatCode="&quot;$&quot;#,##0"/>
    </ndxf>
  </rcc>
  <rcc rId="42077" sId="5" odxf="1" dxf="1" numFmtId="11">
    <nc r="CA203">
      <v>0</v>
    </nc>
    <odxf>
      <numFmt numFmtId="0" formatCode="General"/>
    </odxf>
    <ndxf>
      <numFmt numFmtId="165" formatCode="&quot;$&quot;#,##0"/>
    </ndxf>
  </rcc>
  <rcc rId="42078" sId="5" odxf="1" dxf="1" numFmtId="11">
    <nc r="CA204">
      <v>27161</v>
    </nc>
    <odxf>
      <numFmt numFmtId="0" formatCode="General"/>
    </odxf>
    <ndxf>
      <numFmt numFmtId="165" formatCode="&quot;$&quot;#,##0"/>
    </ndxf>
  </rcc>
  <rcc rId="42079" sId="5" odxf="1" dxf="1" numFmtId="11">
    <nc r="CA205">
      <v>0</v>
    </nc>
    <odxf>
      <numFmt numFmtId="0" formatCode="General"/>
    </odxf>
    <ndxf>
      <numFmt numFmtId="165" formatCode="&quot;$&quot;#,##0"/>
    </ndxf>
  </rcc>
  <rcc rId="42080" sId="5" odxf="1" dxf="1" numFmtId="11">
    <nc r="CA206">
      <v>50036</v>
    </nc>
    <odxf>
      <numFmt numFmtId="0" formatCode="General"/>
    </odxf>
    <ndxf>
      <numFmt numFmtId="165" formatCode="&quot;$&quot;#,##0"/>
    </ndxf>
  </rcc>
  <rcc rId="42081" sId="5" odxf="1" dxf="1" numFmtId="11">
    <nc r="CA207">
      <v>8626</v>
    </nc>
    <odxf>
      <numFmt numFmtId="0" formatCode="General"/>
    </odxf>
    <ndxf>
      <numFmt numFmtId="165" formatCode="&quot;$&quot;#,##0"/>
    </ndxf>
  </rcc>
  <rcc rId="42082" sId="5" odxf="1" dxf="1" numFmtId="11">
    <nc r="CA208">
      <v>0</v>
    </nc>
    <odxf>
      <numFmt numFmtId="0" formatCode="General"/>
    </odxf>
    <ndxf>
      <numFmt numFmtId="165" formatCode="&quot;$&quot;#,##0"/>
    </ndxf>
  </rcc>
  <rcc rId="42083" sId="5" odxf="1" dxf="1" numFmtId="11">
    <nc r="CA209">
      <v>31533</v>
    </nc>
    <odxf>
      <numFmt numFmtId="0" formatCode="General"/>
    </odxf>
    <ndxf>
      <numFmt numFmtId="165" formatCode="&quot;$&quot;#,##0"/>
    </ndxf>
  </rcc>
  <rcc rId="42084" sId="5" odxf="1" dxf="1" numFmtId="11">
    <nc r="CA210">
      <v>0</v>
    </nc>
    <odxf>
      <numFmt numFmtId="0" formatCode="General"/>
    </odxf>
    <ndxf>
      <numFmt numFmtId="165" formatCode="&quot;$&quot;#,##0"/>
    </ndxf>
  </rcc>
  <rcc rId="42085" sId="5" odxf="1" dxf="1" numFmtId="11">
    <nc r="CA211">
      <v>6000</v>
    </nc>
    <odxf>
      <numFmt numFmtId="0" formatCode="General"/>
    </odxf>
    <ndxf>
      <numFmt numFmtId="165" formatCode="&quot;$&quot;#,##0"/>
    </ndxf>
  </rcc>
  <rcc rId="42086" sId="5" odxf="1" dxf="1" numFmtId="11">
    <nc r="CA212">
      <v>0</v>
    </nc>
    <odxf>
      <numFmt numFmtId="0" formatCode="General"/>
    </odxf>
    <ndxf>
      <numFmt numFmtId="165" formatCode="&quot;$&quot;#,##0"/>
    </ndxf>
  </rcc>
  <rcc rId="42087" sId="5" odxf="1" dxf="1" numFmtId="11">
    <nc r="CA213">
      <v>107800</v>
    </nc>
    <odxf>
      <numFmt numFmtId="0" formatCode="General"/>
    </odxf>
    <ndxf>
      <numFmt numFmtId="165" formatCode="&quot;$&quot;#,##0"/>
    </ndxf>
  </rcc>
  <rcc rId="42088" sId="5" odxf="1" dxf="1" numFmtId="11">
    <nc r="CA214">
      <v>8222</v>
    </nc>
    <odxf>
      <numFmt numFmtId="0" formatCode="General"/>
    </odxf>
    <ndxf>
      <numFmt numFmtId="165" formatCode="&quot;$&quot;#,##0"/>
    </ndxf>
  </rcc>
  <rcc rId="42089" sId="5" odxf="1" dxf="1" numFmtId="11">
    <nc r="CA215">
      <v>61141</v>
    </nc>
    <odxf>
      <numFmt numFmtId="0" formatCode="General"/>
    </odxf>
    <ndxf>
      <numFmt numFmtId="165" formatCode="&quot;$&quot;#,##0"/>
    </ndxf>
  </rcc>
  <rcc rId="42090" sId="5" odxf="1" dxf="1" numFmtId="11">
    <nc r="CA216">
      <v>24700</v>
    </nc>
    <odxf>
      <numFmt numFmtId="0" formatCode="General"/>
    </odxf>
    <ndxf>
      <numFmt numFmtId="165" formatCode="&quot;$&quot;#,##0"/>
    </ndxf>
  </rcc>
  <rcc rId="42091" sId="5" odxf="1" dxf="1" numFmtId="11">
    <nc r="CA217">
      <v>71461</v>
    </nc>
    <odxf>
      <numFmt numFmtId="0" formatCode="General"/>
    </odxf>
    <ndxf>
      <numFmt numFmtId="165" formatCode="&quot;$&quot;#,##0"/>
    </ndxf>
  </rcc>
  <rcc rId="42092" sId="5" odxf="1" dxf="1" numFmtId="11">
    <nc r="CA218">
      <v>36472</v>
    </nc>
    <odxf>
      <numFmt numFmtId="0" formatCode="General"/>
    </odxf>
    <ndxf>
      <numFmt numFmtId="165" formatCode="&quot;$&quot;#,##0"/>
    </ndxf>
  </rcc>
  <rcc rId="42093" sId="5" odxf="1" dxf="1" numFmtId="11">
    <nc r="CA219">
      <v>103729</v>
    </nc>
    <odxf>
      <numFmt numFmtId="0" formatCode="General"/>
    </odxf>
    <ndxf>
      <numFmt numFmtId="165" formatCode="&quot;$&quot;#,##0"/>
    </ndxf>
  </rcc>
  <rcc rId="42094" sId="5" odxf="1" dxf="1" numFmtId="11">
    <nc r="CA220">
      <v>0</v>
    </nc>
    <odxf>
      <font/>
      <numFmt numFmtId="0" formatCode="General"/>
    </odxf>
    <ndxf>
      <font/>
      <numFmt numFmtId="165" formatCode="&quot;$&quot;#,##0"/>
    </ndxf>
  </rcc>
  <rcc rId="42095" sId="5" odxf="1" dxf="1" numFmtId="11">
    <nc r="CA221">
      <v>3000</v>
    </nc>
    <odxf>
      <numFmt numFmtId="0" formatCode="General"/>
      <border outline="0">
        <bottom style="thin">
          <color indexed="64"/>
        </bottom>
      </border>
    </odxf>
    <ndxf>
      <numFmt numFmtId="165" formatCode="&quot;$&quot;#,##0"/>
      <border outline="0">
        <bottom/>
      </border>
    </ndxf>
  </rcc>
  <rcc rId="42096" sId="5" odxf="1" dxf="1">
    <nc r="CA222">
      <f>SUM(CA198:CA221)</f>
    </nc>
    <odxf>
      <numFmt numFmtId="0" formatCode="General"/>
    </odxf>
    <ndxf>
      <numFmt numFmtId="165" formatCode="&quot;$&quot;#,##0"/>
    </ndxf>
  </rcc>
  <rfmt sheetId="5" sqref="CA223" start="0" length="0">
    <dxf>
      <font>
        <b val="0"/>
      </font>
      <numFmt numFmtId="165" formatCode="&quot;$&quot;#,##0"/>
    </dxf>
  </rfmt>
  <rfmt sheetId="5" sqref="CA224" start="0" length="0">
    <dxf>
      <numFmt numFmtId="165" formatCode="&quot;$&quot;#,##0"/>
    </dxf>
  </rfmt>
  <rfmt sheetId="5" sqref="CA225" start="0" length="0">
    <dxf>
      <numFmt numFmtId="165" formatCode="&quot;$&quot;#,##0"/>
    </dxf>
  </rfmt>
  <rfmt sheetId="5" sqref="CA226" start="0" length="0">
    <dxf>
      <numFmt numFmtId="165" formatCode="&quot;$&quot;#,##0"/>
      <border outline="0">
        <bottom style="medium">
          <color indexed="64"/>
        </bottom>
      </border>
    </dxf>
  </rfmt>
  <rfmt sheetId="5" sqref="CA227" start="0" length="0">
    <dxf>
      <numFmt numFmtId="165" formatCode="&quot;$&quot;#,##0"/>
      <border outline="0">
        <bottom/>
      </border>
    </dxf>
  </rfmt>
  <rfmt sheetId="5" sqref="CA228" start="0" length="0">
    <dxf>
      <numFmt numFmtId="165" formatCode="&quot;$&quot;#,##0"/>
    </dxf>
  </rfmt>
  <rfmt sheetId="5" sqref="CA229" start="0" length="0">
    <dxf>
      <numFmt numFmtId="165" formatCode="&quot;$&quot;#,##0"/>
    </dxf>
  </rfmt>
  <rfmt sheetId="5" sqref="CA230" start="0" length="0">
    <dxf>
      <numFmt numFmtId="165" formatCode="&quot;$&quot;#,##0"/>
    </dxf>
  </rfmt>
  <rfmt sheetId="5" sqref="CA231" start="0" length="0">
    <dxf>
      <numFmt numFmtId="165" formatCode="&quot;$&quot;#,##0"/>
    </dxf>
  </rfmt>
  <rfmt sheetId="5" sqref="CA232" start="0" length="0">
    <dxf>
      <numFmt numFmtId="165" formatCode="&quot;$&quot;#,##0"/>
    </dxf>
  </rfmt>
  <rfmt sheetId="5" sqref="CA233" start="0" length="0">
    <dxf>
      <numFmt numFmtId="165" formatCode="&quot;$&quot;#,##0"/>
    </dxf>
  </rfmt>
  <rfmt sheetId="5" sqref="CA234" start="0" length="0">
    <dxf>
      <numFmt numFmtId="165" formatCode="&quot;$&quot;#,##0"/>
    </dxf>
  </rfmt>
  <rfmt sheetId="5" sqref="CA235" start="0" length="0">
    <dxf>
      <numFmt numFmtId="165" formatCode="&quot;$&quot;#,##0"/>
    </dxf>
  </rfmt>
  <rfmt sheetId="5" sqref="CA236" start="0" length="0">
    <dxf>
      <numFmt numFmtId="165" formatCode="&quot;$&quot;#,##0"/>
    </dxf>
  </rfmt>
  <rfmt sheetId="5" sqref="CA237" start="0" length="0">
    <dxf>
      <numFmt numFmtId="165" formatCode="&quot;$&quot;#,##0"/>
    </dxf>
  </rfmt>
  <rfmt sheetId="5" sqref="CA238" start="0" length="0">
    <dxf>
      <numFmt numFmtId="165" formatCode="&quot;$&quot;#,##0"/>
    </dxf>
  </rfmt>
  <rfmt sheetId="5" sqref="CA239" start="0" length="0">
    <dxf>
      <numFmt numFmtId="165" formatCode="&quot;$&quot;#,##0"/>
    </dxf>
  </rfmt>
  <rfmt sheetId="5" sqref="CA240" start="0" length="0">
    <dxf>
      <numFmt numFmtId="165" formatCode="&quot;$&quot;#,##0"/>
    </dxf>
  </rfmt>
  <rfmt sheetId="5" sqref="CA241" start="0" length="0">
    <dxf>
      <numFmt numFmtId="165" formatCode="&quot;$&quot;#,##0"/>
    </dxf>
  </rfmt>
  <rcc rId="42097" sId="5" odxf="1" dxf="1">
    <nc r="CA242">
      <f>CA222+CA188+CA166+CA133+CA109+CA74+CA41</f>
    </nc>
    <odxf>
      <numFmt numFmtId="0" formatCode="General"/>
      <fill>
        <patternFill patternType="none">
          <bgColor indexed="65"/>
        </patternFill>
      </fill>
    </odxf>
    <ndxf>
      <numFmt numFmtId="165" formatCode="&quot;$&quot;#,##0"/>
      <fill>
        <patternFill patternType="solid">
          <bgColor theme="0" tint="-0.249977111117893"/>
        </patternFill>
      </fill>
    </ndxf>
  </rcc>
  <rcc rId="42098" sId="5" numFmtId="11">
    <nc r="CA14">
      <v>0</v>
    </nc>
  </rcc>
  <rcc rId="42099" sId="5" numFmtId="11">
    <nc r="CA17">
      <v>0</v>
    </nc>
  </rcc>
  <rcc rId="42100" sId="5" numFmtId="11">
    <nc r="CA22">
      <v>0</v>
    </nc>
  </rcc>
  <rcc rId="42101" sId="5" numFmtId="11">
    <nc r="CA19">
      <v>0</v>
    </nc>
  </rcc>
  <rcc rId="42102" sId="4">
    <oc r="BE25">
      <f>(200178+6506)-500-121876-45839-9821</f>
    </oc>
    <nc r="BE25">
      <f>(205426+6506)-45839-9821</f>
    </nc>
  </rcc>
  <rcc rId="42103" sId="4">
    <oc r="BE86">
      <f>193902+1520</f>
    </oc>
    <nc r="BE86">
      <f>193902+1520-500</f>
    </nc>
  </rcc>
  <rcc rId="42104" sId="5" numFmtId="11">
    <nc r="CA36">
      <v>0</v>
    </nc>
  </rcc>
  <rcc rId="42105" sId="5" numFmtId="11">
    <nc r="CA38">
      <v>0</v>
    </nc>
  </rcc>
  <rcc rId="42106" sId="5" numFmtId="11">
    <nc r="CA91">
      <v>0</v>
    </nc>
  </rcc>
  <rcc rId="42107" sId="5" numFmtId="11">
    <nc r="CA93">
      <v>0</v>
    </nc>
  </rcc>
  <rcc rId="42108" sId="5" numFmtId="11">
    <nc r="CA98">
      <v>0</v>
    </nc>
  </rcc>
  <rcc rId="42109" sId="5" numFmtId="11">
    <nc r="CA101">
      <v>0</v>
    </nc>
  </rcc>
  <rcc rId="42110" sId="5" numFmtId="11">
    <nc r="CA102">
      <v>0</v>
    </nc>
  </rcc>
  <rcc rId="42111" sId="5" numFmtId="11">
    <nc r="CA103">
      <v>0</v>
    </nc>
  </rcc>
  <rcc rId="42112" sId="5" numFmtId="11">
    <nc r="CA157">
      <v>0</v>
    </nc>
  </rcc>
  <rcc rId="42113" sId="5">
    <oc r="BR243">
      <f>'FY 2013 by Agency'!BE242*Inflator!$E$14</f>
    </oc>
    <nc r="BR243">
      <f>BR41+BR74+BR109+BR133+BR166+BR188+BR222</f>
    </nc>
  </rcc>
  <rcc rId="42114" sId="5" odxf="1" dxf="1">
    <nc r="CA243">
      <f>CA41+CA74+CA109+CA133+CA166+CA188+CA222</f>
    </nc>
    <odxf>
      <numFmt numFmtId="0" formatCode="General"/>
    </odxf>
    <ndxf>
      <numFmt numFmtId="165" formatCode="&quot;$&quot;#,##0"/>
    </ndxf>
  </rcc>
  <rcc rId="42115" sId="5" odxf="1" dxf="1">
    <nc r="CB243">
      <f>CA243-BR243</f>
    </nc>
    <odxf>
      <numFmt numFmtId="0" formatCode="General"/>
    </odxf>
    <ndxf>
      <numFmt numFmtId="165" formatCode="&quot;$&quot;#,##0"/>
    </ndxf>
  </rcc>
  <rcv guid="{567C3053-2D8E-4705-8DC7-18896C5303CA}" action="delete"/>
  <rdn rId="0" localSheetId="2" customView="1" name="Z_567C3053_2D8E_4705_8DC7_18896C5303CA_.wvu.Cols" hidden="1" oldHidden="1">
    <formula>'FY2013 by Approp Title'!$AA:$AA</formula>
    <oldFormula>'FY2013 by Approp Title'!$AA:$AA</oldFormula>
  </rdn>
  <rdn rId="0" localSheetId="3" customView="1" name="Z_567C3053_2D8E_4705_8DC7_18896C5303CA_.wvu.Cols" hidden="1" oldHidden="1">
    <formula>'FY2013 By Approp Title-Adj'!$AA:$AA</formula>
    <oldFormula>'FY2013 By Approp Title-Adj'!$AA:$AA</oldFormula>
  </rdn>
  <rdn rId="0" localSheetId="4" customView="1" name="Z_567C3053_2D8E_4705_8DC7_18896C5303CA_.wvu.Rows" hidden="1" oldHidden="1">
    <formula>'FY 2013 by Agency'!$1:$3,'FY 2013 by Agency'!$227:$241</formula>
    <oldFormula>'FY 2013 by Agency'!$1:$3,'FY 2013 by Agency'!$227:$241</oldFormula>
  </rdn>
  <rdn rId="0" localSheetId="5" customView="1" name="Z_567C3053_2D8E_4705_8DC7_18896C5303CA_.wvu.Rows" hidden="1" oldHidden="1">
    <formula>'FY 2013 by Agency-Adj'!$1:$3,'FY 2013 by Agency-Adj'!$228:$242</formula>
    <oldFormula>'FY 2013 by Agency-Adj'!$1:$3,'FY 2013 by Agency-Adj'!$228:$242</oldFormula>
  </rdn>
  <rdn rId="0" localSheetId="5" customView="1" name="Z_567C3053_2D8E_4705_8DC7_18896C5303CA_.wvu.Cols" hidden="1" oldHidden="1">
    <formula>'FY 2013 by Agency-Adj'!$V:$AB,'FY 2013 by Agency-Adj'!$AJ:$AM,'FY 2013 by Agency-Adj'!$AP:$AS,'FY 2013 by Agency-Adj'!$BS:$BZ</formula>
    <oldFormula>'FY 2013 by Agency-Adj'!$V:$AB,'FY 2013 by Agency-Adj'!$AJ:$AM,'FY 2013 by Agency-Adj'!$AP:$AS</oldFormula>
  </rdn>
  <rdn rId="0" localSheetId="8" customView="1" name="Z_567C3053_2D8E_4705_8DC7_18896C5303CA_.wvu.Rows" hidden="1" oldHidden="1">
    <formula>'Sheet 4'!$1:$6</formula>
    <oldFormula>'Sheet 4'!$1:$6</oldFormula>
  </rdn>
  <rcv guid="{567C3053-2D8E-4705-8DC7-18896C5303CA}" action="add"/>
</revisions>
</file>

<file path=xl/revisions/revisionLog14211.xml><?xml version="1.0" encoding="utf-8"?>
<revisions xmlns="http://schemas.openxmlformats.org/spreadsheetml/2006/main" xmlns:r="http://schemas.openxmlformats.org/officeDocument/2006/relationships">
  <rcc rId="41796" sId="4" numFmtId="11">
    <oc r="BS7">
      <v>0</v>
    </oc>
    <nc r="BS7">
      <v>4.569</v>
    </nc>
  </rcc>
  <rcc rId="41797" sId="4" numFmtId="11">
    <oc r="BS8">
      <v>0</v>
    </oc>
    <nc r="BS8">
      <v>0.67200000000000004</v>
    </nc>
  </rcc>
  <rcc rId="41798" sId="4" numFmtId="11">
    <oc r="BS10">
      <v>85.35</v>
    </oc>
    <nc r="BS10">
      <v>322.68799999999999</v>
    </nc>
  </rcc>
  <rcc rId="41799" sId="4" numFmtId="11">
    <oc r="BS11">
      <v>0</v>
    </oc>
    <nc r="BS11">
      <v>3.5</v>
    </nc>
  </rcc>
  <rcc rId="41800" sId="4" numFmtId="11">
    <oc r="BS12">
      <v>0</v>
    </oc>
    <nc r="BS12">
      <v>22.492999999999999</v>
    </nc>
  </rcc>
  <rcc rId="41801" sId="4" numFmtId="11">
    <oc r="BS13">
      <v>0</v>
    </oc>
    <nc r="BS13">
      <v>18.004999999999999</v>
    </nc>
  </rcc>
  <rcc rId="41802" sId="4" numFmtId="11">
    <oc r="BS15">
      <v>0.25</v>
    </oc>
    <nc r="BS15">
      <v>53.973999999999997</v>
    </nc>
  </rcc>
  <rcc rId="41803" sId="4" numFmtId="11">
    <oc r="BS16">
      <v>2</v>
    </oc>
    <nc r="BS16">
      <v>23.507999999999999</v>
    </nc>
  </rcc>
  <rcc rId="41804" sId="4" numFmtId="11">
    <oc r="BS18">
      <v>137.94499999999999</v>
    </oc>
    <nc r="BS18">
      <v>333.79399999999998</v>
    </nc>
  </rcc>
  <rcc rId="41805" sId="4" numFmtId="11">
    <oc r="BS20">
      <v>0</v>
    </oc>
    <nc r="BS20">
      <v>5.38</v>
    </nc>
  </rcc>
  <rcc rId="41806" sId="4" numFmtId="11">
    <oc r="BS21">
      <v>0.76</v>
    </oc>
    <nc r="BS21">
      <v>23.468</v>
    </nc>
  </rcc>
  <rcc rId="41807" sId="4" numFmtId="11">
    <oc r="BS22">
      <v>0</v>
    </oc>
    <nc r="BS22">
      <v>6.4279999999999999</v>
    </nc>
  </rcc>
  <rcc rId="41808" sId="4" numFmtId="11">
    <oc r="BS23">
      <v>0.69</v>
    </oc>
    <nc r="BS23">
      <v>111.73</v>
    </nc>
  </rcc>
  <rcc rId="41809" sId="4" numFmtId="11">
    <oc r="BS24">
      <v>63.7</v>
    </oc>
    <nc r="BS24">
      <v>209.56800000000001</v>
    </nc>
  </rcc>
  <rcc rId="41810" sId="4" numFmtId="11">
    <oc r="BS26">
      <v>0.25</v>
    </oc>
    <nc r="BS26">
      <v>13.986000000000001</v>
    </nc>
  </rcc>
  <rcc rId="41811" sId="4" numFmtId="11">
    <oc r="BS27">
      <v>0</v>
    </oc>
    <nc r="BS27">
      <v>17.212</v>
    </nc>
  </rcc>
  <rcc rId="41812" sId="4" numFmtId="11">
    <oc r="BS28">
      <v>0.25</v>
    </oc>
    <nc r="BS28">
      <v>12.385999999999999</v>
    </nc>
  </rcc>
  <rcc rId="41813" sId="4" numFmtId="11">
    <oc r="BS29">
      <v>0.25</v>
    </oc>
    <nc r="BS29">
      <v>7.9039999999999999</v>
    </nc>
  </rcc>
  <rcc rId="41814" sId="4" numFmtId="11">
    <oc r="BS30">
      <v>0.25</v>
    </oc>
    <nc r="BS30">
      <v>13.02</v>
    </nc>
  </rcc>
  <rcc rId="41815" sId="4" numFmtId="11">
    <oc r="BS32">
      <v>3.8149999999999999</v>
    </oc>
    <nc r="BS32">
      <v>265.298</v>
    </nc>
  </rcc>
  <rcc rId="41816" sId="4" numFmtId="11">
    <oc r="BS33">
      <v>0.25</v>
    </oc>
    <nc r="BS33">
      <v>4.1900000000000004</v>
    </nc>
  </rcc>
  <rcc rId="41817" sId="4" numFmtId="11">
    <oc r="BS34">
      <v>14.404999999999999</v>
    </oc>
    <nc r="BS34">
      <v>59.506</v>
    </nc>
  </rcc>
  <rcc rId="41818" sId="4" numFmtId="11">
    <oc r="BS39">
      <v>3.415</v>
    </oc>
    <nc r="BS39">
      <v>717.851</v>
    </nc>
  </rcc>
  <rcv guid="{455630F5-40FC-47DB-8AD4-712C20B8FB91}" action="delete"/>
  <rdn rId="0" localSheetId="2" customView="1" name="Z_455630F5_40FC_47DB_8AD4_712C20B8FB91_.wvu.Cols" hidden="1" oldHidden="1">
    <formula>'FY2013 by Approp Title'!$AA:$AA</formula>
    <oldFormula>'FY2013 by Approp Title'!$AA:$AA</oldFormula>
  </rdn>
  <rdn rId="0" localSheetId="3" customView="1" name="Z_455630F5_40FC_47DB_8AD4_712C20B8FB91_.wvu.Cols" hidden="1" oldHidden="1">
    <formula>'FY2013 By Approp Title-Adj'!$AA:$AA</formula>
    <oldFormula>'FY2013 By Approp Title-Adj'!$AA:$AA</oldFormula>
  </rdn>
  <rdn rId="0" localSheetId="4" customView="1" name="Z_455630F5_40FC_47DB_8AD4_712C20B8FB91_.wvu.Rows" hidden="1" oldHidden="1">
    <formula>'FY 2013 by Agency'!$1:$3,'FY 2013 by Agency'!$227:$241</formula>
    <oldFormula>'FY 2013 by Agency'!$1:$3,'FY 2013 by Agency'!$227:$241</oldFormula>
  </rdn>
  <rdn rId="0" localSheetId="4" customView="1" name="Z_455630F5_40FC_47DB_8AD4_712C20B8FB91_.wvu.Cols" hidden="1" oldHidden="1">
    <formula>'FY 2013 by Agency'!$D:$E,'FY 2013 by Agency'!$G:$H,'FY 2013 by Agency'!$J:$K,'FY 2013 by Agency'!$M:$N,'FY 2013 by Agency'!$P:$Q,'FY 2013 by Agency'!$S:$T,'FY 2013 by Agency'!$V:$W,'FY 2013 by Agency'!$Y:$Z,'FY 2013 by Agency'!$AB:$AE,'FY 2013 by Agency'!$AG:$AO,'FY 2013 by Agency'!$AV:$AW,'FY 2013 by Agency'!$AY:$AZ,'FY 2013 by Agency'!$BF:$BG</formula>
    <oldFormula>'FY 2013 by Agency'!$D:$E,'FY 2013 by Agency'!$G:$H,'FY 2013 by Agency'!$J:$K,'FY 2013 by Agency'!$M:$N,'FY 2013 by Agency'!$P:$Q,'FY 2013 by Agency'!$S:$T,'FY 2013 by Agency'!$V:$W,'FY 2013 by Agency'!$Y:$Z,'FY 2013 by Agency'!$AB:$AE,'FY 2013 by Agency'!$AG:$AO,'FY 2013 by Agency'!$AV:$AW,'FY 2013 by Agency'!$AY:$AZ,'FY 2013 by Agency'!$BF:$BG</oldFormula>
  </rdn>
  <rdn rId="0" localSheetId="5" customView="1" name="Z_455630F5_40FC_47DB_8AD4_712C20B8FB91_.wvu.Rows" hidden="1" oldHidden="1">
    <formula>'FY 2013 by Agency-Adj'!$1:$3,'FY 2013 by Agency-Adj'!$14:$14,'FY 2013 by Agency-Adj'!$19:$19,'FY 2013 by Agency-Adj'!$157:$157,'FY 2013 by Agency-Adj'!$164:$164,'FY 2013 by Agency-Adj'!$228:$242</formula>
    <oldFormula>'FY 2013 by Agency-Adj'!$1:$3,'FY 2013 by Agency-Adj'!$14:$14,'FY 2013 by Agency-Adj'!$19:$19,'FY 2013 by Agency-Adj'!$157:$157,'FY 2013 by Agency-Adj'!$164:$164,'FY 2013 by Agency-Adj'!$228:$242</oldFormula>
  </rdn>
  <rdn rId="0" localSheetId="5" customView="1" name="Z_455630F5_40FC_47DB_8AD4_712C20B8FB91_.wvu.Cols" hidden="1" oldHidden="1">
    <formula>'FY 2013 by Agency-Adj'!$AD:$AE,'FY 2013 by Agency-Adj'!$AI:$BK</formula>
    <oldFormula>'FY 2013 by Agency-Adj'!$AD:$AE,'FY 2013 by Agency-Adj'!$AI:$BK</oldFormula>
  </rdn>
  <rdn rId="0" localSheetId="8" customView="1" name="Z_455630F5_40FC_47DB_8AD4_712C20B8FB91_.wvu.Rows" hidden="1" oldHidden="1">
    <formula>'Sheet 4'!$1:$6</formula>
    <oldFormula>'Sheet 4'!$1:$6</oldFormula>
  </rdn>
  <rcv guid="{455630F5-40FC-47DB-8AD4-712C20B8FB91}" action="add"/>
</revisions>
</file>

<file path=xl/revisions/revisionLog15.xml><?xml version="1.0" encoding="utf-8"?>
<revisions xmlns="http://schemas.openxmlformats.org/spreadsheetml/2006/main" xmlns:r="http://schemas.openxmlformats.org/officeDocument/2006/relationships">
  <rcv guid="{78CA186D-B240-44D5-8A24-D241DE0B0FD9}" action="delete"/>
  <rdn rId="0" localSheetId="2" customView="1" name="Z_78CA186D_B240_44D5_8A24_D241DE0B0FD9_.wvu.Cols" hidden="1" oldHidden="1">
    <formula>'FY2013 by Approp Title'!$AA:$AA</formula>
    <oldFormula>'FY2013 by Approp Title'!$AA:$AA</oldFormula>
  </rdn>
  <rdn rId="0" localSheetId="3" customView="1" name="Z_78CA186D_B240_44D5_8A24_D241DE0B0FD9_.wvu.Cols" hidden="1" oldHidden="1">
    <formula>'FY2013 By Approp Title-Adj'!$AA:$AA</formula>
    <oldFormula>'FY2013 By Approp Title-Adj'!$AA:$AA</oldFormula>
  </rdn>
  <rdn rId="0" localSheetId="4" customView="1" name="Z_78CA186D_B240_44D5_8A24_D241DE0B0FD9_.wvu.Rows" hidden="1" oldHidden="1">
    <formula>'FY 2013 by Agency'!$1:$3,'FY 2013 by Agency'!$226:$240</formula>
    <oldFormula>'FY 2013 by Agency'!$1:$3,'FY 2013 by Agency'!$226:$240</oldFormula>
  </rdn>
  <rdn rId="0" localSheetId="4" customView="1" name="Z_78CA186D_B240_44D5_8A24_D241DE0B0FD9_.wvu.Cols" hidden="1" oldHidden="1">
    <formula>'FY 2013 by Agency'!$D:$E,'FY 2013 by Agency'!$G:$H,'FY 2013 by Agency'!$J:$K,'FY 2013 by Agency'!$M:$N,'FY 2013 by Agency'!$P:$Q,'FY 2013 by Agency'!$S:$T,'FY 2013 by Agency'!$V:$W,'FY 2013 by Agency'!$Y:$Z,'FY 2013 by Agency'!$AB:$AE,'FY 2013 by Agency'!$AV:$AW,'FY 2013 by Agency'!$AY:$AZ,'FY 2013 by Agency'!$BF:$BG,'FY 2013 by Agency'!$BM:$BN</formula>
    <oldFormula>'FY 2013 by Agency'!$D:$E,'FY 2013 by Agency'!$G:$H,'FY 2013 by Agency'!$J:$K,'FY 2013 by Agency'!$M:$N,'FY 2013 by Agency'!$P:$Q,'FY 2013 by Agency'!$S:$T,'FY 2013 by Agency'!$V:$W,'FY 2013 by Agency'!$Y:$Z,'FY 2013 by Agency'!$AB:$AE,'FY 2013 by Agency'!$AV:$AW,'FY 2013 by Agency'!$AY:$AZ,'FY 2013 by Agency'!$BF:$BG,'FY 2013 by Agency'!$BM:$BN</oldFormula>
  </rdn>
  <rdn rId="0" localSheetId="5" customView="1" name="Z_78CA186D_B240_44D5_8A24_D241DE0B0FD9_.wvu.Rows" hidden="1" oldHidden="1">
    <formula>'FY 2013 by Agency-Adj'!$1:$3,'FY 2013 by Agency-Adj'!$14:$14,'FY 2013 by Agency-Adj'!$19:$19,'FY 2013 by Agency-Adj'!$156:$156,'FY 2013 by Agency-Adj'!$163:$163,'FY 2013 by Agency-Adj'!$227:$241</formula>
    <oldFormula>'FY 2013 by Agency-Adj'!$1:$3,'FY 2013 by Agency-Adj'!$14:$14,'FY 2013 by Agency-Adj'!$19:$19,'FY 2013 by Agency-Adj'!$156:$156,'FY 2013 by Agency-Adj'!$163:$163,'FY 2013 by Agency-Adj'!$227:$241</oldFormula>
  </rdn>
  <rdn rId="0" localSheetId="5" customView="1" name="Z_78CA186D_B240_44D5_8A24_D241DE0B0FD9_.wvu.Cols" hidden="1" oldHidden="1">
    <formula>'FY 2013 by Agency-Adj'!$AD:$AE,'FY 2013 by Agency-Adj'!$AI:$BK,'FY 2013 by Agency-Adj'!$BO:$BT</formula>
    <oldFormula>'FY 2013 by Agency-Adj'!$AD:$AE,'FY 2013 by Agency-Adj'!$AI:$BK,'FY 2013 by Agency-Adj'!$BO:$BT</oldFormula>
  </rdn>
  <rdn rId="0" localSheetId="8" customView="1" name="Z_78CA186D_B240_44D5_8A24_D241DE0B0FD9_.wvu.Rows" hidden="1" oldHidden="1">
    <formula>'Sheet 4'!$1:$6</formula>
    <oldFormula>'Sheet 4'!$1:$6</oldFormula>
  </rdn>
  <rcv guid="{78CA186D-B240-44D5-8A24-D241DE0B0FD9}" action="add"/>
</revisions>
</file>

<file path=xl/revisions/revisionLog151.xml><?xml version="1.0" encoding="utf-8"?>
<revisions xmlns="http://schemas.openxmlformats.org/spreadsheetml/2006/main" xmlns:r="http://schemas.openxmlformats.org/officeDocument/2006/relationships">
  <rcc rId="41128" sId="4" numFmtId="11">
    <nc r="BO120">
      <v>657784</v>
    </nc>
  </rcc>
  <rcc rId="41129" sId="4" numFmtId="11">
    <nc r="BO122">
      <v>102506</v>
    </nc>
  </rcc>
  <rcc rId="41130" sId="4" numFmtId="11">
    <nc r="BO123">
      <v>535364</v>
    </nc>
  </rcc>
  <rcc rId="41131" sId="4" numFmtId="11">
    <nc r="BO126">
      <v>3495</v>
    </nc>
  </rcc>
  <rdn rId="0" localSheetId="2" customView="1" name="Z_50528D02_548E_47E0_94D7_D1E79CD3569C_.wvu.Cols" hidden="1" oldHidden="1">
    <formula>'FY2013 by Approp Title'!$AA:$AA</formula>
  </rdn>
  <rdn rId="0" localSheetId="3" customView="1" name="Z_50528D02_548E_47E0_94D7_D1E79CD3569C_.wvu.Cols" hidden="1" oldHidden="1">
    <formula>'FY2013 By Approp Title-Adj'!$AA:$AA</formula>
  </rdn>
  <rdn rId="0" localSheetId="4" customView="1" name="Z_50528D02_548E_47E0_94D7_D1E79CD3569C_.wvu.Rows" hidden="1" oldHidden="1">
    <formula>'FY 2013 by Agency'!$1:$3,'FY 2013 by Agency'!$226:$240</formula>
  </rdn>
  <rdn rId="0" localSheetId="4" customView="1" name="Z_50528D02_548E_47E0_94D7_D1E79CD3569C_.wvu.Cols" hidden="1" oldHidden="1">
    <formula>'FY 2013 by Agency'!$D:$E,'FY 2013 by Agency'!$G:$H,'FY 2013 by Agency'!$J:$K,'FY 2013 by Agency'!$M:$N,'FY 2013 by Agency'!$P:$Q,'FY 2013 by Agency'!$S:$T,'FY 2013 by Agency'!$V:$W,'FY 2013 by Agency'!$Y:$Z,'FY 2013 by Agency'!$AB:$AE,'FY 2013 by Agency'!$AG:$AO,'FY 2013 by Agency'!$AV:$AW,'FY 2013 by Agency'!$AY:$AZ,'FY 2013 by Agency'!$BF:$BG</formula>
  </rdn>
  <rdn rId="0" localSheetId="5" customView="1" name="Z_50528D02_548E_47E0_94D7_D1E79CD3569C_.wvu.Rows" hidden="1" oldHidden="1">
    <formula>'FY 2013 by Agency-Adj'!$1:$3,'FY 2013 by Agency-Adj'!$14:$14,'FY 2013 by Agency-Adj'!$19:$19,'FY 2013 by Agency-Adj'!$156:$156,'FY 2013 by Agency-Adj'!$163:$163,'FY 2013 by Agency-Adj'!$227:$241</formula>
  </rdn>
  <rdn rId="0" localSheetId="5" customView="1" name="Z_50528D02_548E_47E0_94D7_D1E79CD3569C_.wvu.Cols" hidden="1" oldHidden="1">
    <formula>'FY 2013 by Agency-Adj'!$AD:$AE,'FY 2013 by Agency-Adj'!$AI:$BK,'FY 2013 by Agency-Adj'!$BO:$BT</formula>
  </rdn>
  <rdn rId="0" localSheetId="8" customView="1" name="Z_50528D02_548E_47E0_94D7_D1E79CD3569C_.wvu.Rows" hidden="1" oldHidden="1">
    <formula>'Sheet 4'!$1:$6</formula>
  </rdn>
  <rcv guid="{50528D02-548E-47E0-94D7-D1E79CD3569C}" action="add"/>
</revisions>
</file>

<file path=xl/revisions/revisionLog1511.xml><?xml version="1.0" encoding="utf-8"?>
<revisions xmlns="http://schemas.openxmlformats.org/spreadsheetml/2006/main" xmlns:r="http://schemas.openxmlformats.org/officeDocument/2006/relationships">
  <rcc rId="41039" sId="4" numFmtId="4">
    <nc r="BO178">
      <v>111153</v>
    </nc>
  </rcc>
  <rcc rId="41040" sId="4" numFmtId="4">
    <nc r="BO179">
      <v>70684</v>
    </nc>
  </rcc>
  <rcc rId="41041" sId="4" numFmtId="4">
    <nc r="BO180">
      <v>34060</v>
    </nc>
  </rcc>
  <rcc rId="41042" sId="4">
    <oc r="BE180">
      <f>24783+8280</f>
    </oc>
    <nc r="BE180">
      <f>24786+8280</f>
    </nc>
  </rcc>
  <rcmt sheetId="4" cell="BO179" guid="{22E659FB-2958-4C41-8CA6-26D5E92292BD}" author="Jenny Reed" newLength="97"/>
  <rcv guid="{78CA186D-B240-44D5-8A24-D241DE0B0FD9}" action="delete"/>
  <rdn rId="0" localSheetId="2" customView="1" name="Z_78CA186D_B240_44D5_8A24_D241DE0B0FD9_.wvu.Cols" hidden="1" oldHidden="1">
    <formula>'FY2013 by Approp Title'!$AA:$AA</formula>
    <oldFormula>'FY2013 by Approp Title'!$AA:$AA</oldFormula>
  </rdn>
  <rdn rId="0" localSheetId="3" customView="1" name="Z_78CA186D_B240_44D5_8A24_D241DE0B0FD9_.wvu.Cols" hidden="1" oldHidden="1">
    <formula>'FY2013 By Approp Title-Adj'!$AA:$AA</formula>
    <oldFormula>'FY2013 By Approp Title-Adj'!$AA:$AA</oldFormula>
  </rdn>
  <rdn rId="0" localSheetId="4" customView="1" name="Z_78CA186D_B240_44D5_8A24_D241DE0B0FD9_.wvu.Rows" hidden="1" oldHidden="1">
    <formula>'FY 2013 by Agency'!$1:$3,'FY 2013 by Agency'!$226:$240</formula>
    <oldFormula>'FY 2013 by Agency'!$1:$3,'FY 2013 by Agency'!$226:$240</oldFormula>
  </rdn>
  <rdn rId="0" localSheetId="4" customView="1" name="Z_78CA186D_B240_44D5_8A24_D241DE0B0FD9_.wvu.Cols" hidden="1" oldHidden="1">
    <formula>'FY 2013 by Agency'!$D:$E,'FY 2013 by Agency'!$G:$H,'FY 2013 by Agency'!$J:$K,'FY 2013 by Agency'!$M:$N,'FY 2013 by Agency'!$P:$Q,'FY 2013 by Agency'!$S:$T,'FY 2013 by Agency'!$V:$W,'FY 2013 by Agency'!$Y:$Z,'FY 2013 by Agency'!$AB:$AE,'FY 2013 by Agency'!$AV:$AW,'FY 2013 by Agency'!$AY:$AZ,'FY 2013 by Agency'!$BF:$BG,'FY 2013 by Agency'!$BM:$BN</formula>
    <oldFormula>'FY 2013 by Agency'!$D:$E,'FY 2013 by Agency'!$G:$H,'FY 2013 by Agency'!$J:$K,'FY 2013 by Agency'!$M:$N,'FY 2013 by Agency'!$P:$Q,'FY 2013 by Agency'!$S:$T,'FY 2013 by Agency'!$V:$W,'FY 2013 by Agency'!$Y:$Z,'FY 2013 by Agency'!$AB:$AE,'FY 2013 by Agency'!$AG:$AO,'FY 2013 by Agency'!$AV:$AW,'FY 2013 by Agency'!$AY:$AZ,'FY 2013 by Agency'!$BF:$BG</oldFormula>
  </rdn>
  <rdn rId="0" localSheetId="5" customView="1" name="Z_78CA186D_B240_44D5_8A24_D241DE0B0FD9_.wvu.Rows" hidden="1" oldHidden="1">
    <formula>'FY 2013 by Agency-Adj'!$1:$3,'FY 2013 by Agency-Adj'!$14:$14,'FY 2013 by Agency-Adj'!$19:$19,'FY 2013 by Agency-Adj'!$156:$156,'FY 2013 by Agency-Adj'!$163:$163,'FY 2013 by Agency-Adj'!$227:$241</formula>
    <oldFormula>'FY 2013 by Agency-Adj'!$1:$3,'FY 2013 by Agency-Adj'!$14:$14,'FY 2013 by Agency-Adj'!$19:$19,'FY 2013 by Agency-Adj'!$156:$156,'FY 2013 by Agency-Adj'!$163:$163,'FY 2013 by Agency-Adj'!$227:$241</oldFormula>
  </rdn>
  <rdn rId="0" localSheetId="5" customView="1" name="Z_78CA186D_B240_44D5_8A24_D241DE0B0FD9_.wvu.Cols" hidden="1" oldHidden="1">
    <formula>'FY 2013 by Agency-Adj'!$AD:$AE,'FY 2013 by Agency-Adj'!$AI:$BK,'FY 2013 by Agency-Adj'!$BO:$BT</formula>
    <oldFormula>'FY 2013 by Agency-Adj'!$AD:$AE,'FY 2013 by Agency-Adj'!$AI:$BK,'FY 2013 by Agency-Adj'!$BO:$BT</oldFormula>
  </rdn>
  <rdn rId="0" localSheetId="8" customView="1" name="Z_78CA186D_B240_44D5_8A24_D241DE0B0FD9_.wvu.Rows" hidden="1" oldHidden="1">
    <formula>'Sheet 4'!$1:$6</formula>
    <oldFormula>'Sheet 4'!$1:$6</oldFormula>
  </rdn>
  <rcv guid="{78CA186D-B240-44D5-8A24-D241DE0B0FD9}" action="add"/>
</revisions>
</file>

<file path=xl/revisions/revisionLog15111.xml><?xml version="1.0" encoding="utf-8"?>
<revisions xmlns="http://schemas.openxmlformats.org/spreadsheetml/2006/main" xmlns:r="http://schemas.openxmlformats.org/officeDocument/2006/relationships">
  <rcc rId="40978" sId="4" xfDxf="1" dxf="1" numFmtId="11">
    <nc r="BO39">
      <v>835</v>
    </nc>
    <ndxf>
      <font/>
      <numFmt numFmtId="165" formatCode="&quot;$&quot;#,##0"/>
    </ndxf>
  </rcc>
  <rcc rId="40979" sId="4" numFmtId="11">
    <nc r="BO37">
      <v>0</v>
    </nc>
  </rcc>
  <rcc rId="40980" sId="4" xfDxf="1" dxf="1" numFmtId="11">
    <nc r="BO33">
      <v>13308</v>
    </nc>
    <ndxf>
      <font/>
      <numFmt numFmtId="165" formatCode="&quot;$&quot;#,##0"/>
    </ndxf>
  </rcc>
  <rcc rId="40981" sId="4">
    <oc r="A45" t="inlineStr">
      <is>
        <t>^absorbed into Mayor's office 2013</t>
      </is>
    </oc>
    <nc r="A45" t="inlineStr">
      <is>
        <t>^^absorbed into Mayor's office 2013</t>
      </is>
    </nc>
  </rcc>
  <rcc rId="40982" sId="4">
    <oc r="A11" t="inlineStr">
      <is>
        <t>Office of the Community Affairs^</t>
      </is>
    </oc>
    <nc r="A11" t="inlineStr">
      <is>
        <t>Office of the Community Affairs^^</t>
      </is>
    </nc>
  </rcc>
  <rcc rId="40983" sId="4">
    <oc r="A12" t="inlineStr">
      <is>
        <t>Serve DC^</t>
      </is>
    </oc>
    <nc r="A12" t="inlineStr">
      <is>
        <t>Serve DC^^</t>
      </is>
    </nc>
  </rcc>
  <rcc rId="40984" sId="4" xfDxf="1" dxf="1" numFmtId="11">
    <nc r="BO34">
      <v>128292</v>
    </nc>
    <ndxf>
      <font/>
      <numFmt numFmtId="165" formatCode="&quot;$&quot;#,##0"/>
    </ndxf>
  </rcc>
  <rcc rId="40985" sId="4">
    <oc r="A41" t="inlineStr">
      <is>
        <t>Office of Open Government^</t>
      </is>
    </oc>
    <nc r="A41" t="inlineStr">
      <is>
        <t>Office of Open Government/DC Board of Ethics and Government Accountability^</t>
      </is>
    </nc>
  </rcc>
  <rm rId="40986" sheetId="4" source="BO39" destination="BO41" sourceSheetId="4">
    <undo index="0" exp="ref" v="1" dr="BO41" r="BT41" sId="4"/>
    <rfmt sheetId="4" sqref="BO41" start="0" length="0">
      <dxf>
        <font>
          <sz val="10"/>
          <color auto="1"/>
          <name val="Arial"/>
          <scheme val="none"/>
        </font>
        <numFmt numFmtId="165" formatCode="&quot;$&quot;#,##0"/>
        <border outline="0">
          <bottom style="medium">
            <color indexed="64"/>
          </bottom>
        </border>
      </dxf>
    </rfmt>
  </rm>
  <rrc rId="40987" sId="4" ref="A39:XFD39" action="deleteRow">
    <undo index="0" exp="ref" ref3D="1" v="1" dr="BT39" r="BX39" sId="5"/>
    <undo index="24" exp="area" ref3D="1" dr="$BF$1:$BG$1048576" dn="Z_455630F5_40FC_47DB_8AD4_712C20B8FB91_.wvu.Cols" sId="4"/>
    <undo index="22" exp="area" ref3D="1" dr="$AY$1:$AZ$1048576" dn="Z_455630F5_40FC_47DB_8AD4_712C20B8FB91_.wvu.Cols" sId="4"/>
    <undo index="20" exp="area" ref3D="1" dr="$AV$1:$AW$1048576" dn="Z_455630F5_40FC_47DB_8AD4_712C20B8FB91_.wvu.Cols" sId="4"/>
    <undo index="18" exp="area" ref3D="1" dr="$AG$1:$AO$1048576" dn="Z_455630F5_40FC_47DB_8AD4_712C20B8FB91_.wvu.Cols" sId="4"/>
    <undo index="16" exp="area" ref3D="1" dr="$AB$1:$AE$1048576" dn="Z_455630F5_40FC_47DB_8AD4_712C20B8FB91_.wvu.Cols" sId="4"/>
    <undo index="14" exp="area" ref3D="1" dr="$Y$1:$Z$1048576" dn="Z_455630F5_40FC_47DB_8AD4_712C20B8FB91_.wvu.Cols" sId="4"/>
    <undo index="12" exp="area" ref3D="1" dr="$V$1:$W$1048576" dn="Z_455630F5_40FC_47DB_8AD4_712C20B8FB91_.wvu.Cols" sId="4"/>
    <undo index="10" exp="area" ref3D="1" dr="$S$1:$T$1048576" dn="Z_455630F5_40FC_47DB_8AD4_712C20B8FB91_.wvu.Cols" sId="4"/>
    <undo index="8" exp="area" ref3D="1" dr="$P$1:$Q$1048576" dn="Z_455630F5_40FC_47DB_8AD4_712C20B8FB91_.wvu.Cols" sId="4"/>
    <undo index="6" exp="area" ref3D="1" dr="$M$1:$N$1048576" dn="Z_455630F5_40FC_47DB_8AD4_712C20B8FB91_.wvu.Cols" sId="4"/>
    <undo index="4" exp="area" ref3D="1" dr="$J$1:$K$1048576" dn="Z_455630F5_40FC_47DB_8AD4_712C20B8FB91_.wvu.Cols" sId="4"/>
    <undo index="2" exp="area" ref3D="1" dr="$G$1:$H$1048576" dn="Z_455630F5_40FC_47DB_8AD4_712C20B8FB91_.wvu.Cols" sId="4"/>
    <undo index="1" exp="area" ref3D="1" dr="$D$1:$E$1048576" dn="Z_455630F5_40FC_47DB_8AD4_712C20B8FB91_.wvu.Cols" sId="4"/>
    <undo index="2" exp="area" ref3D="1" dr="$A$227:$XFD$241" dn="Z_455630F5_40FC_47DB_8AD4_712C20B8FB91_.wvu.Rows" sId="4"/>
    <undo index="2" exp="area" ref3D="1" dr="$A$227:$XFD$241" dn="Z_F784130D_F647_4ABA_8943_C79CA5B0FDC4_.wvu.Rows" sId="4"/>
    <undo index="2" exp="area" ref3D="1" dr="$A$227:$XFD$241" dn="Z_E44F5FE1_54FC_4AB3_84F9_7D65ACF2DDE7_.wvu.Rows" sId="4"/>
    <undo index="0" exp="area" ref3D="1" dr="$AV$1:$AW$1048576" dn="Z_E44F5FE1_54FC_4AB3_84F9_7D65ACF2DDE7_.wvu.Cols" sId="4"/>
    <undo index="2" exp="area" ref3D="1" dr="$A$227:$XFD$241" dn="Z_AEFEB150_9213_45F5_A178_7AC71E46DB11_.wvu.Rows" sId="4"/>
    <undo index="2" exp="area" ref3D="1" dr="$A$227:$XFD$241" dn="Z_9D4F0482_B164_4671_805A_E0D2D4DD4720_.wvu.Rows" sId="4"/>
    <undo index="0" exp="area" ref3D="1" dr="$AI$1:$AW$1048576" dn="Z_9D4F0482_B164_4671_805A_E0D2D4DD4720_.wvu.Cols" sId="4"/>
    <undo index="2" exp="area" ref3D="1" dr="$A$227:$XFD$241" dn="Z_94DA13B6_7351_40F3_8CF7_A4211EC439DA_.wvu.Rows" sId="4"/>
    <undo index="2" exp="area" ref3D="1" dr="$A$227:$XFD$241" dn="Z_8F508F4D_4777_42BE_9707_8CB9355F7BDB_.wvu.Rows" sId="4"/>
    <undo index="2" exp="area" ref3D="1" dr="$A$227:$XFD$241" dn="Z_78CA186D_B240_44D5_8A24_D241DE0B0FD9_.wvu.Rows" sId="4"/>
    <undo index="24" exp="area" ref3D="1" dr="$BF$1:$BG$1048576" dn="Z_78CA186D_B240_44D5_8A24_D241DE0B0FD9_.wvu.Cols" sId="4"/>
    <undo index="22" exp="area" ref3D="1" dr="$AY$1:$AZ$1048576" dn="Z_78CA186D_B240_44D5_8A24_D241DE0B0FD9_.wvu.Cols" sId="4"/>
    <undo index="20" exp="area" ref3D="1" dr="$AV$1:$AW$1048576" dn="Z_78CA186D_B240_44D5_8A24_D241DE0B0FD9_.wvu.Cols" sId="4"/>
    <undo index="18" exp="area" ref3D="1" dr="$AG$1:$AO$1048576" dn="Z_78CA186D_B240_44D5_8A24_D241DE0B0FD9_.wvu.Cols" sId="4"/>
    <undo index="16" exp="area" ref3D="1" dr="$AB$1:$AE$1048576" dn="Z_78CA186D_B240_44D5_8A24_D241DE0B0FD9_.wvu.Cols" sId="4"/>
    <undo index="14" exp="area" ref3D="1" dr="$Y$1:$Z$1048576" dn="Z_78CA186D_B240_44D5_8A24_D241DE0B0FD9_.wvu.Cols" sId="4"/>
    <undo index="12" exp="area" ref3D="1" dr="$V$1:$W$1048576" dn="Z_78CA186D_B240_44D5_8A24_D241DE0B0FD9_.wvu.Cols" sId="4"/>
    <undo index="10" exp="area" ref3D="1" dr="$S$1:$T$1048576" dn="Z_78CA186D_B240_44D5_8A24_D241DE0B0FD9_.wvu.Cols" sId="4"/>
    <undo index="8" exp="area" ref3D="1" dr="$P$1:$Q$1048576" dn="Z_78CA186D_B240_44D5_8A24_D241DE0B0FD9_.wvu.Cols" sId="4"/>
    <undo index="6" exp="area" ref3D="1" dr="$M$1:$N$1048576" dn="Z_78CA186D_B240_44D5_8A24_D241DE0B0FD9_.wvu.Cols" sId="4"/>
    <undo index="4" exp="area" ref3D="1" dr="$J$1:$K$1048576" dn="Z_78CA186D_B240_44D5_8A24_D241DE0B0FD9_.wvu.Cols" sId="4"/>
    <undo index="2" exp="area" ref3D="1" dr="$G$1:$H$1048576" dn="Z_78CA186D_B240_44D5_8A24_D241DE0B0FD9_.wvu.Cols" sId="4"/>
    <undo index="1" exp="area" ref3D="1" dr="$D$1:$E$1048576" dn="Z_78CA186D_B240_44D5_8A24_D241DE0B0FD9_.wvu.Cols" sId="4"/>
    <undo index="2" exp="area" ref3D="1" dr="$A$227:$XFD$241" dn="Z_567C3053_2D8E_4705_8DC7_18896C5303CA_.wvu.Rows" sId="4"/>
    <undo index="2" exp="area" ref3D="1" dr="$A$227:$XFD$241" dn="Z_1E5198E1_BA46_4CE0_8628_4F695B0D7A3B_.wvu.Rows" sId="4"/>
    <rfmt sheetId="4" xfDxf="1" sqref="A39:XFD39" start="0" length="0">
      <dxf>
        <font>
          <i/>
        </font>
      </dxf>
    </rfmt>
    <rcc rId="0" sId="4" dxf="1">
      <nc r="A39" t="inlineStr">
        <is>
          <t>DC Board of Ethics and Government Accountability</t>
        </is>
      </nc>
      <ndxf>
        <font>
          <i val="0"/>
        </font>
        <fill>
          <patternFill patternType="solid">
            <bgColor rgb="FFFFFF00"/>
          </patternFill>
        </fill>
      </ndxf>
    </rcc>
    <rfmt sheetId="4" sqref="B39" start="0" length="0">
      <dxf>
        <font>
          <i val="0"/>
        </font>
        <numFmt numFmtId="10" formatCode="&quot;$&quot;#,##0_);[Red]\(&quot;$&quot;#,##0\)"/>
        <alignment horizontal="right" vertical="top" readingOrder="0"/>
      </dxf>
    </rfmt>
    <rfmt sheetId="4" sqref="C39" start="0" length="0">
      <dxf>
        <font>
          <i val="0"/>
        </font>
        <numFmt numFmtId="10" formatCode="&quot;$&quot;#,##0_);[Red]\(&quot;$&quot;#,##0\)"/>
        <alignment horizontal="right" vertical="top" readingOrder="0"/>
      </dxf>
    </rfmt>
    <rfmt sheetId="4" sqref="D39" start="0" length="0">
      <dxf>
        <font>
          <i val="0"/>
        </font>
        <numFmt numFmtId="10" formatCode="&quot;$&quot;#,##0_);[Red]\(&quot;$&quot;#,##0\)"/>
        <alignment horizontal="right" vertical="top" readingOrder="0"/>
      </dxf>
    </rfmt>
    <rfmt sheetId="4" sqref="E39" start="0" length="0">
      <dxf>
        <font>
          <i val="0"/>
        </font>
        <numFmt numFmtId="10" formatCode="&quot;$&quot;#,##0_);[Red]\(&quot;$&quot;#,##0\)"/>
        <alignment horizontal="right" vertical="top" readingOrder="0"/>
      </dxf>
    </rfmt>
    <rfmt sheetId="4" sqref="F39" start="0" length="0">
      <dxf>
        <font>
          <i val="0"/>
          <sz val="10"/>
          <color auto="1"/>
          <name val="Arial"/>
          <scheme val="none"/>
        </font>
        <numFmt numFmtId="10" formatCode="&quot;$&quot;#,##0_);[Red]\(&quot;$&quot;#,##0\)"/>
        <alignment horizontal="right" vertical="top" readingOrder="0"/>
      </dxf>
    </rfmt>
    <rfmt sheetId="4" sqref="G39" start="0" length="0">
      <dxf>
        <font>
          <i val="0"/>
        </font>
        <numFmt numFmtId="10" formatCode="&quot;$&quot;#,##0_);[Red]\(&quot;$&quot;#,##0\)"/>
        <alignment horizontal="right" vertical="top" readingOrder="0"/>
      </dxf>
    </rfmt>
    <rfmt sheetId="4" sqref="H39" start="0" length="0">
      <dxf>
        <font>
          <i val="0"/>
        </font>
        <numFmt numFmtId="10" formatCode="&quot;$&quot;#,##0_);[Red]\(&quot;$&quot;#,##0\)"/>
        <alignment horizontal="right" vertical="top" readingOrder="0"/>
      </dxf>
    </rfmt>
    <rfmt sheetId="4" sqref="I39" start="0" length="0">
      <dxf>
        <font>
          <i val="0"/>
          <sz val="10"/>
          <color auto="1"/>
          <name val="Arial"/>
          <scheme val="none"/>
        </font>
        <numFmt numFmtId="10" formatCode="&quot;$&quot;#,##0_);[Red]\(&quot;$&quot;#,##0\)"/>
        <alignment horizontal="right" vertical="top" readingOrder="0"/>
      </dxf>
    </rfmt>
    <rfmt sheetId="4" sqref="J39" start="0" length="0">
      <dxf>
        <font>
          <i val="0"/>
          <sz val="10"/>
          <color auto="1"/>
          <name val="Arial"/>
          <scheme val="none"/>
        </font>
        <numFmt numFmtId="10" formatCode="&quot;$&quot;#,##0_);[Red]\(&quot;$&quot;#,##0\)"/>
        <alignment horizontal="right" vertical="top" readingOrder="0"/>
      </dxf>
    </rfmt>
    <rfmt sheetId="4" sqref="K39" start="0" length="0">
      <dxf>
        <font>
          <i val="0"/>
          <sz val="10"/>
          <color auto="1"/>
          <name val="Arial"/>
          <scheme val="none"/>
        </font>
        <numFmt numFmtId="10" formatCode="&quot;$&quot;#,##0_);[Red]\(&quot;$&quot;#,##0\)"/>
        <alignment horizontal="right" vertical="top" readingOrder="0"/>
      </dxf>
    </rfmt>
    <rfmt sheetId="4" sqref="L39" start="0" length="0">
      <dxf>
        <numFmt numFmtId="10" formatCode="&quot;$&quot;#,##0_);[Red]\(&quot;$&quot;#,##0\)"/>
      </dxf>
    </rfmt>
    <rfmt sheetId="4" sqref="M39" start="0" length="0">
      <dxf>
        <numFmt numFmtId="10" formatCode="&quot;$&quot;#,##0_);[Red]\(&quot;$&quot;#,##0\)"/>
      </dxf>
    </rfmt>
    <rfmt sheetId="4" sqref="N39" start="0" length="0">
      <dxf>
        <numFmt numFmtId="164" formatCode="0.0%"/>
      </dxf>
    </rfmt>
    <rfmt sheetId="4" sqref="O39" start="0" length="0">
      <dxf>
        <numFmt numFmtId="10" formatCode="&quot;$&quot;#,##0_);[Red]\(&quot;$&quot;#,##0\)"/>
      </dxf>
    </rfmt>
    <rfmt sheetId="4" sqref="P39" start="0" length="0">
      <dxf>
        <numFmt numFmtId="10" formatCode="&quot;$&quot;#,##0_);[Red]\(&quot;$&quot;#,##0\)"/>
      </dxf>
    </rfmt>
    <rfmt sheetId="4" sqref="Q39" start="0" length="0">
      <dxf>
        <numFmt numFmtId="164" formatCode="0.0%"/>
      </dxf>
    </rfmt>
    <rfmt sheetId="4" sqref="R39" start="0" length="0">
      <dxf>
        <numFmt numFmtId="10" formatCode="&quot;$&quot;#,##0_);[Red]\(&quot;$&quot;#,##0\)"/>
      </dxf>
    </rfmt>
    <rfmt sheetId="4" sqref="S39" start="0" length="0">
      <dxf>
        <numFmt numFmtId="10" formatCode="&quot;$&quot;#,##0_);[Red]\(&quot;$&quot;#,##0\)"/>
      </dxf>
    </rfmt>
    <rfmt sheetId="4" sqref="T39" start="0" length="0">
      <dxf>
        <numFmt numFmtId="164" formatCode="0.0%"/>
      </dxf>
    </rfmt>
    <rfmt sheetId="4" sqref="U39" start="0" length="0">
      <dxf>
        <numFmt numFmtId="10" formatCode="&quot;$&quot;#,##0_);[Red]\(&quot;$&quot;#,##0\)"/>
      </dxf>
    </rfmt>
    <rfmt sheetId="4" sqref="V39" start="0" length="0">
      <dxf>
        <numFmt numFmtId="10" formatCode="&quot;$&quot;#,##0_);[Red]\(&quot;$&quot;#,##0\)"/>
      </dxf>
    </rfmt>
    <rfmt sheetId="4" sqref="W39" start="0" length="0">
      <dxf>
        <numFmt numFmtId="164" formatCode="0.0%"/>
      </dxf>
    </rfmt>
    <rfmt sheetId="4" s="1" sqref="X39" start="0" length="0">
      <dxf>
        <numFmt numFmtId="10" formatCode="&quot;$&quot;#,##0_);[Red]\(&quot;$&quot;#,##0\)"/>
        <alignment horizontal="right" readingOrder="0"/>
      </dxf>
    </rfmt>
    <rfmt sheetId="4" sqref="Y39" start="0" length="0">
      <dxf>
        <numFmt numFmtId="10" formatCode="&quot;$&quot;#,##0_);[Red]\(&quot;$&quot;#,##0\)"/>
      </dxf>
    </rfmt>
    <rfmt sheetId="4" sqref="Z39" start="0" length="0">
      <dxf>
        <numFmt numFmtId="165" formatCode="&quot;$&quot;#,##0"/>
        <alignment horizontal="right" vertical="top" wrapText="1" readingOrder="0"/>
      </dxf>
    </rfmt>
    <rfmt sheetId="4" sqref="AA39" start="0" length="0">
      <dxf>
        <numFmt numFmtId="10" formatCode="&quot;$&quot;#,##0_);[Red]\(&quot;$&quot;#,##0\)"/>
      </dxf>
    </rfmt>
    <rfmt sheetId="4" sqref="AB39" start="0" length="0">
      <dxf>
        <numFmt numFmtId="10" formatCode="&quot;$&quot;#,##0_);[Red]\(&quot;$&quot;#,##0\)"/>
        <alignment vertical="top" wrapText="1" readingOrder="0"/>
      </dxf>
    </rfmt>
    <rfmt sheetId="4" sqref="AC39" start="0" length="0">
      <dxf>
        <numFmt numFmtId="13" formatCode="0%"/>
      </dxf>
    </rfmt>
    <rfmt sheetId="4" sqref="AF39" start="0" length="0">
      <dxf>
        <numFmt numFmtId="10" formatCode="&quot;$&quot;#,##0_);[Red]\(&quot;$&quot;#,##0\)"/>
      </dxf>
    </rfmt>
    <rfmt sheetId="4" sqref="AG39" start="0" length="0">
      <dxf>
        <font>
          <i val="0"/>
        </font>
        <numFmt numFmtId="10" formatCode="&quot;$&quot;#,##0_);[Red]\(&quot;$&quot;#,##0\)"/>
      </dxf>
    </rfmt>
    <rfmt sheetId="4" sqref="AH39" start="0" length="0">
      <dxf>
        <font>
          <i val="0"/>
        </font>
        <numFmt numFmtId="164" formatCode="0.0%"/>
      </dxf>
    </rfmt>
    <rfmt sheetId="4" sqref="AM39" start="0" length="0">
      <dxf>
        <numFmt numFmtId="10" formatCode="&quot;$&quot;#,##0_);[Red]\(&quot;$&quot;#,##0\)"/>
      </dxf>
    </rfmt>
    <rfmt sheetId="4" sqref="AP39" start="0" length="0">
      <dxf>
        <numFmt numFmtId="3" formatCode="#,##0"/>
      </dxf>
    </rfmt>
    <rfmt sheetId="4" sqref="AQ39" start="0" length="0">
      <dxf>
        <numFmt numFmtId="3" formatCode="#,##0"/>
      </dxf>
    </rfmt>
    <rfmt sheetId="4" sqref="AR39" start="0" length="0">
      <dxf>
        <font>
          <i val="0"/>
        </font>
        <numFmt numFmtId="3" formatCode="#,##0"/>
      </dxf>
    </rfmt>
    <rfmt sheetId="4" sqref="AS39" start="0" length="0">
      <dxf>
        <font>
          <i val="0"/>
        </font>
        <numFmt numFmtId="10" formatCode="&quot;$&quot;#,##0_);[Red]\(&quot;$&quot;#,##0\)"/>
      </dxf>
    </rfmt>
    <rfmt sheetId="4" sqref="AT39" start="0" length="0">
      <dxf>
        <font>
          <i val="0"/>
        </font>
        <numFmt numFmtId="3" formatCode="#,##0"/>
      </dxf>
    </rfmt>
    <rfmt sheetId="4" sqref="AU39" start="0" length="0">
      <dxf>
        <font>
          <i val="0"/>
        </font>
        <numFmt numFmtId="13" formatCode="0%"/>
      </dxf>
    </rfmt>
    <rfmt sheetId="4" sqref="AV39" start="0" length="0">
      <dxf>
        <numFmt numFmtId="3" formatCode="#,##0"/>
      </dxf>
    </rfmt>
    <rfmt sheetId="4" sqref="AW39" start="0" length="0">
      <dxf>
        <numFmt numFmtId="13" formatCode="0%"/>
      </dxf>
    </rfmt>
    <rfmt sheetId="4" sqref="AX39" start="0" length="0">
      <dxf>
        <numFmt numFmtId="10" formatCode="&quot;$&quot;#,##0_);[Red]\(&quot;$&quot;#,##0\)"/>
      </dxf>
    </rfmt>
    <rfmt sheetId="4" sqref="AY39" start="0" length="0">
      <dxf>
        <font>
          <i val="0"/>
        </font>
        <numFmt numFmtId="10" formatCode="&quot;$&quot;#,##0_);[Red]\(&quot;$&quot;#,##0\)"/>
      </dxf>
    </rfmt>
    <rfmt sheetId="4" sqref="AZ39" start="0" length="0">
      <dxf>
        <font>
          <i val="0"/>
        </font>
        <numFmt numFmtId="164" formatCode="0.0%"/>
      </dxf>
    </rfmt>
    <rfmt sheetId="4" sqref="BA39" start="0" length="0">
      <dxf>
        <font>
          <i val="0"/>
        </font>
        <numFmt numFmtId="164" formatCode="0.0%"/>
      </dxf>
    </rfmt>
    <rfmt sheetId="4" sqref="BB39" start="0" length="0">
      <dxf>
        <font>
          <i val="0"/>
        </font>
        <numFmt numFmtId="164" formatCode="0.0%"/>
      </dxf>
    </rfmt>
    <rfmt sheetId="4" sqref="BC39" start="0" length="0">
      <dxf>
        <font>
          <i val="0"/>
          <sz val="10"/>
          <color auto="1"/>
          <name val="Arial"/>
          <scheme val="none"/>
        </font>
        <numFmt numFmtId="6" formatCode="#,##0_);[Red]\(#,##0\)"/>
      </dxf>
    </rfmt>
    <rfmt sheetId="4" sqref="BD39" start="0" length="0">
      <dxf>
        <font>
          <i val="0"/>
          <sz val="10"/>
          <color auto="1"/>
          <name val="Arial"/>
          <scheme val="none"/>
        </font>
        <numFmt numFmtId="164" formatCode="0.0%"/>
      </dxf>
    </rfmt>
    <rfmt sheetId="4" sqref="BE39" start="0" length="0">
      <dxf>
        <numFmt numFmtId="10" formatCode="&quot;$&quot;#,##0_);[Red]\(&quot;$&quot;#,##0\)"/>
      </dxf>
    </rfmt>
    <rfmt sheetId="4" sqref="BF39" start="0" length="0">
      <dxf>
        <font>
          <i val="0"/>
        </font>
        <numFmt numFmtId="10" formatCode="&quot;$&quot;#,##0_);[Red]\(&quot;$&quot;#,##0\)"/>
      </dxf>
    </rfmt>
    <rfmt sheetId="4" sqref="BG39" start="0" length="0">
      <dxf>
        <font>
          <i val="0"/>
        </font>
        <numFmt numFmtId="164" formatCode="0.0%"/>
      </dxf>
    </rfmt>
    <rfmt sheetId="4" sqref="BH39" start="0" length="0">
      <dxf>
        <font>
          <i val="0"/>
        </font>
        <numFmt numFmtId="3" formatCode="#,##0"/>
      </dxf>
    </rfmt>
    <rfmt sheetId="4" sqref="BI39" start="0" length="0">
      <dxf>
        <font>
          <i val="0"/>
        </font>
        <numFmt numFmtId="3" formatCode="#,##0"/>
      </dxf>
    </rfmt>
    <rfmt sheetId="4" sqref="BJ39" start="0" length="0">
      <dxf>
        <font>
          <i val="0"/>
        </font>
        <numFmt numFmtId="3" formatCode="#,##0"/>
      </dxf>
    </rfmt>
    <rfmt sheetId="4" sqref="BK39" start="0" length="0">
      <dxf>
        <font>
          <i val="0"/>
        </font>
        <numFmt numFmtId="3" formatCode="#,##0"/>
      </dxf>
    </rfmt>
    <rfmt sheetId="4" sqref="BL39" start="0" length="0">
      <dxf>
        <font>
          <i val="0"/>
        </font>
        <numFmt numFmtId="165" formatCode="&quot;$&quot;#,##0"/>
      </dxf>
    </rfmt>
    <rfmt sheetId="4" sqref="BM39" start="0" length="0">
      <dxf>
        <font>
          <i val="0"/>
        </font>
        <numFmt numFmtId="165" formatCode="&quot;$&quot;#,##0"/>
      </dxf>
    </rfmt>
    <rfmt sheetId="4" sqref="BN39" start="0" length="0">
      <dxf>
        <font>
          <i val="0"/>
        </font>
        <numFmt numFmtId="14" formatCode="0.00%"/>
      </dxf>
    </rfmt>
    <rfmt sheetId="4" sqref="BT39" start="0" length="0">
      <dxf>
        <font>
          <i val="0"/>
        </font>
        <numFmt numFmtId="1" formatCode="0"/>
      </dxf>
    </rfmt>
    <rfmt sheetId="4" sqref="BU39" start="0" length="0">
      <dxf>
        <font>
          <i val="0"/>
        </font>
        <numFmt numFmtId="165" formatCode="&quot;$&quot;#,##0"/>
      </dxf>
    </rfmt>
    <rfmt sheetId="4" sqref="BV39" start="0" length="0">
      <dxf>
        <font>
          <i val="0"/>
        </font>
        <numFmt numFmtId="14" formatCode="0.00%"/>
      </dxf>
    </rfmt>
  </rrc>
  <rrc rId="40988" sId="5" ref="A39:XFD39" action="deleteRow">
    <undo index="4" exp="area" ref3D="1" dr="$BO$1:$BT$1048576" dn="Z_455630F5_40FC_47DB_8AD4_712C20B8FB91_.wvu.Cols" sId="5"/>
    <undo index="2" exp="area" ref3D="1" dr="$AI$1:$BK$1048576" dn="Z_455630F5_40FC_47DB_8AD4_712C20B8FB91_.wvu.Cols" sId="5"/>
    <undo index="1" exp="area" ref3D="1" dr="$AD$1:$AE$1048576" dn="Z_455630F5_40FC_47DB_8AD4_712C20B8FB91_.wvu.Cols" sId="5"/>
    <undo index="10" exp="area" ref3D="1" dr="$A$228:$XFD$242" dn="Z_455630F5_40FC_47DB_8AD4_712C20B8FB91_.wvu.Rows" sId="5"/>
    <undo index="8" exp="area" ref3D="1" dr="$A$164:$XFD$164" dn="Z_455630F5_40FC_47DB_8AD4_712C20B8FB91_.wvu.Rows" sId="5"/>
    <undo index="6" exp="area" ref3D="1" dr="$A$157:$XFD$157" dn="Z_455630F5_40FC_47DB_8AD4_712C20B8FB91_.wvu.Rows" sId="5"/>
    <undo index="4" exp="area" ref3D="1" dr="$A$228:$XFD$242" dn="Z_F784130D_F647_4ABA_8943_C79CA5B0FDC4_.wvu.Rows" sId="5"/>
    <undo index="2" exp="area" ref3D="1" dr="$A$164:$XFD$164" dn="Z_F784130D_F647_4ABA_8943_C79CA5B0FDC4_.wvu.Rows" sId="5"/>
    <undo index="2" exp="area" ref3D="1" dr="$AZ$1:$BH$1048576" dn="Z_F784130D_F647_4ABA_8943_C79CA5B0FDC4_.wvu.Cols" sId="5"/>
    <undo index="1" exp="area" ref3D="1" dr="$AJ$1:$AM$1048576" dn="Z_F784130D_F647_4ABA_8943_C79CA5B0FDC4_.wvu.Cols" sId="5"/>
    <undo index="2" exp="area" ref3D="1" dr="$A$228:$XFD$242" dn="Z_E44F5FE1_54FC_4AB3_84F9_7D65ACF2DDE7_.wvu.Rows" sId="5"/>
    <undo index="2" exp="area" ref3D="1" dr="$BO$1:$BT$1048576" dn="Z_E44F5FE1_54FC_4AB3_84F9_7D65ACF2DDE7_.wvu.Cols" sId="5"/>
    <undo index="1" exp="area" ref3D="1" dr="$AI$1:$BK$1048576" dn="Z_E44F5FE1_54FC_4AB3_84F9_7D65ACF2DDE7_.wvu.Cols" sId="5"/>
    <undo index="2" exp="area" ref3D="1" dr="$A$228:$XFD$242" dn="Z_AEFEB150_9213_45F5_A178_7AC71E46DB11_.wvu.Rows" sId="5"/>
    <undo index="0" exp="area" ref3D="1" dr="$AJ$1:$AM$1048576" dn="Z_AEFEB150_9213_45F5_A178_7AC71E46DB11_.wvu.Cols" sId="5"/>
    <undo index="12" exp="area" ref3D="1" dr="$A$228:$XFD$242" dn="Z_9D4F0482_B164_4671_805A_E0D2D4DD4720_.wvu.Rows" sId="5"/>
    <undo index="10" exp="area" ref3D="1" dr="$A$164:$XFD$164" dn="Z_9D4F0482_B164_4671_805A_E0D2D4DD4720_.wvu.Rows" sId="5"/>
    <undo index="8" exp="area" ref3D="1" dr="$A$157:$XFD$157" dn="Z_9D4F0482_B164_4671_805A_E0D2D4DD4720_.wvu.Rows" sId="5"/>
    <undo index="6" exp="area" ref3D="1" dr="$A$149:$XFD$149" dn="Z_9D4F0482_B164_4671_805A_E0D2D4DD4720_.wvu.Rows" sId="5"/>
    <undo index="2" exp="area" ref3D="1" dr="$AI$1:$BJ$1048576" dn="Z_9D4F0482_B164_4671_805A_E0D2D4DD4720_.wvu.Cols" sId="5"/>
    <undo index="1" exp="area" ref3D="1" dr="$AD$1:$AE$1048576" dn="Z_9D4F0482_B164_4671_805A_E0D2D4DD4720_.wvu.Cols" sId="5"/>
    <undo index="2" exp="area" ref3D="1" dr="$A$228:$XFD$242" dn="Z_94DA13B6_7351_40F3_8CF7_A4211EC439DA_.wvu.Rows" sId="5"/>
    <undo index="4" exp="area" ref3D="1" dr="$AP$1:$AS$1048576" dn="Z_94DA13B6_7351_40F3_8CF7_A4211EC439DA_.wvu.Cols" sId="5"/>
    <undo index="2" exp="area" ref3D="1" dr="$AJ$1:$AM$1048576" dn="Z_94DA13B6_7351_40F3_8CF7_A4211EC439DA_.wvu.Cols" sId="5"/>
    <undo index="1" exp="area" ref3D="1" dr="$V$1:$AB$1048576" dn="Z_94DA13B6_7351_40F3_8CF7_A4211EC439DA_.wvu.Cols" sId="5"/>
    <undo index="2" exp="area" ref3D="1" dr="$A$228:$XFD$242" dn="Z_8F508F4D_4777_42BE_9707_8CB9355F7BDB_.wvu.Rows" sId="5"/>
    <undo index="2" exp="area" ref3D="1" dr="$AJ$1:$AM$1048576" dn="Z_8F508F4D_4777_42BE_9707_8CB9355F7BDB_.wvu.Cols" sId="5"/>
    <undo index="1" exp="area" ref3D="1" dr="$V$1:$AB$1048576" dn="Z_8F508F4D_4777_42BE_9707_8CB9355F7BDB_.wvu.Cols" sId="5"/>
    <undo index="10" exp="area" ref3D="1" dr="$A$228:$XFD$242" dn="Z_78CA186D_B240_44D5_8A24_D241DE0B0FD9_.wvu.Rows" sId="5"/>
    <undo index="8" exp="area" ref3D="1" dr="$A$164:$XFD$164" dn="Z_78CA186D_B240_44D5_8A24_D241DE0B0FD9_.wvu.Rows" sId="5"/>
    <undo index="6" exp="area" ref3D="1" dr="$A$157:$XFD$157" dn="Z_78CA186D_B240_44D5_8A24_D241DE0B0FD9_.wvu.Rows" sId="5"/>
    <undo index="4" exp="area" ref3D="1" dr="$BO$1:$BT$1048576" dn="Z_78CA186D_B240_44D5_8A24_D241DE0B0FD9_.wvu.Cols" sId="5"/>
    <undo index="2" exp="area" ref3D="1" dr="$AI$1:$BK$1048576" dn="Z_78CA186D_B240_44D5_8A24_D241DE0B0FD9_.wvu.Cols" sId="5"/>
    <undo index="1" exp="area" ref3D="1" dr="$AD$1:$AE$1048576" dn="Z_78CA186D_B240_44D5_8A24_D241DE0B0FD9_.wvu.Cols" sId="5"/>
    <undo index="2" exp="area" ref3D="1" dr="$A$228:$XFD$242" dn="Z_567C3053_2D8E_4705_8DC7_18896C5303CA_.wvu.Rows" sId="5"/>
    <undo index="4" exp="area" ref3D="1" dr="$AP$1:$AS$1048576" dn="Z_567C3053_2D8E_4705_8DC7_18896C5303CA_.wvu.Cols" sId="5"/>
    <undo index="2" exp="area" ref3D="1" dr="$AJ$1:$AM$1048576" dn="Z_567C3053_2D8E_4705_8DC7_18896C5303CA_.wvu.Cols" sId="5"/>
    <undo index="1" exp="area" ref3D="1" dr="$V$1:$AB$1048576" dn="Z_567C3053_2D8E_4705_8DC7_18896C5303CA_.wvu.Cols" sId="5"/>
    <undo index="2" exp="area" ref3D="1" dr="$A$228:$XFD$242" dn="Z_1E5198E1_BA46_4CE0_8628_4F695B0D7A3B_.wvu.Rows" sId="5"/>
    <rfmt sheetId="5" xfDxf="1" sqref="A39:XFD39" start="0" length="0">
      <dxf>
        <font/>
      </dxf>
    </rfmt>
    <rcc rId="0" sId="5" dxf="1">
      <nc r="A39" t="inlineStr">
        <is>
          <t>DC Board of Ethics and Government Accountability</t>
        </is>
      </nc>
      <ndxf>
        <font/>
        <fill>
          <patternFill patternType="solid">
            <bgColor rgb="FFFFFF00"/>
          </patternFill>
        </fill>
      </ndxf>
    </rcc>
    <rfmt sheetId="5" sqref="B39" start="0" length="0">
      <dxf>
        <font/>
        <numFmt numFmtId="10" formatCode="&quot;$&quot;#,##0_);[Red]\(&quot;$&quot;#,##0\)"/>
        <alignment horizontal="right" vertical="top" readingOrder="0"/>
      </dxf>
    </rfmt>
    <rfmt sheetId="5" sqref="C39" start="0" length="0">
      <dxf>
        <font/>
        <numFmt numFmtId="10" formatCode="&quot;$&quot;#,##0_);[Red]\(&quot;$&quot;#,##0\)"/>
        <alignment horizontal="right" vertical="top" readingOrder="0"/>
      </dxf>
    </rfmt>
    <rfmt sheetId="5" sqref="D39" start="0" length="0">
      <dxf>
        <font/>
        <numFmt numFmtId="10" formatCode="&quot;$&quot;#,##0_);[Red]\(&quot;$&quot;#,##0\)"/>
        <alignment horizontal="right" vertical="top" readingOrder="0"/>
      </dxf>
    </rfmt>
    <rfmt sheetId="5" sqref="E39" start="0" length="0">
      <dxf>
        <font/>
        <numFmt numFmtId="10" formatCode="&quot;$&quot;#,##0_);[Red]\(&quot;$&quot;#,##0\)"/>
        <alignment horizontal="right" vertical="top" readingOrder="0"/>
      </dxf>
    </rfmt>
    <rfmt sheetId="5" sqref="F39" start="0" length="0">
      <dxf>
        <font/>
        <numFmt numFmtId="10" formatCode="&quot;$&quot;#,##0_);[Red]\(&quot;$&quot;#,##0\)"/>
        <alignment horizontal="right" vertical="top" readingOrder="0"/>
      </dxf>
    </rfmt>
    <rfmt sheetId="5" sqref="G39" start="0" length="0">
      <dxf>
        <font/>
        <numFmt numFmtId="10" formatCode="&quot;$&quot;#,##0_);[Red]\(&quot;$&quot;#,##0\)"/>
        <alignment horizontal="right" vertical="top" readingOrder="0"/>
      </dxf>
    </rfmt>
    <rfmt sheetId="5" sqref="H39" start="0" length="0">
      <dxf>
        <font/>
        <numFmt numFmtId="10" formatCode="&quot;$&quot;#,##0_);[Red]\(&quot;$&quot;#,##0\)"/>
        <alignment horizontal="right" vertical="top" readingOrder="0"/>
      </dxf>
    </rfmt>
    <rfmt sheetId="5" sqref="I39" start="0" length="0">
      <dxf>
        <font/>
        <numFmt numFmtId="10" formatCode="&quot;$&quot;#,##0_);[Red]\(&quot;$&quot;#,##0\)"/>
        <alignment horizontal="right" vertical="top" readingOrder="0"/>
      </dxf>
    </rfmt>
    <rfmt sheetId="5" sqref="J39" start="0" length="0">
      <dxf>
        <font/>
        <numFmt numFmtId="10" formatCode="&quot;$&quot;#,##0_);[Red]\(&quot;$&quot;#,##0\)"/>
        <alignment horizontal="right" vertical="top" readingOrder="0"/>
      </dxf>
    </rfmt>
    <rfmt sheetId="5" sqref="K39" start="0" length="0">
      <dxf>
        <font/>
        <numFmt numFmtId="10" formatCode="&quot;$&quot;#,##0_);[Red]\(&quot;$&quot;#,##0\)"/>
        <alignment horizontal="right" vertical="top" readingOrder="0"/>
      </dxf>
    </rfmt>
    <rfmt sheetId="5" sqref="L39" start="0" length="0">
      <dxf>
        <font/>
        <numFmt numFmtId="10" formatCode="&quot;$&quot;#,##0_);[Red]\(&quot;$&quot;#,##0\)"/>
        <alignment horizontal="right" vertical="top" readingOrder="0"/>
      </dxf>
    </rfmt>
    <rfmt sheetId="5" sqref="M39" start="0" length="0">
      <dxf>
        <font/>
        <numFmt numFmtId="10" formatCode="&quot;$&quot;#,##0_);[Red]\(&quot;$&quot;#,##0\)"/>
        <alignment horizontal="right" vertical="top" readingOrder="0"/>
      </dxf>
    </rfmt>
    <rfmt sheetId="5" sqref="N39" start="0" length="0">
      <dxf>
        <font/>
        <numFmt numFmtId="10" formatCode="&quot;$&quot;#,##0_);[Red]\(&quot;$&quot;#,##0\)"/>
        <alignment horizontal="right" vertical="top" readingOrder="0"/>
      </dxf>
    </rfmt>
    <rfmt sheetId="5" sqref="O39" start="0" length="0">
      <dxf>
        <font/>
        <numFmt numFmtId="10" formatCode="&quot;$&quot;#,##0_);[Red]\(&quot;$&quot;#,##0\)"/>
        <alignment horizontal="right" vertical="top" readingOrder="0"/>
      </dxf>
    </rfmt>
    <rfmt sheetId="5" sqref="P39" start="0" length="0">
      <dxf>
        <font/>
        <numFmt numFmtId="10" formatCode="&quot;$&quot;#,##0_);[Red]\(&quot;$&quot;#,##0\)"/>
        <alignment horizontal="right" vertical="top" readingOrder="0"/>
      </dxf>
    </rfmt>
    <rfmt sheetId="5" sqref="Q39" start="0" length="0">
      <dxf>
        <font/>
        <numFmt numFmtId="10" formatCode="&quot;$&quot;#,##0_);[Red]\(&quot;$&quot;#,##0\)"/>
        <alignment horizontal="right" vertical="top" readingOrder="0"/>
      </dxf>
    </rfmt>
    <rfmt sheetId="5" sqref="R39" start="0" length="0">
      <dxf>
        <font/>
        <numFmt numFmtId="10" formatCode="&quot;$&quot;#,##0_);[Red]\(&quot;$&quot;#,##0\)"/>
        <alignment horizontal="right" vertical="top" readingOrder="0"/>
      </dxf>
    </rfmt>
    <rfmt sheetId="5" sqref="S39" start="0" length="0">
      <dxf>
        <font/>
        <numFmt numFmtId="10" formatCode="&quot;$&quot;#,##0_);[Red]\(&quot;$&quot;#,##0\)"/>
        <alignment horizontal="right" vertical="top" readingOrder="0"/>
      </dxf>
    </rfmt>
    <rfmt sheetId="5" sqref="T39" start="0" length="0">
      <dxf>
        <font/>
        <numFmt numFmtId="10" formatCode="&quot;$&quot;#,##0_);[Red]\(&quot;$&quot;#,##0\)"/>
        <alignment horizontal="right" vertical="top" readingOrder="0"/>
      </dxf>
    </rfmt>
    <rfmt sheetId="5" sqref="U39" start="0" length="0">
      <dxf>
        <font/>
        <numFmt numFmtId="10" formatCode="&quot;$&quot;#,##0_);[Red]\(&quot;$&quot;#,##0\)"/>
        <alignment horizontal="right" vertical="top" readingOrder="0"/>
      </dxf>
    </rfmt>
    <rfmt sheetId="5" sqref="V39" start="0" length="0">
      <dxf>
        <font/>
        <numFmt numFmtId="10" formatCode="&quot;$&quot;#,##0_);[Red]\(&quot;$&quot;#,##0\)"/>
        <alignment horizontal="right" vertical="top" readingOrder="0"/>
      </dxf>
    </rfmt>
    <rfmt sheetId="5" sqref="W39" start="0" length="0">
      <dxf>
        <font/>
        <numFmt numFmtId="10" formatCode="&quot;$&quot;#,##0_);[Red]\(&quot;$&quot;#,##0\)"/>
        <alignment horizontal="right" vertical="top" readingOrder="0"/>
      </dxf>
    </rfmt>
    <rfmt sheetId="5" sqref="X39" start="0" length="0">
      <dxf>
        <numFmt numFmtId="10" formatCode="&quot;$&quot;#,##0_);[Red]\(&quot;$&quot;#,##0\)"/>
      </dxf>
    </rfmt>
    <rfmt sheetId="5" sqref="Y39" start="0" length="0">
      <dxf>
        <font/>
        <numFmt numFmtId="10" formatCode="&quot;$&quot;#,##0_);[Red]\(&quot;$&quot;#,##0\)"/>
        <alignment horizontal="right" vertical="top" readingOrder="0"/>
      </dxf>
    </rfmt>
    <rfmt sheetId="5" sqref="Z39" start="0" length="0">
      <dxf>
        <font/>
        <numFmt numFmtId="10" formatCode="&quot;$&quot;#,##0_);[Red]\(&quot;$&quot;#,##0\)"/>
        <alignment horizontal="right" vertical="top" readingOrder="0"/>
      </dxf>
    </rfmt>
    <rfmt sheetId="5" sqref="AA39" start="0" length="0">
      <dxf>
        <font/>
        <numFmt numFmtId="10" formatCode="&quot;$&quot;#,##0_);[Red]\(&quot;$&quot;#,##0\)"/>
        <alignment horizontal="right" vertical="top" readingOrder="0"/>
      </dxf>
    </rfmt>
    <rfmt sheetId="5" sqref="AB39" start="0" length="0">
      <dxf>
        <font/>
        <numFmt numFmtId="10" formatCode="&quot;$&quot;#,##0_);[Red]\(&quot;$&quot;#,##0\)"/>
        <alignment horizontal="right" vertical="top" readingOrder="0"/>
      </dxf>
    </rfmt>
    <rfmt sheetId="5" sqref="AC39" start="0" length="0">
      <dxf>
        <font/>
        <numFmt numFmtId="10" formatCode="&quot;$&quot;#,##0_);[Red]\(&quot;$&quot;#,##0\)"/>
        <alignment horizontal="right" vertical="top" readingOrder="0"/>
      </dxf>
    </rfmt>
    <rfmt sheetId="5" sqref="AD39" start="0" length="0">
      <dxf>
        <font/>
        <numFmt numFmtId="10" formatCode="&quot;$&quot;#,##0_);[Red]\(&quot;$&quot;#,##0\)"/>
        <alignment horizontal="right" vertical="top" readingOrder="0"/>
      </dxf>
    </rfmt>
    <rfmt sheetId="5" sqref="AE39" start="0" length="0">
      <dxf>
        <numFmt numFmtId="10" formatCode="&quot;$&quot;#,##0_);[Red]\(&quot;$&quot;#,##0\)"/>
      </dxf>
    </rfmt>
    <rfmt sheetId="5" sqref="AF39" start="0" length="0">
      <dxf>
        <numFmt numFmtId="10" formatCode="&quot;$&quot;#,##0_);[Red]\(&quot;$&quot;#,##0\)"/>
      </dxf>
    </rfmt>
    <rfmt sheetId="5" sqref="AG39" start="0" length="0">
      <dxf>
        <font/>
        <numFmt numFmtId="10" formatCode="&quot;$&quot;#,##0_);[Red]\(&quot;$&quot;#,##0\)"/>
        <alignment horizontal="right" vertical="top" readingOrder="0"/>
      </dxf>
    </rfmt>
    <rfmt sheetId="5" sqref="AH39" start="0" length="0">
      <dxf>
        <font/>
        <numFmt numFmtId="10" formatCode="&quot;$&quot;#,##0_);[Red]\(&quot;$&quot;#,##0\)"/>
        <alignment horizontal="right" vertical="top" readingOrder="0"/>
      </dxf>
    </rfmt>
    <rfmt sheetId="5" sqref="AI39" start="0" length="0">
      <dxf>
        <numFmt numFmtId="10" formatCode="&quot;$&quot;#,##0_);[Red]\(&quot;$&quot;#,##0\)"/>
      </dxf>
    </rfmt>
    <rfmt sheetId="5" sqref="AJ39" start="0" length="0">
      <dxf>
        <numFmt numFmtId="10" formatCode="&quot;$&quot;#,##0_);[Red]\(&quot;$&quot;#,##0\)"/>
      </dxf>
    </rfmt>
    <rfmt sheetId="5" sqref="AK39" start="0" length="0">
      <dxf>
        <numFmt numFmtId="10" formatCode="&quot;$&quot;#,##0_);[Red]\(&quot;$&quot;#,##0\)"/>
      </dxf>
    </rfmt>
    <rfmt sheetId="5" sqref="AL39" start="0" length="0">
      <dxf>
        <numFmt numFmtId="10" formatCode="&quot;$&quot;#,##0_);[Red]\(&quot;$&quot;#,##0\)"/>
      </dxf>
    </rfmt>
    <rfmt sheetId="5" sqref="AM39" start="0" length="0">
      <dxf>
        <numFmt numFmtId="10" formatCode="&quot;$&quot;#,##0_);[Red]\(&quot;$&quot;#,##0\)"/>
      </dxf>
    </rfmt>
    <rfmt sheetId="5" sqref="AN39" start="0" length="0">
      <dxf>
        <numFmt numFmtId="10" formatCode="&quot;$&quot;#,##0_);[Red]\(&quot;$&quot;#,##0\)"/>
      </dxf>
    </rfmt>
    <rfmt sheetId="5" sqref="AO39" start="0" length="0">
      <dxf>
        <numFmt numFmtId="10" formatCode="&quot;$&quot;#,##0_);[Red]\(&quot;$&quot;#,##0\)"/>
      </dxf>
    </rfmt>
    <rfmt sheetId="5" sqref="AP39" start="0" length="0">
      <dxf>
        <numFmt numFmtId="10" formatCode="&quot;$&quot;#,##0_);[Red]\(&quot;$&quot;#,##0\)"/>
      </dxf>
    </rfmt>
    <rfmt sheetId="5" sqref="AQ39" start="0" length="0">
      <dxf>
        <numFmt numFmtId="10" formatCode="&quot;$&quot;#,##0_);[Red]\(&quot;$&quot;#,##0\)"/>
      </dxf>
    </rfmt>
    <rfmt sheetId="5" sqref="AR39" start="0" length="0">
      <dxf>
        <numFmt numFmtId="10" formatCode="&quot;$&quot;#,##0_);[Red]\(&quot;$&quot;#,##0\)"/>
      </dxf>
    </rfmt>
    <rfmt sheetId="5" sqref="AS39" start="0" length="0">
      <dxf>
        <numFmt numFmtId="10" formatCode="&quot;$&quot;#,##0_);[Red]\(&quot;$&quot;#,##0\)"/>
      </dxf>
    </rfmt>
    <rfmt sheetId="5" sqref="AT39" start="0" length="0">
      <dxf>
        <numFmt numFmtId="10" formatCode="&quot;$&quot;#,##0_);[Red]\(&quot;$&quot;#,##0\)"/>
      </dxf>
    </rfmt>
    <rfmt sheetId="5" sqref="AU39" start="0" length="0">
      <dxf>
        <numFmt numFmtId="164" formatCode="0.0%"/>
      </dxf>
    </rfmt>
    <rfmt sheetId="5" sqref="AV39" start="0" length="0">
      <dxf>
        <numFmt numFmtId="10" formatCode="&quot;$&quot;#,##0_);[Red]\(&quot;$&quot;#,##0\)"/>
      </dxf>
    </rfmt>
    <rfmt sheetId="5" sqref="AW39" start="0" length="0">
      <dxf>
        <numFmt numFmtId="164" formatCode="0.0%"/>
      </dxf>
    </rfmt>
    <rfmt sheetId="5" s="1" sqref="AX39" start="0" length="0">
      <dxf>
        <font>
          <sz val="10"/>
          <color auto="1"/>
          <name val="Arial Narrow"/>
          <scheme val="none"/>
        </font>
        <alignment shrinkToFit="1" readingOrder="0"/>
      </dxf>
    </rfmt>
    <rfmt sheetId="5" sqref="AY39" start="0" length="0">
      <dxf>
        <numFmt numFmtId="1" formatCode="0"/>
      </dxf>
    </rfmt>
    <rfmt sheetId="5" sqref="AZ39" start="0" length="0">
      <dxf>
        <numFmt numFmtId="1" formatCode="0"/>
      </dxf>
    </rfmt>
    <rfmt sheetId="5" sqref="BA39" start="0" length="0">
      <dxf>
        <numFmt numFmtId="1" formatCode="0"/>
      </dxf>
    </rfmt>
    <rfmt sheetId="5" sqref="BB39" start="0" length="0">
      <dxf>
        <numFmt numFmtId="164" formatCode="0.0%"/>
      </dxf>
    </rfmt>
    <rfmt sheetId="5" sqref="BC39" start="0" length="0">
      <dxf>
        <numFmt numFmtId="164" formatCode="0.0%"/>
      </dxf>
    </rfmt>
    <rfmt sheetId="5" s="1" sqref="BD39" start="0" length="0">
      <dxf>
        <font>
          <sz val="10"/>
          <color auto="1"/>
          <name val="Arial"/>
          <scheme val="none"/>
        </font>
        <numFmt numFmtId="170" formatCode="0.0"/>
      </dxf>
    </rfmt>
    <rfmt sheetId="5" sqref="BE39" start="0" length="0">
      <dxf>
        <numFmt numFmtId="14" formatCode="0.00%"/>
      </dxf>
    </rfmt>
    <rfmt sheetId="5" sqref="BI39" start="0" length="0">
      <dxf>
        <numFmt numFmtId="3" formatCode="#,##0"/>
      </dxf>
    </rfmt>
    <rfmt sheetId="5" sqref="BJ39" start="0" length="0">
      <dxf>
        <numFmt numFmtId="1" formatCode="0"/>
      </dxf>
    </rfmt>
    <rfmt sheetId="5" sqref="BK39" start="0" length="0">
      <dxf>
        <numFmt numFmtId="3" formatCode="#,##0"/>
      </dxf>
    </rfmt>
    <rfmt sheetId="5" sqref="BL39" start="0" length="0">
      <dxf>
        <numFmt numFmtId="3" formatCode="#,##0"/>
        <alignment vertical="top" wrapText="1" readingOrder="0"/>
      </dxf>
    </rfmt>
    <rfmt sheetId="5" sqref="BM39" start="0" length="0">
      <dxf>
        <numFmt numFmtId="10" formatCode="&quot;$&quot;#,##0_);[Red]\(&quot;$&quot;#,##0\)"/>
      </dxf>
    </rfmt>
    <rfmt sheetId="5" sqref="BN39" start="0" length="0">
      <dxf>
        <numFmt numFmtId="14" formatCode="0.00%"/>
      </dxf>
    </rfmt>
    <rfmt sheetId="5" sqref="BO39" start="0" length="0">
      <dxf>
        <numFmt numFmtId="10" formatCode="&quot;$&quot;#,##0_);[Red]\(&quot;$&quot;#,##0\)"/>
      </dxf>
    </rfmt>
    <rfmt sheetId="5" sqref="BP39" start="0" length="0">
      <dxf>
        <numFmt numFmtId="10" formatCode="&quot;$&quot;#,##0_);[Red]\(&quot;$&quot;#,##0\)"/>
      </dxf>
    </rfmt>
    <rfmt sheetId="5" sqref="BQ39" start="0" length="0">
      <dxf>
        <numFmt numFmtId="14" formatCode="0.00%"/>
      </dxf>
    </rfmt>
    <rfmt sheetId="5" sqref="BR39" start="0" length="0">
      <dxf>
        <numFmt numFmtId="10" formatCode="&quot;$&quot;#,##0_);[Red]\(&quot;$&quot;#,##0\)"/>
      </dxf>
    </rfmt>
    <rfmt sheetId="5" sqref="BS39" start="0" length="0">
      <dxf>
        <numFmt numFmtId="10" formatCode="&quot;$&quot;#,##0_);[Red]\(&quot;$&quot;#,##0\)"/>
      </dxf>
    </rfmt>
    <rfmt sheetId="5" sqref="BT39" start="0" length="0">
      <dxf>
        <numFmt numFmtId="14" formatCode="0.00%"/>
      </dxf>
    </rfmt>
    <rfmt sheetId="5" sqref="BU39" start="0" length="0">
      <dxf>
        <numFmt numFmtId="10" formatCode="&quot;$&quot;#,##0_);[Red]\(&quot;$&quot;#,##0\)"/>
      </dxf>
    </rfmt>
    <rfmt sheetId="5" sqref="BV39" start="0" length="0">
      <dxf>
        <font>
          <sz val="10"/>
          <color auto="1"/>
          <name val="Arial"/>
          <scheme val="none"/>
        </font>
        <numFmt numFmtId="10" formatCode="&quot;$&quot;#,##0_);[Red]\(&quot;$&quot;#,##0\)"/>
      </dxf>
    </rfmt>
    <rfmt sheetId="5" sqref="BW39" start="0" length="0">
      <dxf>
        <numFmt numFmtId="14" formatCode="0.00%"/>
      </dxf>
    </rfmt>
    <rcc rId="0" sId="5" dxf="1">
      <nc r="BX39">
        <f>'FY 2013 by Agency'!#REF!*Inflator!E15</f>
      </nc>
      <ndxf>
        <numFmt numFmtId="165" formatCode="&quot;$&quot;#,##0"/>
      </ndxf>
    </rcc>
    <rcc rId="0" sId="5" dxf="1">
      <nc r="BY39">
        <f>BX39-BU39</f>
      </nc>
      <ndxf>
        <numFmt numFmtId="165" formatCode="&quot;$&quot;#,##0"/>
      </ndxf>
    </rcc>
    <rcc rId="0" sId="5" dxf="1">
      <nc r="BZ39">
        <f>BY39/BU39</f>
      </nc>
      <ndxf>
        <numFmt numFmtId="14" formatCode="0.00%"/>
      </ndxf>
    </rcc>
  </rrc>
  <rcv guid="{455630F5-40FC-47DB-8AD4-712C20B8FB91}" action="delete"/>
  <rdn rId="0" localSheetId="2" customView="1" name="Z_455630F5_40FC_47DB_8AD4_712C20B8FB91_.wvu.Cols" hidden="1" oldHidden="1">
    <formula>'FY2013 by Approp Title'!$AA:$AA</formula>
    <oldFormula>'FY2013 by Approp Title'!$AA:$AA</oldFormula>
  </rdn>
  <rdn rId="0" localSheetId="3" customView="1" name="Z_455630F5_40FC_47DB_8AD4_712C20B8FB91_.wvu.Cols" hidden="1" oldHidden="1">
    <formula>'FY2013 By Approp Title-Adj'!$AA:$AA</formula>
    <oldFormula>'FY2013 By Approp Title-Adj'!$AA:$AA</oldFormula>
  </rdn>
  <rdn rId="0" localSheetId="4" customView="1" name="Z_455630F5_40FC_47DB_8AD4_712C20B8FB91_.wvu.Rows" hidden="1" oldHidden="1">
    <formula>'FY 2013 by Agency'!$1:$3,'FY 2013 by Agency'!$226:$240</formula>
    <oldFormula>'FY 2013 by Agency'!$1:$3,'FY 2013 by Agency'!$226:$240</oldFormula>
  </rdn>
  <rdn rId="0" localSheetId="4" customView="1" name="Z_455630F5_40FC_47DB_8AD4_712C20B8FB91_.wvu.Cols" hidden="1" oldHidden="1">
    <formula>'FY 2013 by Agency'!$D:$E,'FY 2013 by Agency'!$G:$H,'FY 2013 by Agency'!$J:$K,'FY 2013 by Agency'!$M:$N,'FY 2013 by Agency'!$P:$Q,'FY 2013 by Agency'!$S:$T,'FY 2013 by Agency'!$V:$W,'FY 2013 by Agency'!$Y:$Z,'FY 2013 by Agency'!$AB:$AE,'FY 2013 by Agency'!$AG:$AO,'FY 2013 by Agency'!$AV:$AW,'FY 2013 by Agency'!$AY:$AZ,'FY 2013 by Agency'!$BF:$BG</formula>
    <oldFormula>'FY 2013 by Agency'!$D:$E,'FY 2013 by Agency'!$G:$H,'FY 2013 by Agency'!$J:$K,'FY 2013 by Agency'!$M:$N,'FY 2013 by Agency'!$P:$Q,'FY 2013 by Agency'!$S:$T,'FY 2013 by Agency'!$V:$W,'FY 2013 by Agency'!$Y:$Z,'FY 2013 by Agency'!$AB:$AE,'FY 2013 by Agency'!$AG:$AO,'FY 2013 by Agency'!$AV:$AW,'FY 2013 by Agency'!$AY:$AZ,'FY 2013 by Agency'!$BF:$BG</oldFormula>
  </rdn>
  <rdn rId="0" localSheetId="5" customView="1" name="Z_455630F5_40FC_47DB_8AD4_712C20B8FB91_.wvu.Rows" hidden="1" oldHidden="1">
    <formula>'FY 2013 by Agency-Adj'!$1:$3,'FY 2013 by Agency-Adj'!$14:$14,'FY 2013 by Agency-Adj'!$19:$19,'FY 2013 by Agency-Adj'!$156:$156,'FY 2013 by Agency-Adj'!$163:$163,'FY 2013 by Agency-Adj'!$227:$241</formula>
    <oldFormula>'FY 2013 by Agency-Adj'!$1:$3,'FY 2013 by Agency-Adj'!$14:$14,'FY 2013 by Agency-Adj'!$19:$19,'FY 2013 by Agency-Adj'!$156:$156,'FY 2013 by Agency-Adj'!$163:$163,'FY 2013 by Agency-Adj'!$227:$241</oldFormula>
  </rdn>
  <rdn rId="0" localSheetId="5" customView="1" name="Z_455630F5_40FC_47DB_8AD4_712C20B8FB91_.wvu.Cols" hidden="1" oldHidden="1">
    <formula>'FY 2013 by Agency-Adj'!$AD:$AE,'FY 2013 by Agency-Adj'!$AI:$BK,'FY 2013 by Agency-Adj'!$BO:$BT</formula>
    <oldFormula>'FY 2013 by Agency-Adj'!$AD:$AE,'FY 2013 by Agency-Adj'!$AI:$BK,'FY 2013 by Agency-Adj'!$BO:$BT</oldFormula>
  </rdn>
  <rdn rId="0" localSheetId="8" customView="1" name="Z_455630F5_40FC_47DB_8AD4_712C20B8FB91_.wvu.Rows" hidden="1" oldHidden="1">
    <formula>'Sheet 4'!$1:$6</formula>
    <oldFormula>'Sheet 4'!$1:$6</oldFormula>
  </rdn>
  <rcv guid="{455630F5-40FC-47DB-8AD4-712C20B8FB91}" action="add"/>
</revisions>
</file>

<file path=xl/revisions/revisionLog151111.xml><?xml version="1.0" encoding="utf-8"?>
<revisions xmlns="http://schemas.openxmlformats.org/spreadsheetml/2006/main" xmlns:r="http://schemas.openxmlformats.org/officeDocument/2006/relationships">
  <rcc rId="40835" sId="4">
    <oc r="AS197">
      <f>AX197</f>
    </oc>
    <nc r="AS197">
      <f>BB197</f>
    </nc>
  </rcc>
  <rcc rId="40836" sId="4">
    <oc r="AS198">
      <f>AX198</f>
    </oc>
    <nc r="AS198">
      <f>BB198</f>
    </nc>
  </rcc>
  <rcc rId="40837" sId="4">
    <oc r="AS199">
      <f>AX199</f>
    </oc>
    <nc r="AS199">
      <f>BB199</f>
    </nc>
  </rcc>
  <rcc rId="40838" sId="4">
    <oc r="AS200">
      <f>AX200</f>
    </oc>
    <nc r="AS200">
      <f>BB200</f>
    </nc>
  </rcc>
  <rcc rId="40839" sId="4">
    <oc r="AS201">
      <f>AX201</f>
    </oc>
    <nc r="AS201">
      <f>BB201</f>
    </nc>
  </rcc>
  <rcc rId="40840" sId="4">
    <oc r="AS202">
      <f>AX202</f>
    </oc>
    <nc r="AS202">
      <f>BB202</f>
    </nc>
  </rcc>
  <rcc rId="40841" sId="4">
    <oc r="AS203">
      <f>AX203</f>
    </oc>
    <nc r="AS203">
      <f>BB203</f>
    </nc>
  </rcc>
  <rcc rId="40842" sId="4">
    <oc r="AS204">
      <f>AX204</f>
    </oc>
    <nc r="AS204">
      <f>BB204</f>
    </nc>
  </rcc>
  <rcc rId="40843" sId="4">
    <oc r="AS205">
      <f>AX205</f>
    </oc>
    <nc r="AS205">
      <f>BB205</f>
    </nc>
  </rcc>
  <rcc rId="40844" sId="4">
    <oc r="AS206">
      <f>AX206</f>
    </oc>
    <nc r="AS206">
      <f>BB206</f>
    </nc>
  </rcc>
  <rcc rId="40845" sId="4">
    <oc r="AS207">
      <f>AX207</f>
    </oc>
    <nc r="AS207">
      <f>BB207</f>
    </nc>
  </rcc>
  <rcc rId="40846" sId="4">
    <oc r="AS208">
      <f>AX208</f>
    </oc>
    <nc r="AS208">
      <f>BB208</f>
    </nc>
  </rcc>
  <rcc rId="40847" sId="4">
    <oc r="AS209">
      <f>AX209</f>
    </oc>
    <nc r="AS209">
      <f>BB209</f>
    </nc>
  </rcc>
  <rcc rId="40848" sId="4">
    <oc r="AS210">
      <f>AX210</f>
    </oc>
    <nc r="AS210">
      <f>BB210</f>
    </nc>
  </rcc>
  <rcc rId="40849" sId="4">
    <oc r="AS211">
      <f>AX211</f>
    </oc>
    <nc r="AS211">
      <f>BB211</f>
    </nc>
  </rcc>
  <rcc rId="40850" sId="4">
    <oc r="AS212">
      <f>AX212</f>
    </oc>
    <nc r="AS212">
      <f>BB212</f>
    </nc>
  </rcc>
  <rcc rId="40851" sId="4">
    <oc r="AS213">
      <f>AX213</f>
    </oc>
    <nc r="AS213">
      <f>BB213</f>
    </nc>
  </rcc>
  <rcc rId="40852" sId="4">
    <oc r="AS214">
      <f>AX214</f>
    </oc>
    <nc r="AS214">
      <f>BB214</f>
    </nc>
  </rcc>
  <rcc rId="40853" sId="4">
    <oc r="AS215">
      <f>AX215</f>
    </oc>
    <nc r="AS215">
      <f>BB215</f>
    </nc>
  </rcc>
  <rcc rId="40854" sId="4">
    <oc r="AS216">
      <f>AX216</f>
    </oc>
    <nc r="AS216">
      <f>BB216</f>
    </nc>
  </rcc>
  <rcc rId="40855" sId="4">
    <oc r="AS217">
      <f>AX217</f>
    </oc>
    <nc r="AS217">
      <f>BB217</f>
    </nc>
  </rcc>
  <rcc rId="40856" sId="4">
    <oc r="AS218">
      <f>AX218</f>
    </oc>
    <nc r="AS218">
      <f>BB218</f>
    </nc>
  </rcc>
  <rcc rId="40857" sId="4">
    <oc r="AS219">
      <f>AX219</f>
    </oc>
    <nc r="AS219">
      <f>BB219</f>
    </nc>
  </rcc>
  <rcc rId="40858" sId="4" odxf="1" dxf="1">
    <oc r="AS220">
      <f>AX220</f>
    </oc>
    <nc r="AS220">
      <f>BB220</f>
    </nc>
    <odxf>
      <border outline="0">
        <bottom style="medium">
          <color indexed="64"/>
        </bottom>
      </border>
    </odxf>
    <ndxf>
      <border outline="0">
        <bottom/>
      </border>
    </ndxf>
  </rcc>
  <rcc rId="40859" sId="4">
    <oc r="AS221">
      <f>AX221</f>
    </oc>
    <nc r="AS221">
      <f>BB221</f>
    </nc>
  </rcc>
  <rcc rId="40860" sId="4">
    <nc r="BB221">
      <f>SUM(BB197:BB220)</f>
    </nc>
  </rcc>
  <rfmt sheetId="4" sqref="BB221">
    <dxf>
      <numFmt numFmtId="3" formatCode="#,##0"/>
    </dxf>
  </rfmt>
  <rcv guid="{78CA186D-B240-44D5-8A24-D241DE0B0FD9}" action="delete"/>
  <rdn rId="0" localSheetId="2" customView="1" name="Z_78CA186D_B240_44D5_8A24_D241DE0B0FD9_.wvu.Cols" hidden="1" oldHidden="1">
    <formula>'FY2013 by Approp Title'!$AA:$AA</formula>
    <oldFormula>'FY2013 by Approp Title'!$AA:$AA</oldFormula>
  </rdn>
  <rdn rId="0" localSheetId="3" customView="1" name="Z_78CA186D_B240_44D5_8A24_D241DE0B0FD9_.wvu.Cols" hidden="1" oldHidden="1">
    <formula>'FY2013 By Approp Title-Adj'!$AA:$AA</formula>
    <oldFormula>'FY2013 By Approp Title-Adj'!$AA:$AA</oldFormula>
  </rdn>
  <rdn rId="0" localSheetId="4" customView="1" name="Z_78CA186D_B240_44D5_8A24_D241DE0B0FD9_.wvu.Rows" hidden="1" oldHidden="1">
    <formula>'FY 2013 by Agency'!$1:$3,'FY 2013 by Agency'!$226:$240</formula>
    <oldFormula>'FY 2013 by Agency'!$1:$3,'FY 2013 by Agency'!$226:$240</oldFormula>
  </rdn>
  <rdn rId="0" localSheetId="4" customView="1" name="Z_78CA186D_B240_44D5_8A24_D241DE0B0FD9_.wvu.Cols" hidden="1" oldHidden="1">
    <formula>'FY 2013 by Agency'!$D:$E,'FY 2013 by Agency'!$G:$H,'FY 2013 by Agency'!$J:$K,'FY 2013 by Agency'!$M:$N,'FY 2013 by Agency'!$P:$Q,'FY 2013 by Agency'!$S:$T,'FY 2013 by Agency'!$V:$W,'FY 2013 by Agency'!$Y:$Z,'FY 2013 by Agency'!$AB:$AE,'FY 2013 by Agency'!$AG:$AO,'FY 2013 by Agency'!$AV:$AW,'FY 2013 by Agency'!$AY:$AZ,'FY 2013 by Agency'!$BF:$BG</formula>
    <oldFormula>'FY 2013 by Agency'!$D:$E,'FY 2013 by Agency'!$G:$H,'FY 2013 by Agency'!$J:$K,'FY 2013 by Agency'!$M:$N,'FY 2013 by Agency'!$P:$Q,'FY 2013 by Agency'!$S:$T,'FY 2013 by Agency'!$V:$W,'FY 2013 by Agency'!$Y:$Z,'FY 2013 by Agency'!$AB:$AE,'FY 2013 by Agency'!$AG:$AO,'FY 2013 by Agency'!$AV:$AW,'FY 2013 by Agency'!$AY:$AZ,'FY 2013 by Agency'!$BF:$BG</oldFormula>
  </rdn>
  <rdn rId="0" localSheetId="5" customView="1" name="Z_78CA186D_B240_44D5_8A24_D241DE0B0FD9_.wvu.Rows" hidden="1" oldHidden="1">
    <formula>'FY 2013 by Agency-Adj'!$1:$3,'FY 2013 by Agency-Adj'!$14:$14,'FY 2013 by Agency-Adj'!$19:$19,'FY 2013 by Agency-Adj'!$156:$156,'FY 2013 by Agency-Adj'!$163:$163,'FY 2013 by Agency-Adj'!$227:$241</formula>
    <oldFormula>'FY 2013 by Agency-Adj'!$1:$3,'FY 2013 by Agency-Adj'!$14:$14,'FY 2013 by Agency-Adj'!$19:$19,'FY 2013 by Agency-Adj'!$156:$156,'FY 2013 by Agency-Adj'!$163:$163,'FY 2013 by Agency-Adj'!$227:$241</oldFormula>
  </rdn>
  <rdn rId="0" localSheetId="5" customView="1" name="Z_78CA186D_B240_44D5_8A24_D241DE0B0FD9_.wvu.Cols" hidden="1" oldHidden="1">
    <formula>'FY 2013 by Agency-Adj'!$AD:$AE,'FY 2013 by Agency-Adj'!$AI:$BK,'FY 2013 by Agency-Adj'!$BO:$BT</formula>
    <oldFormula>'FY 2013 by Agency-Adj'!$AD:$AE,'FY 2013 by Agency-Adj'!$AI:$BK,'FY 2013 by Agency-Adj'!$BO:$BT</oldFormula>
  </rdn>
  <rdn rId="0" localSheetId="8" customView="1" name="Z_78CA186D_B240_44D5_8A24_D241DE0B0FD9_.wvu.Rows" hidden="1" oldHidden="1">
    <formula>'Sheet 4'!$1:$6</formula>
    <oldFormula>'Sheet 4'!$1:$6</oldFormula>
  </rdn>
  <rcv guid="{78CA186D-B240-44D5-8A24-D241DE0B0FD9}" action="add"/>
</revisions>
</file>

<file path=xl/revisions/revisionLog1511111.xml><?xml version="1.0" encoding="utf-8"?>
<revisions xmlns="http://schemas.openxmlformats.org/spreadsheetml/2006/main" xmlns:r="http://schemas.openxmlformats.org/officeDocument/2006/relationships">
  <rcc rId="40818" sId="4">
    <oc r="AS179">
      <f>BB179+AR179</f>
    </oc>
    <nc r="AS179">
      <f>BB179+AR179</f>
    </nc>
  </rcc>
  <rcc rId="40819" sId="4">
    <oc r="AS180">
      <f>BB180+AR180</f>
    </oc>
    <nc r="AS180">
      <f>BB180+AR180</f>
    </nc>
  </rcc>
  <rcc rId="40820" sId="4">
    <oc r="AS181">
      <f>BB181+AR181</f>
    </oc>
    <nc r="AS181">
      <f>BB181+AR181</f>
    </nc>
  </rcc>
  <rcc rId="40821" sId="4">
    <oc r="AS182">
      <f>BB182+AR182</f>
    </oc>
    <nc r="AS182">
      <f>BB182+AR182</f>
    </nc>
  </rcc>
  <rcc rId="40822" sId="4">
    <oc r="AS183">
      <f>BB183+AR183</f>
    </oc>
    <nc r="AS183">
      <f>BB183+AR183</f>
    </nc>
  </rcc>
  <rcc rId="40823" sId="4">
    <oc r="AS184">
      <f>BB184+AR184</f>
    </oc>
    <nc r="AS184">
      <f>BB184+AR184</f>
    </nc>
  </rcc>
  <rcc rId="40824" sId="4">
    <oc r="AS185">
      <f>BB185+AR185</f>
    </oc>
    <nc r="AS185">
      <f>BB185+AR185</f>
    </nc>
  </rcc>
  <rcc rId="40825" sId="4">
    <oc r="AS186">
      <f>BB186+AR186</f>
    </oc>
    <nc r="AS186">
      <f>BB186+AR186</f>
    </nc>
  </rcc>
  <rcc rId="40826" sId="4" odxf="1" dxf="1">
    <oc r="AS187">
      <f>AX187+AR187</f>
    </oc>
    <nc r="AS187">
      <f>BB187+AR187</f>
    </nc>
    <odxf>
      <numFmt numFmtId="10" formatCode="&quot;$&quot;#,##0_);[Red]\(&quot;$&quot;#,##0\)"/>
    </odxf>
    <ndxf>
      <numFmt numFmtId="164" formatCode="0.0%"/>
    </ndxf>
  </rcc>
  <rcc rId="40827" sId="4">
    <nc r="BB187">
      <f>SUM(BB178:BB186)</f>
    </nc>
  </rcc>
  <rfmt sheetId="4" sqref="BB187">
    <dxf>
      <numFmt numFmtId="3" formatCode="#,##0"/>
    </dxf>
  </rfmt>
  <rfmt sheetId="4" sqref="AS187">
    <dxf>
      <numFmt numFmtId="3" formatCode="#,##0"/>
    </dxf>
  </rfmt>
  <rcv guid="{78CA186D-B240-44D5-8A24-D241DE0B0FD9}" action="delete"/>
  <rdn rId="0" localSheetId="2" customView="1" name="Z_78CA186D_B240_44D5_8A24_D241DE0B0FD9_.wvu.Cols" hidden="1" oldHidden="1">
    <formula>'FY2013 by Approp Title'!$AA:$AA</formula>
    <oldFormula>'FY2013 by Approp Title'!$AA:$AA</oldFormula>
  </rdn>
  <rdn rId="0" localSheetId="3" customView="1" name="Z_78CA186D_B240_44D5_8A24_D241DE0B0FD9_.wvu.Cols" hidden="1" oldHidden="1">
    <formula>'FY2013 By Approp Title-Adj'!$AA:$AA</formula>
    <oldFormula>'FY2013 By Approp Title-Adj'!$AA:$AA</oldFormula>
  </rdn>
  <rdn rId="0" localSheetId="4" customView="1" name="Z_78CA186D_B240_44D5_8A24_D241DE0B0FD9_.wvu.Rows" hidden="1" oldHidden="1">
    <formula>'FY 2013 by Agency'!$1:$3,'FY 2013 by Agency'!$226:$240</formula>
    <oldFormula>'FY 2013 by Agency'!$1:$3,'FY 2013 by Agency'!$226:$240</oldFormula>
  </rdn>
  <rdn rId="0" localSheetId="4" customView="1" name="Z_78CA186D_B240_44D5_8A24_D241DE0B0FD9_.wvu.Cols" hidden="1" oldHidden="1">
    <formula>'FY 2013 by Agency'!$D:$E,'FY 2013 by Agency'!$G:$H,'FY 2013 by Agency'!$J:$K,'FY 2013 by Agency'!$M:$N,'FY 2013 by Agency'!$P:$Q,'FY 2013 by Agency'!$S:$T,'FY 2013 by Agency'!$V:$W,'FY 2013 by Agency'!$Y:$Z,'FY 2013 by Agency'!$AB:$AE,'FY 2013 by Agency'!$AG:$AO,'FY 2013 by Agency'!$AV:$AW,'FY 2013 by Agency'!$AY:$AZ,'FY 2013 by Agency'!$BF:$BG</formula>
    <oldFormula>'FY 2013 by Agency'!$D:$E,'FY 2013 by Agency'!$G:$H,'FY 2013 by Agency'!$J:$K,'FY 2013 by Agency'!$M:$N,'FY 2013 by Agency'!$P:$Q,'FY 2013 by Agency'!$S:$T,'FY 2013 by Agency'!$V:$W,'FY 2013 by Agency'!$Y:$Z,'FY 2013 by Agency'!$AB:$AE,'FY 2013 by Agency'!$AG:$AO,'FY 2013 by Agency'!$AV:$AW,'FY 2013 by Agency'!$AY:$AZ,'FY 2013 by Agency'!$BF:$BG</oldFormula>
  </rdn>
  <rdn rId="0" localSheetId="5" customView="1" name="Z_78CA186D_B240_44D5_8A24_D241DE0B0FD9_.wvu.Rows" hidden="1" oldHidden="1">
    <formula>'FY 2013 by Agency-Adj'!$1:$3,'FY 2013 by Agency-Adj'!$14:$14,'FY 2013 by Agency-Adj'!$19:$19,'FY 2013 by Agency-Adj'!$156:$156,'FY 2013 by Agency-Adj'!$163:$163,'FY 2013 by Agency-Adj'!$227:$241</formula>
    <oldFormula>'FY 2013 by Agency-Adj'!$1:$3,'FY 2013 by Agency-Adj'!$14:$14,'FY 2013 by Agency-Adj'!$19:$19,'FY 2013 by Agency-Adj'!$156:$156,'FY 2013 by Agency-Adj'!$163:$163,'FY 2013 by Agency-Adj'!$227:$241</oldFormula>
  </rdn>
  <rdn rId="0" localSheetId="5" customView="1" name="Z_78CA186D_B240_44D5_8A24_D241DE0B0FD9_.wvu.Cols" hidden="1" oldHidden="1">
    <formula>'FY 2013 by Agency-Adj'!$AD:$AE,'FY 2013 by Agency-Adj'!$AI:$BK,'FY 2013 by Agency-Adj'!$BO:$BT</formula>
    <oldFormula>'FY 2013 by Agency-Adj'!$AD:$AE,'FY 2013 by Agency-Adj'!$AI:$BK,'FY 2013 by Agency-Adj'!$BO:$BT</oldFormula>
  </rdn>
  <rdn rId="0" localSheetId="8" customView="1" name="Z_78CA186D_B240_44D5_8A24_D241DE0B0FD9_.wvu.Rows" hidden="1" oldHidden="1">
    <formula>'Sheet 4'!$1:$6</formula>
    <oldFormula>'Sheet 4'!$1:$6</oldFormula>
  </rdn>
  <rcv guid="{78CA186D-B240-44D5-8A24-D241DE0B0FD9}" action="add"/>
</revisions>
</file>

<file path=xl/revisions/revisionLog15111111.xml><?xml version="1.0" encoding="utf-8"?>
<revisions xmlns="http://schemas.openxmlformats.org/spreadsheetml/2006/main" xmlns:r="http://schemas.openxmlformats.org/officeDocument/2006/relationships">
  <rcc rId="40680" sId="4">
    <oc r="AS8">
      <f>AX8+AR8</f>
    </oc>
    <nc r="AS8">
      <f>BB8+AR8</f>
    </nc>
  </rcc>
  <rcc rId="40681" sId="4">
    <oc r="AS9">
      <f>AX9+AR9</f>
    </oc>
    <nc r="AS9">
      <f>BB9+AR9</f>
    </nc>
  </rcc>
  <rcc rId="40682" sId="4" odxf="1">
    <oc r="AS10">
      <f>AX10+AR10</f>
    </oc>
    <nc r="AS10">
      <f>BB10+AR10</f>
    </nc>
    <odxf/>
  </rcc>
  <rcc rId="40683" sId="4" odxf="1">
    <oc r="AS11">
      <f>AX11+AR11</f>
    </oc>
    <nc r="AS11">
      <f>BB11+AR11</f>
    </nc>
    <odxf/>
  </rcc>
  <rcc rId="40684" sId="4" odxf="1">
    <oc r="AS12">
      <f>AX12+AR12</f>
    </oc>
    <nc r="AS12">
      <f>BB12+AR12</f>
    </nc>
    <odxf/>
  </rcc>
  <rcc rId="40685" sId="4" odxf="1">
    <oc r="AS13">
      <f>AX13+AR13</f>
    </oc>
    <nc r="AS13">
      <f>BB13+AR13</f>
    </nc>
    <odxf/>
  </rcc>
  <rcc rId="40686" sId="4">
    <oc r="AS14">
      <f>AX14+AR14</f>
    </oc>
    <nc r="AS14">
      <f>BB14+AR14</f>
    </nc>
  </rcc>
  <rcc rId="40687" sId="4" odxf="1">
    <oc r="AS15">
      <f>AX15+AR15</f>
    </oc>
    <nc r="AS15">
      <f>BB15+AR15</f>
    </nc>
    <odxf/>
  </rcc>
  <rcc rId="40688" sId="4" odxf="1">
    <oc r="AS16">
      <f>AX16+AR16</f>
    </oc>
    <nc r="AS16">
      <f>BB16+AR16</f>
    </nc>
    <odxf/>
  </rcc>
  <rcc rId="40689" sId="4">
    <oc r="AS17">
      <f>AX17+AR17</f>
    </oc>
    <nc r="AS17">
      <f>BB17+AR17</f>
    </nc>
  </rcc>
  <rcc rId="40690" sId="4" odxf="1">
    <oc r="AS18">
      <f>AX18+AR18</f>
    </oc>
    <nc r="AS18">
      <f>BB18+AR18</f>
    </nc>
    <odxf/>
  </rcc>
  <rcc rId="40691" sId="4">
    <oc r="AS19">
      <f>AX19+AR19</f>
    </oc>
    <nc r="AS19">
      <f>BB19+AR19</f>
    </nc>
  </rcc>
  <rcc rId="40692" sId="4" odxf="1">
    <oc r="AS20">
      <f>AX20+AR20</f>
    </oc>
    <nc r="AS20">
      <f>BB20+AR20</f>
    </nc>
    <odxf/>
  </rcc>
  <rcc rId="40693" sId="4" odxf="1">
    <oc r="AS21">
      <f>AX21+AR21</f>
    </oc>
    <nc r="AS21">
      <f>BB21+AR21</f>
    </nc>
    <odxf/>
  </rcc>
  <rcc rId="40694" sId="4">
    <oc r="AS22">
      <f>AX22+AR22</f>
    </oc>
    <nc r="AS22">
      <f>BB22+AR22</f>
    </nc>
  </rcc>
  <rcc rId="40695" sId="4" odxf="1">
    <oc r="AS23">
      <f>AX23+AR23</f>
    </oc>
    <nc r="AS23">
      <f>BB23+AR23</f>
    </nc>
    <odxf/>
  </rcc>
  <rcc rId="40696" sId="4" odxf="1">
    <oc r="AS24">
      <f>AX24+AR24</f>
    </oc>
    <nc r="AS24">
      <f>BB24+AR24</f>
    </nc>
    <odxf/>
  </rcc>
  <rcc rId="40697" sId="4" odxf="1">
    <oc r="AS25">
      <f>AX25+AR25</f>
    </oc>
    <nc r="AS25">
      <f>BB25+AR25</f>
    </nc>
    <odxf/>
  </rcc>
  <rcc rId="40698" sId="4" odxf="1">
    <oc r="AS26">
      <f>AX26+AR26</f>
    </oc>
    <nc r="AS26">
      <f>BB26+AR26</f>
    </nc>
    <odxf/>
  </rcc>
  <rcc rId="40699" sId="4" odxf="1">
    <oc r="AS27">
      <f>AX27+AR27</f>
    </oc>
    <nc r="AS27">
      <f>BB27+AR27</f>
    </nc>
    <odxf/>
  </rcc>
  <rcc rId="40700" sId="4" odxf="1">
    <oc r="AS28">
      <f>AX28+AR28</f>
    </oc>
    <nc r="AS28">
      <f>BB28+AR28</f>
    </nc>
    <odxf/>
  </rcc>
  <rcc rId="40701" sId="4">
    <oc r="AS29">
      <f>AX29+AR29</f>
    </oc>
    <nc r="AS29">
      <f>BB29+AR29</f>
    </nc>
  </rcc>
  <rcc rId="40702" sId="4">
    <oc r="AS30">
      <f>AX30+AR30</f>
    </oc>
    <nc r="AS30">
      <f>BB30+AR30</f>
    </nc>
  </rcc>
  <rcc rId="40703" sId="4">
    <oc r="AS31">
      <f>AX31+AR31</f>
    </oc>
    <nc r="AS31">
      <f>BB31+AR31</f>
    </nc>
  </rcc>
  <rcc rId="40704" sId="4" odxf="1">
    <oc r="AS32">
      <f>AX32+AR32</f>
    </oc>
    <nc r="AS32">
      <f>BB32+AR32</f>
    </nc>
    <odxf/>
  </rcc>
  <rcc rId="40705" sId="4" odxf="1">
    <oc r="AS33">
      <f>AX33+AR33</f>
    </oc>
    <nc r="AS33">
      <f>BB33+AR33</f>
    </nc>
    <odxf/>
  </rcc>
  <rcc rId="40706" sId="4" odxf="1">
    <oc r="AS34">
      <f>AX34+AR34</f>
    </oc>
    <nc r="AS34">
      <f>BB34+AR34</f>
    </nc>
    <odxf/>
  </rcc>
  <rcc rId="40707" sId="4">
    <oc r="AS35">
      <f>AX35+AR35</f>
    </oc>
    <nc r="AS35">
      <f>BB35+AR35</f>
    </nc>
  </rcc>
  <rcc rId="40708" sId="4">
    <oc r="AS36">
      <f>AX36+AR36</f>
    </oc>
    <nc r="AS36">
      <f>BB36+AR36</f>
    </nc>
  </rcc>
  <rcc rId="40709" sId="4">
    <oc r="AS37">
      <f>AX37+AR37</f>
    </oc>
    <nc r="AS37">
      <f>BB37+AR37</f>
    </nc>
  </rcc>
  <rcc rId="40710" sId="4">
    <oc r="AS38">
      <f>AX38+AR38</f>
    </oc>
    <nc r="AS38">
      <f>BB38+AR38</f>
    </nc>
  </rcc>
  <rcc rId="40711" sId="4">
    <nc r="AS39">
      <f>BB39+AR39</f>
    </nc>
  </rcc>
  <rcc rId="40712" sId="4">
    <oc r="AS40">
      <f>AX40+AR40</f>
    </oc>
    <nc r="AS40">
      <f>BB40+AR40</f>
    </nc>
  </rcc>
  <rcc rId="40713" sId="4">
    <nc r="BB41">
      <f>SUM(BB7:BB40)</f>
    </nc>
  </rcc>
  <rfmt sheetId="4" sqref="BB41">
    <dxf>
      <numFmt numFmtId="3" formatCode="#,##0"/>
    </dxf>
  </rfmt>
  <rcc rId="40714" sId="4">
    <oc r="AS41">
      <f>AX41+AR41</f>
    </oc>
    <nc r="AS41">
      <f>BB41+AR41</f>
    </nc>
  </rcc>
  <rcc rId="40715" sId="4">
    <oc r="AS51">
      <f>AX51+AR51</f>
    </oc>
    <nc r="AS51">
      <f>BB51+AR51</f>
    </nc>
  </rcc>
  <rcc rId="40716" sId="4">
    <oc r="AS52">
      <f>AX52+AR52</f>
    </oc>
    <nc r="AS52">
      <f>BB52+AR52</f>
    </nc>
  </rcc>
  <rcc rId="40717" sId="4">
    <oc r="AS53">
      <f>AX53+AR53</f>
    </oc>
    <nc r="AS53">
      <f>BB53+AR53</f>
    </nc>
  </rcc>
  <rcc rId="40718" sId="4">
    <oc r="AS54">
      <f>AX54+AR54</f>
    </oc>
    <nc r="AS54">
      <f>BB54+AR54</f>
    </nc>
  </rcc>
  <rcc rId="40719" sId="4">
    <oc r="AS55">
      <f>AX55+AR55</f>
    </oc>
    <nc r="AS55">
      <f>BB55+AR55</f>
    </nc>
  </rcc>
  <rcc rId="40720" sId="4">
    <oc r="AS56">
      <f>AX56+AR56</f>
    </oc>
    <nc r="AS56">
      <f>BB56+AR56</f>
    </nc>
  </rcc>
  <rcc rId="40721" sId="4" odxf="1">
    <oc r="AS57">
      <f>AX57+AR57</f>
    </oc>
    <nc r="AS57">
      <f>BB57+AR57</f>
    </nc>
    <odxf/>
  </rcc>
  <rcc rId="40722" sId="4">
    <oc r="AS58">
      <f>AX58+AR58</f>
    </oc>
    <nc r="AS58">
      <f>BB58+AR58</f>
    </nc>
  </rcc>
  <rcc rId="40723" sId="4" odxf="1">
    <oc r="AS59">
      <f>AX59+AR59</f>
    </oc>
    <nc r="AS59">
      <f>BB59+AR59</f>
    </nc>
    <odxf/>
  </rcc>
  <rcc rId="40724" sId="4">
    <oc r="AS60">
      <f>AX60+AR60</f>
    </oc>
    <nc r="AS60">
      <f>BB60+AR60</f>
    </nc>
  </rcc>
  <rcc rId="40725" sId="4">
    <oc r="AS61">
      <f>AX61+AR61</f>
    </oc>
    <nc r="AS61">
      <f>BB61+AR61</f>
    </nc>
  </rcc>
  <rcc rId="40726" sId="4" odxf="1">
    <oc r="AS62">
      <f>AX62+AR62</f>
    </oc>
    <nc r="AS62">
      <f>BB62+AR62</f>
    </nc>
    <odxf/>
  </rcc>
  <rcc rId="40727" sId="4">
    <oc r="AS63">
      <f>AX63+AR63</f>
    </oc>
    <nc r="AS63">
      <f>BB63+AR63</f>
    </nc>
  </rcc>
  <rcc rId="40728" sId="4" odxf="1">
    <oc r="AS64">
      <f>AX64+AR64</f>
    </oc>
    <nc r="AS64">
      <f>BB64+AR64</f>
    </nc>
    <odxf/>
  </rcc>
  <rcc rId="40729" sId="4" odxf="1">
    <oc r="AS65">
      <f>AX65+AR65</f>
    </oc>
    <nc r="AS65">
      <f>BB65+AR65</f>
    </nc>
    <odxf/>
  </rcc>
  <rcc rId="40730" sId="4">
    <oc r="AS66">
      <f>AX66+AR66</f>
    </oc>
    <nc r="AS66">
      <f>BB66+AR66</f>
    </nc>
  </rcc>
  <rcc rId="40731" sId="4" odxf="1">
    <oc r="AS67">
      <f>AX67+AR67</f>
    </oc>
    <nc r="AS67">
      <f>BB67+AR67</f>
    </nc>
    <odxf/>
  </rcc>
  <rcc rId="40732" sId="4" odxf="1">
    <oc r="AS68">
      <f>AX68+AR68</f>
    </oc>
    <nc r="AS68">
      <f>BB68+AR68</f>
    </nc>
    <odxf/>
  </rcc>
  <rcc rId="40733" sId="4" odxf="1">
    <oc r="AS69">
      <f>AX69+AR69</f>
    </oc>
    <nc r="AS69">
      <f>BB69+AR69</f>
    </nc>
    <odxf/>
  </rcc>
  <rcc rId="40734" sId="4" odxf="1">
    <oc r="AS70">
      <f>AX70+AR70</f>
    </oc>
    <nc r="AS70">
      <f>BB70+AR70</f>
    </nc>
    <odxf/>
  </rcc>
  <rcc rId="40735" sId="4" odxf="1">
    <oc r="AS71">
      <f>AX71+AR71</f>
    </oc>
    <nc r="AS71">
      <f>BB71+AR71</f>
    </nc>
    <odxf/>
  </rcc>
  <rcc rId="40736" sId="4" odxf="1">
    <oc r="AS72">
      <f>AX72+AR72</f>
    </oc>
    <nc r="AS72">
      <f>BB72+AR72</f>
    </nc>
    <odxf/>
  </rcc>
  <rcc rId="40737" sId="4" odxf="1" dxf="1">
    <oc r="AS73">
      <f>AX73+AR73</f>
    </oc>
    <nc r="AS73">
      <f>BB73+AR73</f>
    </nc>
    <odxf>
      <border outline="0">
        <bottom style="medium">
          <color indexed="64"/>
        </bottom>
      </border>
    </odxf>
    <ndxf>
      <border outline="0">
        <bottom/>
      </border>
    </ndxf>
  </rcc>
  <rcc rId="40738" sId="4" odxf="1" dxf="1">
    <oc r="AS74">
      <f>AX74+AR74</f>
    </oc>
    <nc r="AS74">
      <f>BB74+AR74</f>
    </nc>
    <odxf>
      <numFmt numFmtId="10" formatCode="&quot;$&quot;#,##0_);[Red]\(&quot;$&quot;#,##0\)"/>
    </odxf>
    <ndxf>
      <numFmt numFmtId="164" formatCode="0.0%"/>
    </ndxf>
  </rcc>
  <rcc rId="40739" sId="4">
    <nc r="BB74">
      <f>SUM(BB51:BB73)</f>
    </nc>
  </rcc>
  <rfmt sheetId="4" sqref="BB74">
    <dxf>
      <numFmt numFmtId="3" formatCode="#,##0"/>
    </dxf>
  </rfmt>
  <rfmt sheetId="4" sqref="AS74">
    <dxf>
      <numFmt numFmtId="3" formatCode="#,##0"/>
    </dxf>
  </rfmt>
  <rcc rId="40740" sId="4">
    <oc r="AS85">
      <f>AX85+AR85</f>
    </oc>
    <nc r="AS85">
      <f>BB85+AR85</f>
    </nc>
  </rcc>
  <rcc rId="40741" sId="4">
    <oc r="AS86">
      <f>AX86+AR86</f>
    </oc>
    <nc r="AS86">
      <f>BB86+AR86</f>
    </nc>
  </rcc>
  <rcc rId="40742" sId="4" odxf="1">
    <oc r="AS87">
      <f>AX87+AR87</f>
    </oc>
    <nc r="AS87">
      <f>BB87+AR87</f>
    </nc>
    <odxf/>
  </rcc>
  <rcc rId="40743" sId="4">
    <oc r="AS88">
      <f>AX88+AR88</f>
    </oc>
    <nc r="AS88">
      <f>BB88+AR88</f>
    </nc>
  </rcc>
  <rcc rId="40744" sId="4" odxf="1">
    <oc r="AS89">
      <f>AX89+AR89</f>
    </oc>
    <nc r="AS89">
      <f>BB89+AR89</f>
    </nc>
    <odxf/>
  </rcc>
  <rcc rId="40745" sId="4">
    <oc r="AS90">
      <f>AX90+AR90</f>
    </oc>
    <nc r="AS90">
      <f>BB90+AR90</f>
    </nc>
  </rcc>
  <rcc rId="40746" sId="4" odxf="1">
    <oc r="AS91">
      <f>AX91+AR91</f>
    </oc>
    <nc r="AS91">
      <f>BB91+AR91</f>
    </nc>
    <odxf/>
  </rcc>
  <rcc rId="40747" sId="4" odxf="1">
    <oc r="AS92">
      <f>AX92+AR92</f>
    </oc>
    <nc r="AS92">
      <f>BB92+AR92</f>
    </nc>
    <odxf/>
  </rcc>
  <rcc rId="40748" sId="4" odxf="1">
    <oc r="AS93">
      <f>AX93+AR93</f>
    </oc>
    <nc r="AS93">
      <f>BB93+AR93</f>
    </nc>
    <odxf/>
  </rcc>
  <rcc rId="40749" sId="4">
    <oc r="AS94">
      <f>AX94+AR94</f>
    </oc>
    <nc r="AS94">
      <f>BB94+AR94</f>
    </nc>
  </rcc>
  <rcc rId="40750" sId="4">
    <oc r="AS95">
      <f>AX95+AR95</f>
    </oc>
    <nc r="AS95">
      <f>BB95+AR95</f>
    </nc>
  </rcc>
  <rcc rId="40751" sId="4">
    <oc r="AS96">
      <f>AX96+AR96</f>
    </oc>
    <nc r="AS96">
      <f>BB96+AR96</f>
    </nc>
  </rcc>
  <rcc rId="40752" sId="4">
    <oc r="AS97">
      <f>AX97+AR97</f>
    </oc>
    <nc r="AS97">
      <f>BB97+AR97</f>
    </nc>
  </rcc>
  <rcc rId="40753" sId="4" odxf="1">
    <oc r="AS98">
      <f>AX98+AR98</f>
    </oc>
    <nc r="AS98">
      <f>BB98+AR98</f>
    </nc>
    <odxf/>
  </rcc>
  <rcc rId="40754" sId="4" odxf="1">
    <oc r="AS99">
      <f>AX99+AR99</f>
    </oc>
    <nc r="AS99">
      <f>BB99+AR99</f>
    </nc>
    <odxf/>
  </rcc>
  <rcc rId="40755" sId="4" odxf="1">
    <oc r="AS100">
      <f>AX100+AR100</f>
    </oc>
    <nc r="AS100">
      <f>BB100+AR100</f>
    </nc>
    <odxf/>
  </rcc>
  <rcc rId="40756" sId="4" odxf="1">
    <oc r="AS101">
      <f>AX101+AR101</f>
    </oc>
    <nc r="AS101">
      <f>BB101+AR101</f>
    </nc>
    <odxf/>
  </rcc>
  <rcc rId="40757" sId="4" odxf="1">
    <oc r="AS102">
      <f>AX102+AR102</f>
    </oc>
    <nc r="AS102">
      <f>BB102+AR102</f>
    </nc>
    <odxf/>
  </rcc>
  <rcc rId="40758" sId="4" odxf="1">
    <oc r="AS103">
      <f>AX103+AR103</f>
    </oc>
    <nc r="AS103">
      <f>BB103+AR103</f>
    </nc>
    <odxf/>
  </rcc>
  <rcc rId="40759" sId="4">
    <oc r="AS104">
      <f>AX104+AR104</f>
    </oc>
    <nc r="AS104">
      <f>BB104+AR104</f>
    </nc>
  </rcc>
  <rcc rId="40760" sId="4" odxf="1">
    <oc r="AS105">
      <f>AX105+AR105</f>
    </oc>
    <nc r="AS105">
      <f>BB105+AR105</f>
    </nc>
    <odxf/>
  </rcc>
  <rcc rId="40761" sId="4" odxf="1">
    <oc r="AS106">
      <f>AX106+AR106</f>
    </oc>
    <nc r="AS106">
      <f>BB106+AR106</f>
    </nc>
    <odxf/>
  </rcc>
  <rcc rId="40762" sId="4" odxf="1">
    <oc r="AS107">
      <f>AX107+AR107</f>
    </oc>
    <nc r="AS107">
      <f>BB107+AR107</f>
    </nc>
    <odxf/>
  </rcc>
  <rcc rId="40763" sId="4">
    <nc r="BB108">
      <f>SUM(BB85:BB107)</f>
    </nc>
  </rcc>
  <rfmt sheetId="4" sqref="BB108">
    <dxf>
      <numFmt numFmtId="3" formatCode="#,##0"/>
    </dxf>
  </rfmt>
  <rcc rId="40764" sId="4">
    <oc r="AS108">
      <f>AX108+AR108</f>
    </oc>
    <nc r="AS108">
      <f>BB108+AR108</f>
    </nc>
  </rcc>
  <rcc rId="40765" sId="4">
    <oc r="AS119">
      <f>AX119+AR119</f>
    </oc>
    <nc r="AS119">
      <f>BB119+AR119</f>
    </nc>
  </rcc>
  <rcc rId="40766" sId="4">
    <oc r="AS120">
      <f>AX120+AR120</f>
    </oc>
    <nc r="AS120">
      <f>BB120+AR120</f>
    </nc>
  </rcc>
  <rcc rId="40767" sId="4">
    <oc r="AS121">
      <f>AX121+AR121</f>
    </oc>
    <nc r="AS121">
      <f>BB121+AR121</f>
    </nc>
  </rcc>
  <rcc rId="40768" sId="4">
    <oc r="AS122">
      <f>AX122+AR122</f>
    </oc>
    <nc r="AS122">
      <f>BB122+AR122</f>
    </nc>
  </rcc>
  <rcc rId="40769" sId="4">
    <oc r="AS123">
      <f>AX123+AR123</f>
    </oc>
    <nc r="AS123">
      <f>BB123+AR123</f>
    </nc>
  </rcc>
  <rcc rId="40770" sId="4">
    <oc r="AS124">
      <f>AX124+AR124</f>
    </oc>
    <nc r="AS124">
      <f>BB124+AR124</f>
    </nc>
  </rcc>
  <rcc rId="40771" sId="4">
    <oc r="AS125">
      <f>AX125+AR125</f>
    </oc>
    <nc r="AS125">
      <f>BB125+AR125</f>
    </nc>
  </rcc>
  <rcc rId="40772" sId="4">
    <oc r="AS126">
      <f>AX126+AR126</f>
    </oc>
    <nc r="AS126">
      <f>BB126+AR126</f>
    </nc>
  </rcc>
  <rcc rId="40773" sId="4">
    <oc r="AS127">
      <f>AX127+AR127</f>
    </oc>
    <nc r="AS127">
      <f>BB127+AR127</f>
    </nc>
  </rcc>
  <rcc rId="40774" sId="4">
    <oc r="AS128">
      <f>AX128+AR128</f>
    </oc>
    <nc r="AS128">
      <f>BB128+AR128</f>
    </nc>
  </rcc>
  <rcc rId="40775" sId="4">
    <oc r="AS129">
      <f>AX129+AR129</f>
    </oc>
    <nc r="AS129">
      <f>BB129+AR129</f>
    </nc>
  </rcc>
  <rcc rId="40776" sId="4">
    <oc r="AS130">
      <f>AX130+AR130</f>
    </oc>
    <nc r="AS130">
      <f>BB130+AR130</f>
    </nc>
  </rcc>
  <rcc rId="40777" sId="4">
    <oc r="AS131">
      <f>AX131+AR131</f>
    </oc>
    <nc r="AS131">
      <f>BB131+AR131</f>
    </nc>
  </rcc>
  <rcc rId="40778" sId="4">
    <nc r="BB132">
      <f>SUM(BB119:BB131)</f>
    </nc>
  </rcc>
  <rfmt sheetId="4" sqref="BB132">
    <dxf>
      <numFmt numFmtId="3" formatCode="#,##0"/>
    </dxf>
  </rfmt>
  <rcc rId="40779" sId="4">
    <oc r="AS132">
      <f>AX132+AR132</f>
    </oc>
    <nc r="AS132">
      <f>BB132+AR132</f>
    </nc>
  </rcc>
  <rcc rId="40780" sId="4">
    <oc r="AS145">
      <f>AX145+AR145</f>
    </oc>
    <nc r="AS145">
      <f>BB145+AR145</f>
    </nc>
  </rcc>
  <rcc rId="40781" sId="4">
    <oc r="AS146">
      <f>AX146+AR146</f>
    </oc>
    <nc r="AS146">
      <f>BB146+AR146</f>
    </nc>
  </rcc>
  <rcc rId="40782" sId="4">
    <oc r="AS147">
      <f>AX147+AR147</f>
    </oc>
    <nc r="AS147">
      <f>BB147+AR147</f>
    </nc>
  </rcc>
  <rcc rId="40783" sId="4">
    <oc r="AS148">
      <f>AX148+AR148</f>
    </oc>
    <nc r="AS148">
      <f>BB148+AR148</f>
    </nc>
  </rcc>
  <rcc rId="40784" sId="4">
    <oc r="AS149">
      <f>AX149+AR149</f>
    </oc>
    <nc r="AS149">
      <f>BB149+AR149</f>
    </nc>
  </rcc>
  <rcc rId="40785" sId="4" odxf="1">
    <oc r="AS150">
      <f>AX150+AR150</f>
    </oc>
    <nc r="AS150">
      <f>BB150+AR150</f>
    </nc>
    <odxf/>
  </rcc>
  <rcc rId="40786" sId="4" odxf="1">
    <oc r="AS151">
      <f>AX151+AR151</f>
    </oc>
    <nc r="AS151">
      <f>BB151+AR151</f>
    </nc>
    <odxf/>
  </rcc>
  <rcc rId="40787" sId="4">
    <oc r="AS152">
      <f>AX152+AR152</f>
    </oc>
    <nc r="AS152">
      <f>BB152+AR152</f>
    </nc>
  </rcc>
  <rcc rId="40788" sId="4">
    <oc r="AS153">
      <f>AX153+AR153</f>
    </oc>
    <nc r="AS153">
      <f>BB153+AR153</f>
    </nc>
  </rcc>
  <rcc rId="40789" sId="4" odxf="1">
    <oc r="AS154">
      <f>AX154+AR154</f>
    </oc>
    <nc r="AS154">
      <f>BB154+AR154</f>
    </nc>
    <odxf/>
  </rcc>
  <rcc rId="40790" sId="4" odxf="1">
    <oc r="AS155">
      <f>AX155+AR155</f>
    </oc>
    <nc r="AS155">
      <f>BB155+AR155</f>
    </nc>
    <odxf/>
  </rcc>
  <rcc rId="40791" sId="4">
    <oc r="AS156">
      <f>AX156+AR156</f>
    </oc>
    <nc r="AS156">
      <f>BB156+AR156</f>
    </nc>
  </rcc>
  <rcc rId="40792" sId="4">
    <oc r="AS157">
      <f>AX157+AR157</f>
    </oc>
    <nc r="AS157">
      <f>BB157+AR157</f>
    </nc>
  </rcc>
  <rcc rId="40793" sId="4" odxf="1">
    <oc r="AS158">
      <f>AX158+AR158</f>
    </oc>
    <nc r="AS158">
      <f>BB158+AR158</f>
    </nc>
    <odxf/>
  </rcc>
  <rcc rId="40794" sId="4" odxf="1">
    <oc r="AS159">
      <f>AX159+AR159</f>
    </oc>
    <nc r="AS159">
      <f>BB159+AR159</f>
    </nc>
    <odxf/>
  </rcc>
  <rcc rId="40795" sId="4" odxf="1">
    <oc r="AS160">
      <f>AX160+AR160</f>
    </oc>
    <nc r="AS160">
      <f>BB160+AR160</f>
    </nc>
    <odxf/>
  </rcc>
  <rcc rId="40796" sId="4">
    <oc r="AS161">
      <f>AX161+AR161</f>
    </oc>
    <nc r="AS161">
      <f>BB161+AR161</f>
    </nc>
  </rcc>
  <rcc rId="40797" sId="4">
    <oc r="AS162">
      <f>AX162+AR162</f>
    </oc>
    <nc r="AS162">
      <f>BB162+AR162</f>
    </nc>
  </rcc>
  <rcc rId="40798" sId="4">
    <nc r="AS163">
      <f>BB163+AR163</f>
    </nc>
  </rcc>
  <rcc rId="40799" sId="4" odxf="1" dxf="1">
    <oc r="AS164">
      <f>AX164+AR164</f>
    </oc>
    <nc r="AS164">
      <f>BB164+AR164</f>
    </nc>
    <odxf>
      <border outline="0">
        <bottom style="medium">
          <color indexed="64"/>
        </bottom>
      </border>
    </odxf>
    <ndxf>
      <border outline="0">
        <bottom/>
      </border>
    </ndxf>
  </rcc>
  <rcc rId="40800" sId="4">
    <nc r="BB165">
      <f>SUM(BB145:BB164)</f>
    </nc>
  </rcc>
  <rfmt sheetId="4" sqref="BB165">
    <dxf>
      <numFmt numFmtId="3" formatCode="#,##0"/>
    </dxf>
  </rfmt>
  <rcc rId="40801" sId="4">
    <oc r="AS165">
      <f>AX165+AR165</f>
    </oc>
    <nc r="AS165">
      <f>BB165+AR165</f>
    </nc>
  </rcc>
  <rcc rId="40802" sId="4">
    <oc r="AS178">
      <f>AX178+AR178</f>
    </oc>
    <nc r="AS178">
      <f>BB178+AR178</f>
    </nc>
  </rcc>
  <rcc rId="40803" sId="4">
    <oc r="AS179">
      <f>AX179+AR179</f>
    </oc>
    <nc r="AS179">
      <f>BB179+AR179</f>
    </nc>
  </rcc>
  <rcc rId="40804" sId="4">
    <oc r="AS180">
      <f>AX180+AR180</f>
    </oc>
    <nc r="AS180">
      <f>BB180+AR180</f>
    </nc>
  </rcc>
  <rcc rId="40805" sId="4">
    <oc r="AS181">
      <f>AX181+AR181</f>
    </oc>
    <nc r="AS181">
      <f>BB181+AR181</f>
    </nc>
  </rcc>
  <rcc rId="40806" sId="4">
    <oc r="AS182">
      <f>AX182+AR182</f>
    </oc>
    <nc r="AS182">
      <f>BB182+AR182</f>
    </nc>
  </rcc>
  <rcc rId="40807" sId="4" odxf="1">
    <oc r="AS183">
      <f>AX183+AR183</f>
    </oc>
    <nc r="AS183">
      <f>BB183+AR183</f>
    </nc>
    <odxf/>
  </rcc>
  <rcc rId="40808" sId="4" odxf="1">
    <oc r="AS184">
      <f>AX184+AR184</f>
    </oc>
    <nc r="AS184">
      <f>BB184+AR184</f>
    </nc>
    <odxf/>
  </rcc>
  <rcc rId="40809" sId="4" odxf="1">
    <nc r="AS185">
      <f>BB185+AR185</f>
    </nc>
    <odxf/>
  </rcc>
  <rcc rId="40810" sId="4" odxf="1" dxf="1">
    <oc r="AS186">
      <f>AX186+AR186</f>
    </oc>
    <nc r="AS186">
      <f>BB186+AR186</f>
    </nc>
    <odxf>
      <border outline="0">
        <bottom style="medium">
          <color indexed="64"/>
        </bottom>
      </border>
    </odxf>
    <ndxf>
      <border outline="0">
        <bottom/>
      </border>
    </ndxf>
  </rcc>
  <rcv guid="{78CA186D-B240-44D5-8A24-D241DE0B0FD9}" action="delete"/>
  <rdn rId="0" localSheetId="2" customView="1" name="Z_78CA186D_B240_44D5_8A24_D241DE0B0FD9_.wvu.Cols" hidden="1" oldHidden="1">
    <formula>'FY2013 by Approp Title'!$AA:$AA</formula>
    <oldFormula>'FY2013 by Approp Title'!$AA:$AA</oldFormula>
  </rdn>
  <rdn rId="0" localSheetId="3" customView="1" name="Z_78CA186D_B240_44D5_8A24_D241DE0B0FD9_.wvu.Cols" hidden="1" oldHidden="1">
    <formula>'FY2013 By Approp Title-Adj'!$AA:$AA</formula>
    <oldFormula>'FY2013 By Approp Title-Adj'!$AA:$AA</oldFormula>
  </rdn>
  <rdn rId="0" localSheetId="4" customView="1" name="Z_78CA186D_B240_44D5_8A24_D241DE0B0FD9_.wvu.Rows" hidden="1" oldHidden="1">
    <formula>'FY 2013 by Agency'!$1:$3,'FY 2013 by Agency'!$226:$240</formula>
    <oldFormula>'FY 2013 by Agency'!$1:$3,'FY 2013 by Agency'!$226:$240</oldFormula>
  </rdn>
  <rdn rId="0" localSheetId="4" customView="1" name="Z_78CA186D_B240_44D5_8A24_D241DE0B0FD9_.wvu.Cols" hidden="1" oldHidden="1">
    <formula>'FY 2013 by Agency'!$D:$E,'FY 2013 by Agency'!$G:$H,'FY 2013 by Agency'!$J:$K,'FY 2013 by Agency'!$M:$N,'FY 2013 by Agency'!$P:$Q,'FY 2013 by Agency'!$S:$T,'FY 2013 by Agency'!$V:$W,'FY 2013 by Agency'!$Y:$Z,'FY 2013 by Agency'!$AB:$AE,'FY 2013 by Agency'!$AG:$AO,'FY 2013 by Agency'!$AV:$AW,'FY 2013 by Agency'!$AY:$AZ,'FY 2013 by Agency'!$BF:$BG</formula>
    <oldFormula>'FY 2013 by Agency'!$D:$E,'FY 2013 by Agency'!$G:$H,'FY 2013 by Agency'!$J:$K,'FY 2013 by Agency'!$M:$N,'FY 2013 by Agency'!$P:$Q,'FY 2013 by Agency'!$S:$T,'FY 2013 by Agency'!$V:$W,'FY 2013 by Agency'!$Y:$Z,'FY 2013 by Agency'!$AB:$AE,'FY 2013 by Agency'!$AG:$AO,'FY 2013 by Agency'!$AV:$AW,'FY 2013 by Agency'!$AY:$AZ,'FY 2013 by Agency'!$BF:$BG</oldFormula>
  </rdn>
  <rdn rId="0" localSheetId="5" customView="1" name="Z_78CA186D_B240_44D5_8A24_D241DE0B0FD9_.wvu.Rows" hidden="1" oldHidden="1">
    <formula>'FY 2013 by Agency-Adj'!$1:$3,'FY 2013 by Agency-Adj'!$14:$14,'FY 2013 by Agency-Adj'!$19:$19,'FY 2013 by Agency-Adj'!$156:$156,'FY 2013 by Agency-Adj'!$163:$163,'FY 2013 by Agency-Adj'!$227:$241</formula>
    <oldFormula>'FY 2013 by Agency-Adj'!$1:$3,'FY 2013 by Agency-Adj'!$14:$14,'FY 2013 by Agency-Adj'!$19:$19,'FY 2013 by Agency-Adj'!$156:$156,'FY 2013 by Agency-Adj'!$163:$163,'FY 2013 by Agency-Adj'!$227:$241</oldFormula>
  </rdn>
  <rdn rId="0" localSheetId="5" customView="1" name="Z_78CA186D_B240_44D5_8A24_D241DE0B0FD9_.wvu.Cols" hidden="1" oldHidden="1">
    <formula>'FY 2013 by Agency-Adj'!$AD:$AE,'FY 2013 by Agency-Adj'!$AI:$BK,'FY 2013 by Agency-Adj'!$BO:$BT</formula>
    <oldFormula>'FY 2013 by Agency-Adj'!$AD:$AE,'FY 2013 by Agency-Adj'!$AI:$BK,'FY 2013 by Agency-Adj'!$BO:$BT</oldFormula>
  </rdn>
  <rdn rId="0" localSheetId="8" customView="1" name="Z_78CA186D_B240_44D5_8A24_D241DE0B0FD9_.wvu.Rows" hidden="1" oldHidden="1">
    <formula>'Sheet 4'!$1:$6</formula>
    <oldFormula>'Sheet 4'!$1:$6</oldFormula>
  </rdn>
  <rcv guid="{78CA186D-B240-44D5-8A24-D241DE0B0FD9}" action="add"/>
</revisions>
</file>

<file path=xl/revisions/revisionLog16.xml><?xml version="1.0" encoding="utf-8"?>
<revisions xmlns="http://schemas.openxmlformats.org/spreadsheetml/2006/main" xmlns:r="http://schemas.openxmlformats.org/officeDocument/2006/relationships">
  <rcv guid="{567C3053-2D8E-4705-8DC7-18896C5303CA}" action="delete"/>
  <rdn rId="0" localSheetId="2" customView="1" name="Z_567C3053_2D8E_4705_8DC7_18896C5303CA_.wvu.Cols" hidden="1" oldHidden="1">
    <formula>'FY2013 by Approp Title'!$AA:$AA</formula>
    <oldFormula>'FY2013 by Approp Title'!$AA:$AA</oldFormula>
  </rdn>
  <rdn rId="0" localSheetId="3" customView="1" name="Z_567C3053_2D8E_4705_8DC7_18896C5303CA_.wvu.Cols" hidden="1" oldHidden="1">
    <formula>'FY2013 By Approp Title-Adj'!$AA:$AA</formula>
    <oldFormula>'FY2013 By Approp Title-Adj'!$AA:$AA</oldFormula>
  </rdn>
  <rdn rId="0" localSheetId="4" customView="1" name="Z_567C3053_2D8E_4705_8DC7_18896C5303CA_.wvu.Rows" hidden="1" oldHidden="1">
    <formula>'FY 2013 by Agency'!$1:$3,'FY 2013 by Agency'!$227:$241</formula>
    <oldFormula>'FY 2013 by Agency'!$1:$3,'FY 2013 by Agency'!$227:$241</oldFormula>
  </rdn>
  <rdn rId="0" localSheetId="4" customView="1" name="Z_567C3053_2D8E_4705_8DC7_18896C5303CA_.wvu.Cols" hidden="1" oldHidden="1">
    <formula>'FY 2013 by Agency'!$BP:$BP</formula>
    <oldFormula>'FY 2013 by Agency'!$BP:$BP</oldFormula>
  </rdn>
  <rdn rId="0" localSheetId="5" customView="1" name="Z_567C3053_2D8E_4705_8DC7_18896C5303CA_.wvu.Rows" hidden="1" oldHidden="1">
    <formula>'FY 2013 by Agency-Adj'!$1:$3,'FY 2013 by Agency-Adj'!$228:$242</formula>
    <oldFormula>'FY 2013 by Agency-Adj'!$1:$3,'FY 2013 by Agency-Adj'!$228:$242</oldFormula>
  </rdn>
  <rdn rId="0" localSheetId="5" customView="1" name="Z_567C3053_2D8E_4705_8DC7_18896C5303CA_.wvu.Cols" hidden="1" oldHidden="1">
    <formula>'FY 2013 by Agency-Adj'!$AJ:$AM,'FY 2013 by Agency-Adj'!$AP:$AS,'FY 2013 by Agency-Adj'!$BX:$BX</formula>
    <oldFormula>'FY 2013 by Agency-Adj'!$AJ:$AM,'FY 2013 by Agency-Adj'!$AP:$AS,'FY 2013 by Agency-Adj'!$BX:$BX</oldFormula>
  </rdn>
  <rdn rId="0" localSheetId="8" customView="1" name="Z_567C3053_2D8E_4705_8DC7_18896C5303CA_.wvu.Rows" hidden="1" oldHidden="1">
    <formula>'Sheet 4'!$1:$6</formula>
    <oldFormula>'Sheet 4'!$1:$6</oldFormula>
  </rdn>
  <rcv guid="{567C3053-2D8E-4705-8DC7-18896C5303CA}" action="add"/>
</revisions>
</file>

<file path=xl/revisions/revisionLog161.xml><?xml version="1.0" encoding="utf-8"?>
<revisions xmlns="http://schemas.openxmlformats.org/spreadsheetml/2006/main" xmlns:r="http://schemas.openxmlformats.org/officeDocument/2006/relationships">
  <rcc rId="43710" sId="5">
    <nc r="BW170">
      <f>BW163-AX163</f>
    </nc>
  </rcc>
  <rcc rId="43711" sId="5">
    <nc r="BW171">
      <f>BW163-AX163</f>
    </nc>
  </rcc>
  <rfmt sheetId="5" sqref="X144" start="0" length="0">
    <dxf>
      <font/>
    </dxf>
  </rfmt>
  <rcc rId="43712" sId="5">
    <nc r="X144">
      <f>618966/X163</f>
    </nc>
  </rcc>
  <rcv guid="{567C3053-2D8E-4705-8DC7-18896C5303CA}" action="delete"/>
  <rdn rId="0" localSheetId="2" customView="1" name="Z_567C3053_2D8E_4705_8DC7_18896C5303CA_.wvu.Cols" hidden="1" oldHidden="1">
    <formula>'FY2013 by Approp Title'!$AA:$AA</formula>
    <oldFormula>'FY2013 by Approp Title'!$AA:$AA</oldFormula>
  </rdn>
  <rdn rId="0" localSheetId="3" customView="1" name="Z_567C3053_2D8E_4705_8DC7_18896C5303CA_.wvu.Cols" hidden="1" oldHidden="1">
    <formula>'FY2013 By Approp Title-Adj'!$AA:$AA</formula>
    <oldFormula>'FY2013 By Approp Title-Adj'!$AA:$AA</oldFormula>
  </rdn>
  <rdn rId="0" localSheetId="4" customView="1" name="Z_567C3053_2D8E_4705_8DC7_18896C5303CA_.wvu.Rows" hidden="1" oldHidden="1">
    <formula>'FY 2013 by Agency'!$1:$3,'FY 2013 by Agency'!$227:$241</formula>
    <oldFormula>'FY 2013 by Agency'!$1:$3,'FY 2013 by Agency'!$227:$241</oldFormula>
  </rdn>
  <rdn rId="0" localSheetId="4" customView="1" name="Z_567C3053_2D8E_4705_8DC7_18896C5303CA_.wvu.Cols" hidden="1" oldHidden="1">
    <formula>'FY 2013 by Agency'!$BC:$BD,'FY 2013 by Agency'!$BF:$BM,'FY 2013 by Agency'!$BP:$BP</formula>
    <oldFormula>'FY 2013 by Agency'!$BC:$BD,'FY 2013 by Agency'!$BF:$BM,'FY 2013 by Agency'!$BP:$BP</oldFormula>
  </rdn>
  <rdn rId="0" localSheetId="5" customView="1" name="Z_567C3053_2D8E_4705_8DC7_18896C5303CA_.wvu.Rows" hidden="1" oldHidden="1">
    <formula>'FY 2013 by Agency-Adj'!$1:$3,'FY 2013 by Agency-Adj'!$228:$242</formula>
    <oldFormula>'FY 2013 by Agency-Adj'!$1:$3,'FY 2013 by Agency-Adj'!$228:$242</oldFormula>
  </rdn>
  <rdn rId="0" localSheetId="5" customView="1" name="Z_567C3053_2D8E_4705_8DC7_18896C5303CA_.wvu.Cols" hidden="1" oldHidden="1">
    <formula>'FY 2013 by Agency-Adj'!$AJ:$AM,'FY 2013 by Agency-Adj'!$AP:$AS,'FY 2013 by Agency-Adj'!$BX:$BX</formula>
    <oldFormula>'FY 2013 by Agency-Adj'!$V:$AB,'FY 2013 by Agency-Adj'!$AJ:$AM,'FY 2013 by Agency-Adj'!$AP:$AS,'FY 2013 by Agency-Adj'!$BX:$BX</oldFormula>
  </rdn>
  <rdn rId="0" localSheetId="8" customView="1" name="Z_567C3053_2D8E_4705_8DC7_18896C5303CA_.wvu.Rows" hidden="1" oldHidden="1">
    <formula>'Sheet 4'!$1:$6</formula>
    <oldFormula>'Sheet 4'!$1:$6</oldFormula>
  </rdn>
  <rcv guid="{567C3053-2D8E-4705-8DC7-18896C5303CA}" action="add"/>
</revisions>
</file>

<file path=xl/revisions/revisionLog1611.xml><?xml version="1.0" encoding="utf-8"?>
<revisions xmlns="http://schemas.openxmlformats.org/spreadsheetml/2006/main" xmlns:r="http://schemas.openxmlformats.org/officeDocument/2006/relationships">
  <rcv guid="{E81D05A4-5B21-42D3-A8D3-906ABCABC0F4}" action="delete"/>
  <rdn rId="0" localSheetId="2" customView="1" name="Z_E81D05A4_5B21_42D3_A8D3_906ABCABC0F4_.wvu.Cols" hidden="1" oldHidden="1">
    <formula>'FY2013 by Approp Title'!$AA:$AA</formula>
    <oldFormula>'FY2013 by Approp Title'!$AA:$AA</oldFormula>
  </rdn>
  <rdn rId="0" localSheetId="3" customView="1" name="Z_E81D05A4_5B21_42D3_A8D3_906ABCABC0F4_.wvu.Cols" hidden="1" oldHidden="1">
    <formula>'FY2013 By Approp Title-Adj'!$AA:$AA</formula>
    <oldFormula>'FY2013 By Approp Title-Adj'!$AA:$AA</oldFormula>
  </rdn>
  <rdn rId="0" localSheetId="4" customView="1" name="Z_E81D05A4_5B21_42D3_A8D3_906ABCABC0F4_.wvu.Rows" hidden="1" oldHidden="1">
    <formula>'FY 2013 by Agency'!$1:$3,'FY 2013 by Agency'!$227:$241</formula>
    <oldFormula>'FY 2013 by Agency'!$1:$3,'FY 2013 by Agency'!$227:$241</oldFormula>
  </rdn>
  <rdn rId="0" localSheetId="4" customView="1" name="Z_E81D05A4_5B21_42D3_A8D3_906ABCABC0F4_.wvu.Cols" hidden="1" oldHidden="1">
    <formula>'FY 2013 by Agency'!$D:$E,'FY 2013 by Agency'!$G:$H,'FY 2013 by Agency'!$J:$K,'FY 2013 by Agency'!$M:$N,'FY 2013 by Agency'!$P:$Q,'FY 2013 by Agency'!$S:$T,'FY 2013 by Agency'!$V:$W,'FY 2013 by Agency'!$Y:$Z,'FY 2013 by Agency'!$AB:$AE,'FY 2013 by Agency'!$AV:$AW,'FY 2013 by Agency'!$AY:$AZ,'FY 2013 by Agency'!$BF:$BG,'FY 2013 by Agency'!$BM:$BN</formula>
    <oldFormula>'FY 2013 by Agency'!$D:$E,'FY 2013 by Agency'!$G:$H,'FY 2013 by Agency'!$J:$K,'FY 2013 by Agency'!$M:$N,'FY 2013 by Agency'!$P:$Q,'FY 2013 by Agency'!$S:$T,'FY 2013 by Agency'!$V:$W,'FY 2013 by Agency'!$Y:$Z,'FY 2013 by Agency'!$AB:$AE,'FY 2013 by Agency'!$AV:$AW,'FY 2013 by Agency'!$AY:$AZ,'FY 2013 by Agency'!$BF:$BG,'FY 2013 by Agency'!$BM:$BN</oldFormula>
  </rdn>
  <rdn rId="0" localSheetId="5" customView="1" name="Z_E81D05A4_5B21_42D3_A8D3_906ABCABC0F4_.wvu.Rows" hidden="1" oldHidden="1">
    <formula>'FY 2013 by Agency-Adj'!$1:$3,'FY 2013 by Agency-Adj'!$14:$14,'FY 2013 by Agency-Adj'!$19:$19,'FY 2013 by Agency-Adj'!$157:$157,'FY 2013 by Agency-Adj'!$164:$164,'FY 2013 by Agency-Adj'!$228:$242</formula>
    <oldFormula>'FY 2013 by Agency-Adj'!$1:$3,'FY 2013 by Agency-Adj'!$14:$14,'FY 2013 by Agency-Adj'!$19:$19,'FY 2013 by Agency-Adj'!$157:$157,'FY 2013 by Agency-Adj'!$164:$164,'FY 2013 by Agency-Adj'!$228:$242</oldFormula>
  </rdn>
  <rdn rId="0" localSheetId="5" customView="1" name="Z_E81D05A4_5B21_42D3_A8D3_906ABCABC0F4_.wvu.Cols" hidden="1" oldHidden="1">
    <formula>'FY 2013 by Agency-Adj'!$AD:$AE,'FY 2013 by Agency-Adj'!$AI:$BK,'FY 2013 by Agency-Adj'!$BO:$BT</formula>
    <oldFormula>'FY 2013 by Agency-Adj'!$AD:$AE,'FY 2013 by Agency-Adj'!$AI:$BK,'FY 2013 by Agency-Adj'!$BO:$BT</oldFormula>
  </rdn>
  <rdn rId="0" localSheetId="8" customView="1" name="Z_E81D05A4_5B21_42D3_A8D3_906ABCABC0F4_.wvu.Rows" hidden="1" oldHidden="1">
    <formula>'Sheet 4'!$1:$6</formula>
    <oldFormula>'Sheet 4'!$1:$6</oldFormula>
  </rdn>
  <rcv guid="{E81D05A4-5B21-42D3-A8D3-906ABCABC0F4}" action="add"/>
</revisions>
</file>

<file path=xl/revisions/revisionLog16111.xml><?xml version="1.0" encoding="utf-8"?>
<revisions xmlns="http://schemas.openxmlformats.org/spreadsheetml/2006/main" xmlns:r="http://schemas.openxmlformats.org/officeDocument/2006/relationships">
  <rcv guid="{78CA186D-B240-44D5-8A24-D241DE0B0FD9}" action="delete"/>
  <rdn rId="0" localSheetId="2" customView="1" name="Z_78CA186D_B240_44D5_8A24_D241DE0B0FD9_.wvu.Cols" hidden="1" oldHidden="1">
    <formula>'FY2013 by Approp Title'!$AA:$AA</formula>
    <oldFormula>'FY2013 by Approp Title'!$AA:$AA</oldFormula>
  </rdn>
  <rdn rId="0" localSheetId="3" customView="1" name="Z_78CA186D_B240_44D5_8A24_D241DE0B0FD9_.wvu.Cols" hidden="1" oldHidden="1">
    <formula>'FY2013 By Approp Title-Adj'!$AA:$AA</formula>
    <oldFormula>'FY2013 By Approp Title-Adj'!$AA:$AA</oldFormula>
  </rdn>
  <rdn rId="0" localSheetId="4" customView="1" name="Z_78CA186D_B240_44D5_8A24_D241DE0B0FD9_.wvu.Rows" hidden="1" oldHidden="1">
    <formula>'FY 2013 by Agency'!$1:$3,'FY 2013 by Agency'!$227:$241</formula>
    <oldFormula>'FY 2013 by Agency'!$1:$3,'FY 2013 by Agency'!$227:$241</oldFormula>
  </rdn>
  <rdn rId="0" localSheetId="4" customView="1" name="Z_78CA186D_B240_44D5_8A24_D241DE0B0FD9_.wvu.Cols" hidden="1" oldHidden="1">
    <formula>'FY 2013 by Agency'!$D:$E,'FY 2013 by Agency'!$G:$H,'FY 2013 by Agency'!$J:$K,'FY 2013 by Agency'!$M:$N,'FY 2013 by Agency'!$P:$Q,'FY 2013 by Agency'!$S:$T,'FY 2013 by Agency'!$V:$W,'FY 2013 by Agency'!$Y:$Z,'FY 2013 by Agency'!$AB:$AE,'FY 2013 by Agency'!$AV:$AW,'FY 2013 by Agency'!$AY:$AZ,'FY 2013 by Agency'!$BF:$BG,'FY 2013 by Agency'!$BM:$BN</formula>
    <oldFormula>'FY 2013 by Agency'!$D:$E,'FY 2013 by Agency'!$G:$H,'FY 2013 by Agency'!$J:$K,'FY 2013 by Agency'!$M:$N,'FY 2013 by Agency'!$P:$Q,'FY 2013 by Agency'!$S:$T,'FY 2013 by Agency'!$V:$W,'FY 2013 by Agency'!$Y:$Z,'FY 2013 by Agency'!$AB:$AE,'FY 2013 by Agency'!$AV:$AW,'FY 2013 by Agency'!$AY:$AZ,'FY 2013 by Agency'!$BF:$BG,'FY 2013 by Agency'!$BM:$BN</oldFormula>
  </rdn>
  <rdn rId="0" localSheetId="5" customView="1" name="Z_78CA186D_B240_44D5_8A24_D241DE0B0FD9_.wvu.Rows" hidden="1" oldHidden="1">
    <formula>'FY 2013 by Agency-Adj'!$1:$3,'FY 2013 by Agency-Adj'!$14:$14,'FY 2013 by Agency-Adj'!$19:$19,'FY 2013 by Agency-Adj'!$157:$157,'FY 2013 by Agency-Adj'!$164:$164,'FY 2013 by Agency-Adj'!$228:$242</formula>
    <oldFormula>'FY 2013 by Agency-Adj'!$1:$3,'FY 2013 by Agency-Adj'!$14:$14,'FY 2013 by Agency-Adj'!$19:$19,'FY 2013 by Agency-Adj'!$157:$157,'FY 2013 by Agency-Adj'!$164:$164,'FY 2013 by Agency-Adj'!$228:$242</oldFormula>
  </rdn>
  <rdn rId="0" localSheetId="5" customView="1" name="Z_78CA186D_B240_44D5_8A24_D241DE0B0FD9_.wvu.Cols" hidden="1" oldHidden="1">
    <formula>'FY 2013 by Agency-Adj'!$AD:$AE,'FY 2013 by Agency-Adj'!$AI:$BK,'FY 2013 by Agency-Adj'!$BO:$BT</formula>
    <oldFormula>'FY 2013 by Agency-Adj'!$AD:$AE,'FY 2013 by Agency-Adj'!$AI:$BK,'FY 2013 by Agency-Adj'!$BO:$BT</oldFormula>
  </rdn>
  <rdn rId="0" localSheetId="8" customView="1" name="Z_78CA186D_B240_44D5_8A24_D241DE0B0FD9_.wvu.Rows" hidden="1" oldHidden="1">
    <formula>'Sheet 4'!$1:$6</formula>
    <oldFormula>'Sheet 4'!$1:$6</oldFormula>
  </rdn>
  <rcv guid="{78CA186D-B240-44D5-8A24-D241DE0B0FD9}" action="add"/>
</revisions>
</file>

<file path=xl/revisions/revisionLog161111.xml><?xml version="1.0" encoding="utf-8"?>
<revisions xmlns="http://schemas.openxmlformats.org/spreadsheetml/2006/main" xmlns:r="http://schemas.openxmlformats.org/officeDocument/2006/relationships">
  <rcc rId="40946" sId="4" xfDxf="1" dxf="1" numFmtId="11">
    <nc r="BO16">
      <v>2962</v>
    </nc>
    <ndxf>
      <font/>
      <numFmt numFmtId="165" formatCode="&quot;$&quot;#,##0"/>
    </ndxf>
  </rcc>
  <rcc rId="40947" sId="4" xfDxf="1" dxf="1" numFmtId="11">
    <nc r="BO18">
      <v>7814</v>
    </nc>
    <ndxf>
      <font/>
      <numFmt numFmtId="165" formatCode="&quot;$&quot;#,##0"/>
    </ndxf>
  </rcc>
  <rcc rId="40948" sId="4" xfDxf="1" dxf="1" numFmtId="11">
    <nc r="BO20">
      <v>970</v>
    </nc>
    <ndxf>
      <font/>
      <numFmt numFmtId="165" formatCode="&quot;$&quot;#,##0"/>
    </ndxf>
  </rcc>
  <rcc rId="40949" sId="4" xfDxf="1" dxf="1" numFmtId="11">
    <nc r="BO21">
      <v>19667</v>
    </nc>
    <ndxf>
      <font/>
      <numFmt numFmtId="165" formatCode="&quot;$&quot;#,##0"/>
    </ndxf>
  </rcc>
  <rcc rId="40950" sId="4" xfDxf="1" dxf="1" numFmtId="11">
    <nc r="BO35">
      <v>2496</v>
    </nc>
    <ndxf>
      <font/>
      <numFmt numFmtId="165" formatCode="&quot;$&quot;#,##0"/>
    </ndxf>
  </rcc>
  <rcc rId="40951" sId="4" xfDxf="1" dxf="1" numFmtId="11">
    <nc r="BO23">
      <v>8971</v>
    </nc>
    <ndxf>
      <font/>
      <numFmt numFmtId="165" formatCode="&quot;$&quot;#,##0"/>
    </ndxf>
  </rcc>
  <rcc rId="40952" sId="4" xfDxf="1" dxf="1" numFmtId="11">
    <nc r="BO24">
      <v>52142</v>
    </nc>
    <ndxf>
      <font/>
      <numFmt numFmtId="165" formatCode="&quot;$&quot;#,##0"/>
    </ndxf>
  </rcc>
  <rcc rId="40953" sId="4" xfDxf="1" dxf="1" numFmtId="11">
    <nc r="BO25">
      <v>251379</v>
    </nc>
    <ndxf>
      <font/>
      <numFmt numFmtId="165" formatCode="&quot;$&quot;#,##0"/>
    </ndxf>
  </rcc>
  <rcc rId="40954" sId="4" xfDxf="1" dxf="1" numFmtId="11">
    <nc r="BO26">
      <v>847</v>
    </nc>
    <ndxf>
      <font/>
      <numFmt numFmtId="165" formatCode="&quot;$&quot;#,##0"/>
    </ndxf>
  </rcc>
  <rcc rId="40955" sId="4" xfDxf="1" dxf="1" numFmtId="11">
    <nc r="BO27">
      <v>5836</v>
    </nc>
    <ndxf>
      <font/>
      <numFmt numFmtId="165" formatCode="&quot;$&quot;#,##0"/>
    </ndxf>
  </rcc>
  <rcc rId="40956" sId="4" xfDxf="1" dxf="1" numFmtId="11">
    <nc r="BO28">
      <v>1474</v>
    </nc>
    <ndxf>
      <font/>
      <numFmt numFmtId="165" formatCode="&quot;$&quot;#,##0"/>
    </ndxf>
  </rcc>
  <rcc rId="40957" sId="4" xfDxf="1" dxf="1" numFmtId="11">
    <nc r="BO29">
      <v>971</v>
    </nc>
    <ndxf>
      <font/>
      <numFmt numFmtId="165" formatCode="&quot;$&quot;#,##0"/>
    </ndxf>
  </rcc>
  <rcc rId="40958" sId="4" xfDxf="1" dxf="1" numFmtId="11">
    <nc r="BO30">
      <v>1383</v>
    </nc>
    <ndxf>
      <font/>
      <numFmt numFmtId="165" formatCode="&quot;$&quot;#,##0"/>
    </ndxf>
  </rcc>
  <rcc rId="40959" sId="4" xfDxf="1" dxf="1" numFmtId="11">
    <nc r="BO31">
      <v>408</v>
    </nc>
    <ndxf>
      <font/>
      <numFmt numFmtId="165" formatCode="&quot;$&quot;#,##0"/>
    </ndxf>
  </rcc>
  <rcc rId="40960" sId="4" xfDxf="1" dxf="1" numFmtId="11">
    <nc r="BO32">
      <v>59800</v>
    </nc>
    <ndxf>
      <font/>
      <numFmt numFmtId="165" formatCode="&quot;$&quot;#,##0"/>
    </ndxf>
  </rcc>
  <rrc rId="40961" sId="4" ref="A39:XFD39" action="insertRow">
    <undo index="24" exp="area" ref3D="1" dr="$BF$1:$BG$1048576" dn="Z_455630F5_40FC_47DB_8AD4_712C20B8FB91_.wvu.Cols" sId="4"/>
    <undo index="22" exp="area" ref3D="1" dr="$AY$1:$AZ$1048576" dn="Z_455630F5_40FC_47DB_8AD4_712C20B8FB91_.wvu.Cols" sId="4"/>
    <undo index="20" exp="area" ref3D="1" dr="$AV$1:$AW$1048576" dn="Z_455630F5_40FC_47DB_8AD4_712C20B8FB91_.wvu.Cols" sId="4"/>
    <undo index="18" exp="area" ref3D="1" dr="$AG$1:$AO$1048576" dn="Z_455630F5_40FC_47DB_8AD4_712C20B8FB91_.wvu.Cols" sId="4"/>
    <undo index="16" exp="area" ref3D="1" dr="$AB$1:$AE$1048576" dn="Z_455630F5_40FC_47DB_8AD4_712C20B8FB91_.wvu.Cols" sId="4"/>
    <undo index="14" exp="area" ref3D="1" dr="$Y$1:$Z$1048576" dn="Z_455630F5_40FC_47DB_8AD4_712C20B8FB91_.wvu.Cols" sId="4"/>
    <undo index="12" exp="area" ref3D="1" dr="$V$1:$W$1048576" dn="Z_455630F5_40FC_47DB_8AD4_712C20B8FB91_.wvu.Cols" sId="4"/>
    <undo index="10" exp="area" ref3D="1" dr="$S$1:$T$1048576" dn="Z_455630F5_40FC_47DB_8AD4_712C20B8FB91_.wvu.Cols" sId="4"/>
    <undo index="8" exp="area" ref3D="1" dr="$P$1:$Q$1048576" dn="Z_455630F5_40FC_47DB_8AD4_712C20B8FB91_.wvu.Cols" sId="4"/>
    <undo index="6" exp="area" ref3D="1" dr="$M$1:$N$1048576" dn="Z_455630F5_40FC_47DB_8AD4_712C20B8FB91_.wvu.Cols" sId="4"/>
    <undo index="4" exp="area" ref3D="1" dr="$J$1:$K$1048576" dn="Z_455630F5_40FC_47DB_8AD4_712C20B8FB91_.wvu.Cols" sId="4"/>
    <undo index="2" exp="area" ref3D="1" dr="$G$1:$H$1048576" dn="Z_455630F5_40FC_47DB_8AD4_712C20B8FB91_.wvu.Cols" sId="4"/>
    <undo index="1" exp="area" ref3D="1" dr="$D$1:$E$1048576" dn="Z_455630F5_40FC_47DB_8AD4_712C20B8FB91_.wvu.Cols" sId="4"/>
    <undo index="2" exp="area" ref3D="1" dr="$A$226:$XFD$240" dn="Z_455630F5_40FC_47DB_8AD4_712C20B8FB91_.wvu.Rows" sId="4"/>
    <undo index="2" exp="area" ref3D="1" dr="$A$226:$XFD$240" dn="Z_F784130D_F647_4ABA_8943_C79CA5B0FDC4_.wvu.Rows" sId="4"/>
    <undo index="2" exp="area" ref3D="1" dr="$A$226:$XFD$240" dn="Z_E44F5FE1_54FC_4AB3_84F9_7D65ACF2DDE7_.wvu.Rows" sId="4"/>
    <undo index="0" exp="area" ref3D="1" dr="$AV$1:$AW$1048576" dn="Z_E44F5FE1_54FC_4AB3_84F9_7D65ACF2DDE7_.wvu.Cols" sId="4"/>
    <undo index="2" exp="area" ref3D="1" dr="$A$226:$XFD$240" dn="Z_AEFEB150_9213_45F5_A178_7AC71E46DB11_.wvu.Rows" sId="4"/>
    <undo index="2" exp="area" ref3D="1" dr="$A$226:$XFD$240" dn="Z_9D4F0482_B164_4671_805A_E0D2D4DD4720_.wvu.Rows" sId="4"/>
    <undo index="0" exp="area" ref3D="1" dr="$AI$1:$AW$1048576" dn="Z_9D4F0482_B164_4671_805A_E0D2D4DD4720_.wvu.Cols" sId="4"/>
    <undo index="2" exp="area" ref3D="1" dr="$A$226:$XFD$240" dn="Z_94DA13B6_7351_40F3_8CF7_A4211EC439DA_.wvu.Rows" sId="4"/>
    <undo index="2" exp="area" ref3D="1" dr="$A$226:$XFD$240" dn="Z_8F508F4D_4777_42BE_9707_8CB9355F7BDB_.wvu.Rows" sId="4"/>
    <undo index="2" exp="area" ref3D="1" dr="$A$226:$XFD$240" dn="Z_78CA186D_B240_44D5_8A24_D241DE0B0FD9_.wvu.Rows" sId="4"/>
    <undo index="24" exp="area" ref3D="1" dr="$BF$1:$BG$1048576" dn="Z_78CA186D_B240_44D5_8A24_D241DE0B0FD9_.wvu.Cols" sId="4"/>
    <undo index="22" exp="area" ref3D="1" dr="$AY$1:$AZ$1048576" dn="Z_78CA186D_B240_44D5_8A24_D241DE0B0FD9_.wvu.Cols" sId="4"/>
    <undo index="20" exp="area" ref3D="1" dr="$AV$1:$AW$1048576" dn="Z_78CA186D_B240_44D5_8A24_D241DE0B0FD9_.wvu.Cols" sId="4"/>
    <undo index="18" exp="area" ref3D="1" dr="$AG$1:$AO$1048576" dn="Z_78CA186D_B240_44D5_8A24_D241DE0B0FD9_.wvu.Cols" sId="4"/>
    <undo index="16" exp="area" ref3D="1" dr="$AB$1:$AE$1048576" dn="Z_78CA186D_B240_44D5_8A24_D241DE0B0FD9_.wvu.Cols" sId="4"/>
    <undo index="14" exp="area" ref3D="1" dr="$Y$1:$Z$1048576" dn="Z_78CA186D_B240_44D5_8A24_D241DE0B0FD9_.wvu.Cols" sId="4"/>
    <undo index="12" exp="area" ref3D="1" dr="$V$1:$W$1048576" dn="Z_78CA186D_B240_44D5_8A24_D241DE0B0FD9_.wvu.Cols" sId="4"/>
    <undo index="10" exp="area" ref3D="1" dr="$S$1:$T$1048576" dn="Z_78CA186D_B240_44D5_8A24_D241DE0B0FD9_.wvu.Cols" sId="4"/>
    <undo index="8" exp="area" ref3D="1" dr="$P$1:$Q$1048576" dn="Z_78CA186D_B240_44D5_8A24_D241DE0B0FD9_.wvu.Cols" sId="4"/>
    <undo index="6" exp="area" ref3D="1" dr="$M$1:$N$1048576" dn="Z_78CA186D_B240_44D5_8A24_D241DE0B0FD9_.wvu.Cols" sId="4"/>
    <undo index="4" exp="area" ref3D="1" dr="$J$1:$K$1048576" dn="Z_78CA186D_B240_44D5_8A24_D241DE0B0FD9_.wvu.Cols" sId="4"/>
    <undo index="2" exp="area" ref3D="1" dr="$G$1:$H$1048576" dn="Z_78CA186D_B240_44D5_8A24_D241DE0B0FD9_.wvu.Cols" sId="4"/>
    <undo index="1" exp="area" ref3D="1" dr="$D$1:$E$1048576" dn="Z_78CA186D_B240_44D5_8A24_D241DE0B0FD9_.wvu.Cols" sId="4"/>
    <undo index="2" exp="area" ref3D="1" dr="$A$226:$XFD$240" dn="Z_567C3053_2D8E_4705_8DC7_18896C5303CA_.wvu.Rows" sId="4"/>
    <undo index="2" exp="area" ref3D="1" dr="$A$226:$XFD$240" dn="Z_1E5198E1_BA46_4CE0_8628_4F695B0D7A3B_.wvu.Rows" sId="4"/>
  </rrc>
  <rfmt sheetId="4" sqref="A39" start="0" length="0">
    <dxf>
      <font>
        <i val="0"/>
        <sz val="10"/>
        <color auto="1"/>
        <name val="Arial"/>
        <scheme val="none"/>
      </font>
    </dxf>
  </rfmt>
  <rcc rId="40962" sId="4" xfDxf="1" dxf="1">
    <nc r="A39" t="inlineStr">
      <is>
        <t>DC Board of Ethics and Government Accountability</t>
      </is>
    </nc>
    <ndxf>
      <font/>
    </ndxf>
  </rcc>
  <rrc rId="40963" sId="5" ref="A39:XFD39" action="insertRow">
    <undo index="4" exp="area" ref3D="1" dr="$BO$1:$BT$1048576" dn="Z_455630F5_40FC_47DB_8AD4_712C20B8FB91_.wvu.Cols" sId="5"/>
    <undo index="2" exp="area" ref3D="1" dr="$AI$1:$BK$1048576" dn="Z_455630F5_40FC_47DB_8AD4_712C20B8FB91_.wvu.Cols" sId="5"/>
    <undo index="1" exp="area" ref3D="1" dr="$AD$1:$AE$1048576" dn="Z_455630F5_40FC_47DB_8AD4_712C20B8FB91_.wvu.Cols" sId="5"/>
    <undo index="10" exp="area" ref3D="1" dr="$A$227:$XFD$241" dn="Z_455630F5_40FC_47DB_8AD4_712C20B8FB91_.wvu.Rows" sId="5"/>
    <undo index="8" exp="area" ref3D="1" dr="$A$163:$XFD$163" dn="Z_455630F5_40FC_47DB_8AD4_712C20B8FB91_.wvu.Rows" sId="5"/>
    <undo index="6" exp="area" ref3D="1" dr="$A$156:$XFD$156" dn="Z_455630F5_40FC_47DB_8AD4_712C20B8FB91_.wvu.Rows" sId="5"/>
    <undo index="4" exp="area" ref3D="1" dr="$A$227:$XFD$241" dn="Z_F784130D_F647_4ABA_8943_C79CA5B0FDC4_.wvu.Rows" sId="5"/>
    <undo index="2" exp="area" ref3D="1" dr="$A$163:$XFD$163" dn="Z_F784130D_F647_4ABA_8943_C79CA5B0FDC4_.wvu.Rows" sId="5"/>
    <undo index="2" exp="area" ref3D="1" dr="$AZ$1:$BH$1048576" dn="Z_F784130D_F647_4ABA_8943_C79CA5B0FDC4_.wvu.Cols" sId="5"/>
    <undo index="1" exp="area" ref3D="1" dr="$AJ$1:$AM$1048576" dn="Z_F784130D_F647_4ABA_8943_C79CA5B0FDC4_.wvu.Cols" sId="5"/>
    <undo index="2" exp="area" ref3D="1" dr="$A$227:$XFD$241" dn="Z_E44F5FE1_54FC_4AB3_84F9_7D65ACF2DDE7_.wvu.Rows" sId="5"/>
    <undo index="2" exp="area" ref3D="1" dr="$BO$1:$BT$1048576" dn="Z_E44F5FE1_54FC_4AB3_84F9_7D65ACF2DDE7_.wvu.Cols" sId="5"/>
    <undo index="1" exp="area" ref3D="1" dr="$AI$1:$BK$1048576" dn="Z_E44F5FE1_54FC_4AB3_84F9_7D65ACF2DDE7_.wvu.Cols" sId="5"/>
    <undo index="2" exp="area" ref3D="1" dr="$A$227:$XFD$241" dn="Z_AEFEB150_9213_45F5_A178_7AC71E46DB11_.wvu.Rows" sId="5"/>
    <undo index="0" exp="area" ref3D="1" dr="$AJ$1:$AM$1048576" dn="Z_AEFEB150_9213_45F5_A178_7AC71E46DB11_.wvu.Cols" sId="5"/>
    <undo index="12" exp="area" ref3D="1" dr="$A$227:$XFD$241" dn="Z_9D4F0482_B164_4671_805A_E0D2D4DD4720_.wvu.Rows" sId="5"/>
    <undo index="10" exp="area" ref3D="1" dr="$A$163:$XFD$163" dn="Z_9D4F0482_B164_4671_805A_E0D2D4DD4720_.wvu.Rows" sId="5"/>
    <undo index="8" exp="area" ref3D="1" dr="$A$156:$XFD$156" dn="Z_9D4F0482_B164_4671_805A_E0D2D4DD4720_.wvu.Rows" sId="5"/>
    <undo index="6" exp="area" ref3D="1" dr="$A$148:$XFD$148" dn="Z_9D4F0482_B164_4671_805A_E0D2D4DD4720_.wvu.Rows" sId="5"/>
    <undo index="2" exp="area" ref3D="1" dr="$AI$1:$BJ$1048576" dn="Z_9D4F0482_B164_4671_805A_E0D2D4DD4720_.wvu.Cols" sId="5"/>
    <undo index="1" exp="area" ref3D="1" dr="$AD$1:$AE$1048576" dn="Z_9D4F0482_B164_4671_805A_E0D2D4DD4720_.wvu.Cols" sId="5"/>
    <undo index="2" exp="area" ref3D="1" dr="$A$227:$XFD$241" dn="Z_94DA13B6_7351_40F3_8CF7_A4211EC439DA_.wvu.Rows" sId="5"/>
    <undo index="4" exp="area" ref3D="1" dr="$AP$1:$AS$1048576" dn="Z_94DA13B6_7351_40F3_8CF7_A4211EC439DA_.wvu.Cols" sId="5"/>
    <undo index="2" exp="area" ref3D="1" dr="$AJ$1:$AM$1048576" dn="Z_94DA13B6_7351_40F3_8CF7_A4211EC439DA_.wvu.Cols" sId="5"/>
    <undo index="1" exp="area" ref3D="1" dr="$V$1:$AB$1048576" dn="Z_94DA13B6_7351_40F3_8CF7_A4211EC439DA_.wvu.Cols" sId="5"/>
    <undo index="2" exp="area" ref3D="1" dr="$A$227:$XFD$241" dn="Z_8F508F4D_4777_42BE_9707_8CB9355F7BDB_.wvu.Rows" sId="5"/>
    <undo index="2" exp="area" ref3D="1" dr="$AJ$1:$AM$1048576" dn="Z_8F508F4D_4777_42BE_9707_8CB9355F7BDB_.wvu.Cols" sId="5"/>
    <undo index="1" exp="area" ref3D="1" dr="$V$1:$AB$1048576" dn="Z_8F508F4D_4777_42BE_9707_8CB9355F7BDB_.wvu.Cols" sId="5"/>
    <undo index="10" exp="area" ref3D="1" dr="$A$227:$XFD$241" dn="Z_78CA186D_B240_44D5_8A24_D241DE0B0FD9_.wvu.Rows" sId="5"/>
    <undo index="8" exp="area" ref3D="1" dr="$A$163:$XFD$163" dn="Z_78CA186D_B240_44D5_8A24_D241DE0B0FD9_.wvu.Rows" sId="5"/>
    <undo index="6" exp="area" ref3D="1" dr="$A$156:$XFD$156" dn="Z_78CA186D_B240_44D5_8A24_D241DE0B0FD9_.wvu.Rows" sId="5"/>
    <undo index="4" exp="area" ref3D="1" dr="$BO$1:$BT$1048576" dn="Z_78CA186D_B240_44D5_8A24_D241DE0B0FD9_.wvu.Cols" sId="5"/>
    <undo index="2" exp="area" ref3D="1" dr="$AI$1:$BK$1048576" dn="Z_78CA186D_B240_44D5_8A24_D241DE0B0FD9_.wvu.Cols" sId="5"/>
    <undo index="1" exp="area" ref3D="1" dr="$AD$1:$AE$1048576" dn="Z_78CA186D_B240_44D5_8A24_D241DE0B0FD9_.wvu.Cols" sId="5"/>
    <undo index="2" exp="area" ref3D="1" dr="$A$227:$XFD$241" dn="Z_567C3053_2D8E_4705_8DC7_18896C5303CA_.wvu.Rows" sId="5"/>
    <undo index="4" exp="area" ref3D="1" dr="$AP$1:$AS$1048576" dn="Z_567C3053_2D8E_4705_8DC7_18896C5303CA_.wvu.Cols" sId="5"/>
    <undo index="2" exp="area" ref3D="1" dr="$AJ$1:$AM$1048576" dn="Z_567C3053_2D8E_4705_8DC7_18896C5303CA_.wvu.Cols" sId="5"/>
    <undo index="1" exp="area" ref3D="1" dr="$V$1:$AB$1048576" dn="Z_567C3053_2D8E_4705_8DC7_18896C5303CA_.wvu.Cols" sId="5"/>
    <undo index="2" exp="area" ref3D="1" dr="$A$227:$XFD$241" dn="Z_1E5198E1_BA46_4CE0_8628_4F695B0D7A3B_.wvu.Rows" sId="5"/>
  </rrc>
  <rfmt sheetId="5" sqref="A39" start="0" length="0">
    <dxf>
      <font>
        <sz val="10"/>
        <color auto="1"/>
        <name val="Arial"/>
        <scheme val="none"/>
      </font>
    </dxf>
  </rfmt>
  <rcc rId="40964" sId="5" xfDxf="1" dxf="1">
    <nc r="A39" t="inlineStr">
      <is>
        <t>DC Board of Ethics and Government Accountability</t>
      </is>
    </nc>
    <ndxf>
      <font/>
    </ndxf>
  </rcc>
  <rcc rId="40965" sId="5">
    <oc r="BX41">
      <f>'FY 2013 by Agency'!BT42*Inflator!E16</f>
    </oc>
    <nc r="BX41">
      <f>'FY 2013 by Agency'!BT42*Inflator!E15</f>
    </nc>
  </rcc>
  <rcc rId="40966" sId="5">
    <nc r="BX39">
      <f>'FY 2013 by Agency'!BT39*Inflator!E15</f>
    </nc>
  </rcc>
  <rcc rId="40967" sId="5">
    <nc r="BY39">
      <f>BX39-BU39</f>
    </nc>
  </rcc>
  <rcc rId="40968" sId="5">
    <nc r="BY40">
      <f>BX40-BU40</f>
    </nc>
  </rcc>
  <rcc rId="40969" sId="5">
    <nc r="BZ39">
      <f>BY39/BU39</f>
    </nc>
  </rcc>
  <rcc rId="40970" sId="5">
    <nc r="BZ40">
      <f>BY40/BU40</f>
    </nc>
  </rcc>
  <rfmt sheetId="5" sqref="A39">
    <dxf>
      <fill>
        <patternFill patternType="solid">
          <bgColor rgb="FFFFFF00"/>
        </patternFill>
      </fill>
    </dxf>
  </rfmt>
  <rfmt sheetId="4" sqref="A39">
    <dxf>
      <fill>
        <patternFill patternType="solid">
          <bgColor rgb="FFFFFF00"/>
        </patternFill>
      </fill>
    </dxf>
  </rfmt>
  <rcv guid="{455630F5-40FC-47DB-8AD4-712C20B8FB91}" action="delete"/>
  <rdn rId="0" localSheetId="2" customView="1" name="Z_455630F5_40FC_47DB_8AD4_712C20B8FB91_.wvu.Cols" hidden="1" oldHidden="1">
    <formula>'FY2013 by Approp Title'!$AA:$AA</formula>
    <oldFormula>'FY2013 by Approp Title'!$AA:$AA</oldFormula>
  </rdn>
  <rdn rId="0" localSheetId="3" customView="1" name="Z_455630F5_40FC_47DB_8AD4_712C20B8FB91_.wvu.Cols" hidden="1" oldHidden="1">
    <formula>'FY2013 By Approp Title-Adj'!$AA:$AA</formula>
    <oldFormula>'FY2013 By Approp Title-Adj'!$AA:$AA</oldFormula>
  </rdn>
  <rdn rId="0" localSheetId="4" customView="1" name="Z_455630F5_40FC_47DB_8AD4_712C20B8FB91_.wvu.Rows" hidden="1" oldHidden="1">
    <formula>'FY 2013 by Agency'!$1:$3,'FY 2013 by Agency'!$227:$241</formula>
    <oldFormula>'FY 2013 by Agency'!$1:$3,'FY 2013 by Agency'!$227:$241</oldFormula>
  </rdn>
  <rdn rId="0" localSheetId="4" customView="1" name="Z_455630F5_40FC_47DB_8AD4_712C20B8FB91_.wvu.Cols" hidden="1" oldHidden="1">
    <formula>'FY 2013 by Agency'!$D:$E,'FY 2013 by Agency'!$G:$H,'FY 2013 by Agency'!$J:$K,'FY 2013 by Agency'!$M:$N,'FY 2013 by Agency'!$P:$Q,'FY 2013 by Agency'!$S:$T,'FY 2013 by Agency'!$V:$W,'FY 2013 by Agency'!$Y:$Z,'FY 2013 by Agency'!$AB:$AE,'FY 2013 by Agency'!$AG:$AO,'FY 2013 by Agency'!$AV:$AW,'FY 2013 by Agency'!$AY:$AZ,'FY 2013 by Agency'!$BF:$BG</formula>
    <oldFormula>'FY 2013 by Agency'!$D:$E,'FY 2013 by Agency'!$G:$H,'FY 2013 by Agency'!$J:$K,'FY 2013 by Agency'!$M:$N,'FY 2013 by Agency'!$P:$Q,'FY 2013 by Agency'!$S:$T,'FY 2013 by Agency'!$V:$W,'FY 2013 by Agency'!$Y:$Z,'FY 2013 by Agency'!$AB:$AE,'FY 2013 by Agency'!$AG:$AO,'FY 2013 by Agency'!$AV:$AW,'FY 2013 by Agency'!$AY:$AZ,'FY 2013 by Agency'!$BF:$BG</oldFormula>
  </rdn>
  <rdn rId="0" localSheetId="5" customView="1" name="Z_455630F5_40FC_47DB_8AD4_712C20B8FB91_.wvu.Rows" hidden="1" oldHidden="1">
    <formula>'FY 2013 by Agency-Adj'!$1:$3,'FY 2013 by Agency-Adj'!$14:$14,'FY 2013 by Agency-Adj'!$19:$19,'FY 2013 by Agency-Adj'!$157:$157,'FY 2013 by Agency-Adj'!$164:$164,'FY 2013 by Agency-Adj'!$228:$242</formula>
    <oldFormula>'FY 2013 by Agency-Adj'!$1:$3,'FY 2013 by Agency-Adj'!$14:$14,'FY 2013 by Agency-Adj'!$19:$19,'FY 2013 by Agency-Adj'!$157:$157,'FY 2013 by Agency-Adj'!$164:$164,'FY 2013 by Agency-Adj'!$228:$242</oldFormula>
  </rdn>
  <rdn rId="0" localSheetId="5" customView="1" name="Z_455630F5_40FC_47DB_8AD4_712C20B8FB91_.wvu.Cols" hidden="1" oldHidden="1">
    <formula>'FY 2013 by Agency-Adj'!$AD:$AE,'FY 2013 by Agency-Adj'!$AI:$BK,'FY 2013 by Agency-Adj'!$BO:$BT</formula>
    <oldFormula>'FY 2013 by Agency-Adj'!$AD:$AE,'FY 2013 by Agency-Adj'!$AI:$BK,'FY 2013 by Agency-Adj'!$BO:$BT</oldFormula>
  </rdn>
  <rdn rId="0" localSheetId="8" customView="1" name="Z_455630F5_40FC_47DB_8AD4_712C20B8FB91_.wvu.Rows" hidden="1" oldHidden="1">
    <formula>'Sheet 4'!$1:$6</formula>
    <oldFormula>'Sheet 4'!$1:$6</oldFormula>
  </rdn>
  <rcv guid="{455630F5-40FC-47DB-8AD4-712C20B8FB91}" action="add"/>
</revisions>
</file>

<file path=xl/revisions/revisionLog1611111.xml><?xml version="1.0" encoding="utf-8"?>
<revisions xmlns="http://schemas.openxmlformats.org/spreadsheetml/2006/main" xmlns:r="http://schemas.openxmlformats.org/officeDocument/2006/relationships">
  <rcc rId="40931" sId="4" xfDxf="1" dxf="1" numFmtId="11">
    <nc r="BO10">
      <v>8435</v>
    </nc>
    <ndxf>
      <font/>
      <numFmt numFmtId="165" formatCode="&quot;$&quot;#,##0"/>
    </ndxf>
  </rcc>
  <rcc rId="40932" sId="4" numFmtId="11">
    <nc r="BO11">
      <v>0</v>
    </nc>
  </rcc>
  <rcc rId="40933" sId="4" numFmtId="11">
    <nc r="BO12">
      <v>0</v>
    </nc>
  </rcc>
  <rcc rId="40934" sId="4" xfDxf="1" dxf="1" numFmtId="11">
    <nc r="BO13">
      <v>3246</v>
    </nc>
    <ndxf>
      <font/>
      <numFmt numFmtId="165" formatCode="&quot;$&quot;#,##0"/>
    </ndxf>
  </rcc>
  <rcc rId="40935" sId="4" odxf="1" dxf="1">
    <nc r="A44" t="inlineStr">
      <is>
        <t>^absorbed into Mayor's office 2013</t>
      </is>
    </nc>
    <odxf>
      <font>
        <b/>
      </font>
    </odxf>
    <ndxf>
      <font>
        <b val="0"/>
      </font>
    </ndxf>
  </rcc>
  <rfmt sheetId="4" sqref="A44">
    <dxf>
      <font>
        <b/>
        <i val="0"/>
        <strike val="0"/>
        <condense val="0"/>
        <extend val="0"/>
        <outline val="0"/>
        <shadow val="0"/>
        <u val="none"/>
        <vertAlign val="baseline"/>
        <sz val="10"/>
        <color auto="1"/>
        <name val="Arial"/>
        <scheme val="none"/>
      </font>
      <fill>
        <patternFill patternType="none">
          <fgColor indexed="64"/>
          <bgColor indexed="65"/>
        </patternFill>
      </fill>
      <border diagonalUp="0" diagonalDown="0" outline="0">
        <left/>
        <right/>
        <top/>
        <bottom/>
      </border>
    </dxf>
  </rfmt>
  <rcc rId="40936" sId="4" odxf="1" dxf="1">
    <oc r="A11" t="inlineStr">
      <is>
        <t>Office of the Community Affairs</t>
      </is>
    </oc>
    <nc r="A11" t="inlineStr">
      <is>
        <t>Office of the Community Affairs^</t>
      </is>
    </nc>
    <odxf>
      <font/>
    </odxf>
    <ndxf>
      <font/>
    </ndxf>
  </rcc>
  <rcc rId="40937" sId="4" odxf="1" dxf="1">
    <oc r="A12" t="inlineStr">
      <is>
        <t>Serve DC</t>
      </is>
    </oc>
    <nc r="A12" t="inlineStr">
      <is>
        <t>Serve DC^</t>
      </is>
    </nc>
    <odxf>
      <font/>
    </odxf>
    <ndxf>
      <font/>
    </ndxf>
  </rcc>
  <rcc rId="40938" sId="4" xfDxf="1" dxf="1" numFmtId="11">
    <nc r="BO15">
      <v>3351</v>
    </nc>
    <ndxf>
      <font/>
      <numFmt numFmtId="165" formatCode="&quot;$&quot;#,##0"/>
    </ndxf>
  </rcc>
  <rcv guid="{455630F5-40FC-47DB-8AD4-712C20B8FB91}" action="delete"/>
  <rdn rId="0" localSheetId="2" customView="1" name="Z_455630F5_40FC_47DB_8AD4_712C20B8FB91_.wvu.Cols" hidden="1" oldHidden="1">
    <formula>'FY2013 by Approp Title'!$AA:$AA</formula>
    <oldFormula>'FY2013 by Approp Title'!$AA:$AA</oldFormula>
  </rdn>
  <rdn rId="0" localSheetId="3" customView="1" name="Z_455630F5_40FC_47DB_8AD4_712C20B8FB91_.wvu.Cols" hidden="1" oldHidden="1">
    <formula>'FY2013 By Approp Title-Adj'!$AA:$AA</formula>
    <oldFormula>'FY2013 By Approp Title-Adj'!$AA:$AA</oldFormula>
  </rdn>
  <rdn rId="0" localSheetId="4" customView="1" name="Z_455630F5_40FC_47DB_8AD4_712C20B8FB91_.wvu.Rows" hidden="1" oldHidden="1">
    <formula>'FY 2013 by Agency'!$1:$3,'FY 2013 by Agency'!$226:$240</formula>
    <oldFormula>'FY 2013 by Agency'!$1:$3,'FY 2013 by Agency'!$226:$240</oldFormula>
  </rdn>
  <rdn rId="0" localSheetId="4" customView="1" name="Z_455630F5_40FC_47DB_8AD4_712C20B8FB91_.wvu.Cols" hidden="1" oldHidden="1">
    <formula>'FY 2013 by Agency'!$D:$E,'FY 2013 by Agency'!$G:$H,'FY 2013 by Agency'!$J:$K,'FY 2013 by Agency'!$M:$N,'FY 2013 by Agency'!$P:$Q,'FY 2013 by Agency'!$S:$T,'FY 2013 by Agency'!$V:$W,'FY 2013 by Agency'!$Y:$Z,'FY 2013 by Agency'!$AB:$AE,'FY 2013 by Agency'!$AG:$AO,'FY 2013 by Agency'!$AV:$AW,'FY 2013 by Agency'!$AY:$AZ,'FY 2013 by Agency'!$BF:$BG</formula>
    <oldFormula>'FY 2013 by Agency'!$D:$E,'FY 2013 by Agency'!$G:$H,'FY 2013 by Agency'!$J:$K,'FY 2013 by Agency'!$M:$N,'FY 2013 by Agency'!$P:$Q,'FY 2013 by Agency'!$S:$T,'FY 2013 by Agency'!$V:$W,'FY 2013 by Agency'!$Y:$Z,'FY 2013 by Agency'!$AB:$AE,'FY 2013 by Agency'!$AG:$AO,'FY 2013 by Agency'!$AV:$AW,'FY 2013 by Agency'!$AY:$AZ,'FY 2013 by Agency'!$BF:$BG</oldFormula>
  </rdn>
  <rdn rId="0" localSheetId="5" customView="1" name="Z_455630F5_40FC_47DB_8AD4_712C20B8FB91_.wvu.Rows" hidden="1" oldHidden="1">
    <formula>'FY 2013 by Agency-Adj'!$1:$3,'FY 2013 by Agency-Adj'!$14:$14,'FY 2013 by Agency-Adj'!$19:$19,'FY 2013 by Agency-Adj'!$156:$156,'FY 2013 by Agency-Adj'!$163:$163,'FY 2013 by Agency-Adj'!$227:$241</formula>
    <oldFormula>'FY 2013 by Agency-Adj'!$1:$3,'FY 2013 by Agency-Adj'!$14:$14,'FY 2013 by Agency-Adj'!$19:$19,'FY 2013 by Agency-Adj'!$156:$156,'FY 2013 by Agency-Adj'!$163:$163,'FY 2013 by Agency-Adj'!$227:$241</oldFormula>
  </rdn>
  <rdn rId="0" localSheetId="5" customView="1" name="Z_455630F5_40FC_47DB_8AD4_712C20B8FB91_.wvu.Cols" hidden="1" oldHidden="1">
    <formula>'FY 2013 by Agency-Adj'!$AD:$AE,'FY 2013 by Agency-Adj'!$AI:$BK,'FY 2013 by Agency-Adj'!$BO:$BT</formula>
    <oldFormula>'FY 2013 by Agency-Adj'!$AD:$AE,'FY 2013 by Agency-Adj'!$AI:$BK,'FY 2013 by Agency-Adj'!$BO:$BT</oldFormula>
  </rdn>
  <rdn rId="0" localSheetId="8" customView="1" name="Z_455630F5_40FC_47DB_8AD4_712C20B8FB91_.wvu.Rows" hidden="1" oldHidden="1">
    <formula>'Sheet 4'!$1:$6</formula>
    <oldFormula>'Sheet 4'!$1:$6</oldFormula>
  </rdn>
  <rcv guid="{455630F5-40FC-47DB-8AD4-712C20B8FB91}" action="add"/>
</revisions>
</file>

<file path=xl/revisions/revisionLog16112.xml><?xml version="1.0" encoding="utf-8"?>
<revisions xmlns="http://schemas.openxmlformats.org/spreadsheetml/2006/main" xmlns:r="http://schemas.openxmlformats.org/officeDocument/2006/relationships">
  <rcc rId="41010" sId="4" numFmtId="4">
    <nc r="BO51">
      <v>19527</v>
    </nc>
  </rcc>
  <rfmt sheetId="4" sqref="BO1:BO1048576">
    <dxf>
      <numFmt numFmtId="165" formatCode="&quot;$&quot;#,##0"/>
    </dxf>
  </rfmt>
  <rcc rId="41011" sId="4" numFmtId="11">
    <nc r="BO52">
      <v>6389</v>
    </nc>
  </rcc>
  <rcc rId="41012" sId="4" numFmtId="11">
    <nc r="BO53">
      <v>5276</v>
    </nc>
  </rcc>
  <rcc rId="41013" sId="4" numFmtId="11">
    <nc r="BO54">
      <v>869</v>
    </nc>
  </rcc>
  <rcc rId="41014" sId="4" numFmtId="11">
    <nc r="BO55">
      <v>2596</v>
    </nc>
  </rcc>
  <rcc rId="41015" sId="4" numFmtId="11">
    <nc r="BO56">
      <v>14784</v>
    </nc>
  </rcc>
  <rcc rId="41016" sId="4" numFmtId="11">
    <nc r="BO58">
      <v>78332</v>
    </nc>
  </rcc>
  <rcc rId="41017" sId="4" numFmtId="11">
    <nc r="BO60">
      <v>1663</v>
    </nc>
  </rcc>
  <rcc rId="41018" sId="4" numFmtId="11">
    <nc r="BO61">
      <v>33149</v>
    </nc>
  </rcc>
  <rcc rId="41019" sId="4" numFmtId="11">
    <nc r="BO62">
      <v>1961</v>
    </nc>
  </rcc>
  <rcc rId="41020" sId="4" numFmtId="11">
    <nc r="BO63">
      <v>4390</v>
    </nc>
  </rcc>
  <rcc rId="41021" sId="4" numFmtId="11">
    <nc r="BO64">
      <v>6835</v>
    </nc>
  </rcc>
  <rcc rId="41022" sId="4" numFmtId="11">
    <nc r="BO66">
      <v>10360</v>
    </nc>
  </rcc>
  <rcc rId="41023" sId="4" numFmtId="11">
    <nc r="BO67">
      <v>6116</v>
    </nc>
  </rcc>
  <rcc rId="41024" sId="4" numFmtId="11">
    <nc r="BO68">
      <v>17868</v>
    </nc>
  </rcc>
  <rcc rId="41025" sId="4" numFmtId="11">
    <nc r="BO69">
      <v>8592</v>
    </nc>
  </rcc>
  <rcc rId="41026" sId="4" numFmtId="11">
    <nc r="BO57">
      <v>30182</v>
    </nc>
  </rcc>
  <rcc rId="41027" sId="4" numFmtId="11">
    <nc r="BO71">
      <v>0</v>
    </nc>
  </rcc>
  <rcc rId="41028" sId="4" numFmtId="11">
    <nc r="BO72">
      <v>0</v>
    </nc>
  </rcc>
  <rcc rId="41029" sId="4" numFmtId="11">
    <nc r="BO73">
      <v>23000</v>
    </nc>
  </rcc>
  <rdn rId="0" localSheetId="6" customView="1" name="Z_9D4F0482_B164_4671_805A_E0D2D4DD4720_.wvu.Rows" hidden="1" oldHidden="1">
    <oldFormula>'Sheet 5'!#REF!,'Sheet 5'!#REF!</oldFormula>
  </rdn>
  <rdn rId="0" localSheetId="7" customView="1" name="Z_9D4F0482_B164_4671_805A_E0D2D4DD4720_.wvu.Rows" hidden="1" oldHidden="1">
    <oldFormula>'Sheet 6'!#REF!</oldFormula>
  </rdn>
  <rcv guid="{9D4F0482-B164-4671-805A-E0D2D4DD4720}" action="delete"/>
  <rdn rId="0" localSheetId="2" customView="1" name="Z_9D4F0482_B164_4671_805A_E0D2D4DD4720_.wvu.Cols" hidden="1" oldHidden="1">
    <formula>'FY2013 by Approp Title'!$AA:$AA</formula>
    <oldFormula>'FY2013 by Approp Title'!$AA:$AA</oldFormula>
  </rdn>
  <rdn rId="0" localSheetId="3" customView="1" name="Z_9D4F0482_B164_4671_805A_E0D2D4DD4720_.wvu.Cols" hidden="1" oldHidden="1">
    <formula>'FY2013 By Approp Title-Adj'!$AA:$AA</formula>
    <oldFormula>'FY2013 By Approp Title-Adj'!$AA:$AA</oldFormula>
  </rdn>
  <rdn rId="0" localSheetId="4" customView="1" name="Z_9D4F0482_B164_4671_805A_E0D2D4DD4720_.wvu.Rows" hidden="1" oldHidden="1">
    <formula>'FY 2013 by Agency'!$1:$3,'FY 2013 by Agency'!$226:$240</formula>
    <oldFormula>'FY 2013 by Agency'!$1:$3,'FY 2013 by Agency'!$226:$240</oldFormula>
  </rdn>
  <rdn rId="0" localSheetId="4" customView="1" name="Z_9D4F0482_B164_4671_805A_E0D2D4DD4720_.wvu.Cols" hidden="1" oldHidden="1">
    <formula>'FY 2013 by Agency'!$AI:$AW</formula>
    <oldFormula>'FY 2013 by Agency'!$AI:$AW</oldFormula>
  </rdn>
  <rdn rId="0" localSheetId="5" customView="1" name="Z_9D4F0482_B164_4671_805A_E0D2D4DD4720_.wvu.Rows" hidden="1" oldHidden="1">
    <formula>'FY 2013 by Agency-Adj'!$1:$3,'FY 2013 by Agency-Adj'!$14:$14,'FY 2013 by Agency-Adj'!$19:$19,'FY 2013 by Agency-Adj'!$148:$148,'FY 2013 by Agency-Adj'!$156:$156,'FY 2013 by Agency-Adj'!$163:$163,'FY 2013 by Agency-Adj'!$227:$241</formula>
    <oldFormula>'FY 2013 by Agency-Adj'!$1:$3,'FY 2013 by Agency-Adj'!$14:$14,'FY 2013 by Agency-Adj'!$19:$19,'FY 2013 by Agency-Adj'!$148:$148,'FY 2013 by Agency-Adj'!$156:$156,'FY 2013 by Agency-Adj'!$163:$163,'FY 2013 by Agency-Adj'!$227:$241</oldFormula>
  </rdn>
  <rdn rId="0" localSheetId="5" customView="1" name="Z_9D4F0482_B164_4671_805A_E0D2D4DD4720_.wvu.Cols" hidden="1" oldHidden="1">
    <formula>'FY 2013 by Agency-Adj'!$AD:$AE,'FY 2013 by Agency-Adj'!$AI:$BJ</formula>
    <oldFormula>'FY 2013 by Agency-Adj'!$AD:$AE,'FY 2013 by Agency-Adj'!$AI:$BJ</oldFormula>
  </rdn>
  <rdn rId="0" localSheetId="8" customView="1" name="Z_9D4F0482_B164_4671_805A_E0D2D4DD4720_.wvu.Rows" hidden="1" oldHidden="1">
    <formula>'Sheet 4'!$1:$6</formula>
    <oldFormula>'Sheet 4'!$1:$6</oldFormula>
  </rdn>
  <rcv guid="{9D4F0482-B164-4671-805A-E0D2D4DD4720}" action="add"/>
</revisions>
</file>

<file path=xl/revisions/revisionLog1612.xml><?xml version="1.0" encoding="utf-8"?>
<revisions xmlns="http://schemas.openxmlformats.org/spreadsheetml/2006/main" xmlns:r="http://schemas.openxmlformats.org/officeDocument/2006/relationships">
  <rcv guid="{455630F5-40FC-47DB-8AD4-712C20B8FB91}" action="delete"/>
  <rdn rId="0" localSheetId="2" customView="1" name="Z_455630F5_40FC_47DB_8AD4_712C20B8FB91_.wvu.Cols" hidden="1" oldHidden="1">
    <formula>'FY2013 by Approp Title'!$AA:$AA</formula>
    <oldFormula>'FY2013 by Approp Title'!$AA:$AA</oldFormula>
  </rdn>
  <rdn rId="0" localSheetId="3" customView="1" name="Z_455630F5_40FC_47DB_8AD4_712C20B8FB91_.wvu.Cols" hidden="1" oldHidden="1">
    <formula>'FY2013 By Approp Title-Adj'!$AA:$AA</formula>
    <oldFormula>'FY2013 By Approp Title-Adj'!$AA:$AA</oldFormula>
  </rdn>
  <rdn rId="0" localSheetId="4" customView="1" name="Z_455630F5_40FC_47DB_8AD4_712C20B8FB91_.wvu.Rows" hidden="1" oldHidden="1">
    <formula>'FY 2013 by Agency'!$1:$3,'FY 2013 by Agency'!$226:$240</formula>
    <oldFormula>'FY 2013 by Agency'!$1:$3,'FY 2013 by Agency'!$226:$240</oldFormula>
  </rdn>
  <rdn rId="0" localSheetId="4" customView="1" name="Z_455630F5_40FC_47DB_8AD4_712C20B8FB91_.wvu.Cols" hidden="1" oldHidden="1">
    <formula>'FY 2013 by Agency'!$D:$E,'FY 2013 by Agency'!$G:$H,'FY 2013 by Agency'!$J:$K,'FY 2013 by Agency'!$M:$N,'FY 2013 by Agency'!$P:$Q,'FY 2013 by Agency'!$S:$T,'FY 2013 by Agency'!$V:$W,'FY 2013 by Agency'!$Y:$Z,'FY 2013 by Agency'!$AB:$AE,'FY 2013 by Agency'!$AG:$AO,'FY 2013 by Agency'!$AV:$AW,'FY 2013 by Agency'!$AY:$AZ,'FY 2013 by Agency'!$BF:$BG</formula>
    <oldFormula>'FY 2013 by Agency'!$D:$E,'FY 2013 by Agency'!$G:$H,'FY 2013 by Agency'!$J:$K,'FY 2013 by Agency'!$M:$N,'FY 2013 by Agency'!$P:$Q,'FY 2013 by Agency'!$S:$T,'FY 2013 by Agency'!$V:$W,'FY 2013 by Agency'!$Y:$Z,'FY 2013 by Agency'!$AB:$AE,'FY 2013 by Agency'!$AG:$AO,'FY 2013 by Agency'!$AV:$AW,'FY 2013 by Agency'!$AY:$AZ,'FY 2013 by Agency'!$BF:$BG</oldFormula>
  </rdn>
  <rdn rId="0" localSheetId="5" customView="1" name="Z_455630F5_40FC_47DB_8AD4_712C20B8FB91_.wvu.Rows" hidden="1" oldHidden="1">
    <formula>'FY 2013 by Agency-Adj'!$1:$3,'FY 2013 by Agency-Adj'!$14:$14,'FY 2013 by Agency-Adj'!$19:$19,'FY 2013 by Agency-Adj'!$156:$156,'FY 2013 by Agency-Adj'!$163:$163,'FY 2013 by Agency-Adj'!$227:$241</formula>
    <oldFormula>'FY 2013 by Agency-Adj'!$1:$3,'FY 2013 by Agency-Adj'!$14:$14,'FY 2013 by Agency-Adj'!$19:$19,'FY 2013 by Agency-Adj'!$156:$156,'FY 2013 by Agency-Adj'!$163:$163,'FY 2013 by Agency-Adj'!$227:$241</oldFormula>
  </rdn>
  <rdn rId="0" localSheetId="5" customView="1" name="Z_455630F5_40FC_47DB_8AD4_712C20B8FB91_.wvu.Cols" hidden="1" oldHidden="1">
    <formula>'FY 2013 by Agency-Adj'!$AD:$AE,'FY 2013 by Agency-Adj'!$AI:$BK,'FY 2013 by Agency-Adj'!$BO:$BT</formula>
    <oldFormula>'FY 2013 by Agency-Adj'!$AD:$AE,'FY 2013 by Agency-Adj'!$AI:$BK,'FY 2013 by Agency-Adj'!$BO:$BT</oldFormula>
  </rdn>
  <rdn rId="0" localSheetId="8" customView="1" name="Z_455630F5_40FC_47DB_8AD4_712C20B8FB91_.wvu.Rows" hidden="1" oldHidden="1">
    <formula>'Sheet 4'!$1:$6</formula>
    <oldFormula>'Sheet 4'!$1:$6</oldFormula>
  </rdn>
  <rcv guid="{455630F5-40FC-47DB-8AD4-712C20B8FB91}" action="add"/>
</revisions>
</file>

<file path=xl/revisions/revisionLog162.xml><?xml version="1.0" encoding="utf-8"?>
<revisions xmlns="http://schemas.openxmlformats.org/spreadsheetml/2006/main" xmlns:r="http://schemas.openxmlformats.org/officeDocument/2006/relationships">
  <rcc rId="41622" sId="4" numFmtId="11">
    <nc r="BP85">
      <v>24639</v>
    </nc>
  </rcc>
  <rcc rId="41623" sId="4" numFmtId="11">
    <nc r="BP86">
      <v>7792</v>
    </nc>
  </rcc>
  <rcc rId="41624" sId="4" numFmtId="11">
    <nc r="BP94">
      <v>630</v>
    </nc>
  </rcc>
  <rcc rId="41625" sId="4" numFmtId="11">
    <nc r="BP99">
      <v>38</v>
    </nc>
  </rcc>
  <rcc rId="41626" sId="4" numFmtId="11">
    <nc r="BP89">
      <v>1834</v>
    </nc>
  </rcc>
  <rcc rId="41627" sId="4" numFmtId="11">
    <nc r="BP88">
      <v>3968</v>
    </nc>
  </rcc>
  <rcc rId="41628" sId="4" numFmtId="11">
    <nc r="BP97">
      <v>469</v>
    </nc>
  </rcc>
  <rcc rId="41629" sId="4" numFmtId="11">
    <nc r="BP96">
      <v>3069</v>
    </nc>
  </rcc>
  <rcc rId="41630" sId="4" numFmtId="11">
    <nc r="BP95">
      <v>27</v>
    </nc>
  </rcc>
  <rcc rId="41631" sId="4" numFmtId="11">
    <nc r="BP90">
      <v>1316</v>
    </nc>
  </rcc>
  <rcc rId="41632" sId="4" numFmtId="11">
    <nc r="BP104">
      <v>5698</v>
    </nc>
  </rcc>
  <rcc rId="41633" sId="4">
    <nc r="BS90">
      <v>1</v>
    </nc>
  </rcc>
  <rcc rId="41634" sId="4">
    <nc r="BS85">
      <v>30</v>
    </nc>
  </rcc>
  <rcc rId="41635" sId="4">
    <nc r="BS86">
      <v>4</v>
    </nc>
  </rcc>
  <rcc rId="41636" sId="4">
    <nc r="BS102">
      <v>0</v>
    </nc>
  </rcc>
  <rcc rId="41637" sId="4">
    <nc r="BS94">
      <v>0</v>
    </nc>
  </rcc>
  <rcc rId="41638" sId="4">
    <nc r="BS99">
      <v>0</v>
    </nc>
  </rcc>
  <rcc rId="41639" sId="4">
    <nc r="BS89">
      <v>0</v>
    </nc>
  </rcc>
  <rcc rId="41640" sId="4">
    <nc r="BS88">
      <v>1</v>
    </nc>
  </rcc>
  <rcc rId="41641" sId="4">
    <nc r="BS103">
      <v>0</v>
    </nc>
  </rcc>
  <rcc rId="41642" sId="4">
    <nc r="BS97">
      <v>0</v>
    </nc>
  </rcc>
  <rcc rId="41643" sId="4">
    <nc r="BS96">
      <v>0</v>
    </nc>
  </rcc>
  <rcc rId="41644" sId="4">
    <nc r="BS95">
      <v>0</v>
    </nc>
  </rcc>
  <rcc rId="41645" sId="4">
    <nc r="BS104">
      <v>6</v>
    </nc>
  </rcc>
  <rfmt sheetId="4" sqref="BS104">
    <dxf>
      <font>
        <b val="0"/>
        <i val="0"/>
        <strike val="0"/>
        <condense val="0"/>
        <extend val="0"/>
        <outline val="0"/>
        <shadow val="0"/>
        <u val="none"/>
        <vertAlign val="baseline"/>
        <sz val="10"/>
        <color auto="1"/>
        <name val="Arial"/>
        <scheme val="none"/>
      </font>
    </dxf>
  </rfmt>
  <rcv guid="{E81D05A4-5B21-42D3-A8D3-906ABCABC0F4}" action="delete"/>
  <rdn rId="0" localSheetId="2" customView="1" name="Z_E81D05A4_5B21_42D3_A8D3_906ABCABC0F4_.wvu.Cols" hidden="1" oldHidden="1">
    <formula>'FY2013 by Approp Title'!$AA:$AA</formula>
    <oldFormula>'FY2013 by Approp Title'!$AA:$AA</oldFormula>
  </rdn>
  <rdn rId="0" localSheetId="3" customView="1" name="Z_E81D05A4_5B21_42D3_A8D3_906ABCABC0F4_.wvu.Cols" hidden="1" oldHidden="1">
    <formula>'FY2013 By Approp Title-Adj'!$AA:$AA</formula>
    <oldFormula>'FY2013 By Approp Title-Adj'!$AA:$AA</oldFormula>
  </rdn>
  <rdn rId="0" localSheetId="4" customView="1" name="Z_E81D05A4_5B21_42D3_A8D3_906ABCABC0F4_.wvu.Rows" hidden="1" oldHidden="1">
    <formula>'FY 2013 by Agency'!$1:$3,'FY 2013 by Agency'!$226:$240</formula>
    <oldFormula>'FY 2013 by Agency'!$1:$3,'FY 2013 by Agency'!$226:$240</oldFormula>
  </rdn>
  <rdn rId="0" localSheetId="4" customView="1" name="Z_E81D05A4_5B21_42D3_A8D3_906ABCABC0F4_.wvu.Cols" hidden="1" oldHidden="1">
    <formula>'FY 2013 by Agency'!$D:$E,'FY 2013 by Agency'!$G:$H,'FY 2013 by Agency'!$J:$K,'FY 2013 by Agency'!$M:$N,'FY 2013 by Agency'!$P:$Q,'FY 2013 by Agency'!$S:$T,'FY 2013 by Agency'!$V:$W,'FY 2013 by Agency'!$Y:$Z,'FY 2013 by Agency'!$AB:$AE,'FY 2013 by Agency'!$AV:$AW,'FY 2013 by Agency'!$AY:$AZ,'FY 2013 by Agency'!$BF:$BG,'FY 2013 by Agency'!$BM:$BN</formula>
    <oldFormula>'FY 2013 by Agency'!$D:$E,'FY 2013 by Agency'!$G:$H,'FY 2013 by Agency'!$J:$K,'FY 2013 by Agency'!$M:$N,'FY 2013 by Agency'!$P:$Q,'FY 2013 by Agency'!$S:$T,'FY 2013 by Agency'!$V:$W,'FY 2013 by Agency'!$Y:$Z,'FY 2013 by Agency'!$AB:$AE,'FY 2013 by Agency'!$AV:$AW,'FY 2013 by Agency'!$AY:$AZ,'FY 2013 by Agency'!$BF:$BG,'FY 2013 by Agency'!$BM:$BN</oldFormula>
  </rdn>
  <rdn rId="0" localSheetId="5" customView="1" name="Z_E81D05A4_5B21_42D3_A8D3_906ABCABC0F4_.wvu.Rows" hidden="1" oldHidden="1">
    <formula>'FY 2013 by Agency-Adj'!$1:$3,'FY 2013 by Agency-Adj'!$14:$14,'FY 2013 by Agency-Adj'!$19:$19,'FY 2013 by Agency-Adj'!$156:$156,'FY 2013 by Agency-Adj'!$163:$163,'FY 2013 by Agency-Adj'!$227:$241</formula>
    <oldFormula>'FY 2013 by Agency-Adj'!$1:$3,'FY 2013 by Agency-Adj'!$14:$14,'FY 2013 by Agency-Adj'!$19:$19,'FY 2013 by Agency-Adj'!$156:$156,'FY 2013 by Agency-Adj'!$163:$163,'FY 2013 by Agency-Adj'!$227:$241</oldFormula>
  </rdn>
  <rdn rId="0" localSheetId="5" customView="1" name="Z_E81D05A4_5B21_42D3_A8D3_906ABCABC0F4_.wvu.Cols" hidden="1" oldHidden="1">
    <formula>'FY 2013 by Agency-Adj'!$AD:$AE,'FY 2013 by Agency-Adj'!$AI:$BK,'FY 2013 by Agency-Adj'!$BO:$BT</formula>
    <oldFormula>'FY 2013 by Agency-Adj'!$AD:$AE,'FY 2013 by Agency-Adj'!$AI:$BK,'FY 2013 by Agency-Adj'!$BO:$BT</oldFormula>
  </rdn>
  <rdn rId="0" localSheetId="8" customView="1" name="Z_E81D05A4_5B21_42D3_A8D3_906ABCABC0F4_.wvu.Rows" hidden="1" oldHidden="1">
    <formula>'Sheet 4'!$1:$6</formula>
    <oldFormula>'Sheet 4'!$1:$6</oldFormula>
  </rdn>
  <rcv guid="{E81D05A4-5B21-42D3-A8D3-906ABCABC0F4}" action="add"/>
</revisions>
</file>

<file path=xl/revisions/revisionLog1621.xml><?xml version="1.0" encoding="utf-8"?>
<revisions xmlns="http://schemas.openxmlformats.org/spreadsheetml/2006/main" xmlns:r="http://schemas.openxmlformats.org/officeDocument/2006/relationships">
  <rfmt sheetId="12" sqref="A4" start="0" length="0">
    <dxf>
      <font>
        <sz val="8"/>
        <color auto="1"/>
        <name val="Symbol"/>
        <scheme val="none"/>
      </font>
    </dxf>
  </rfmt>
  <rfmt sheetId="12" sqref="A5" start="0" length="0">
    <dxf>
      <font>
        <sz val="8"/>
        <color auto="1"/>
        <name val="Symbol"/>
        <scheme val="none"/>
      </font>
    </dxf>
  </rfmt>
  <rfmt sheetId="12" sqref="A6" start="0" length="0">
    <dxf>
      <font>
        <sz val="8"/>
        <color auto="1"/>
        <name val="Symbol"/>
        <scheme val="none"/>
      </font>
    </dxf>
  </rfmt>
  <rfmt sheetId="12" sqref="A7" start="0" length="0">
    <dxf>
      <font>
        <sz val="8"/>
        <color auto="1"/>
        <name val="Symbol"/>
        <scheme val="none"/>
      </font>
    </dxf>
  </rfmt>
  <rfmt sheetId="12" sqref="A10" start="0" length="0">
    <dxf>
      <font>
        <sz val="8"/>
        <color auto="1"/>
        <name val="Symbol"/>
        <scheme val="none"/>
      </font>
    </dxf>
  </rfmt>
  <rfmt sheetId="12" sqref="A11" start="0" length="0">
    <dxf>
      <font>
        <sz val="8"/>
        <color auto="1"/>
        <name val="Symbol"/>
        <scheme val="none"/>
      </font>
    </dxf>
  </rfmt>
  <rcc rId="41482" sId="12" xfDxf="1" dxf="1">
    <nc r="A2" t="inlineStr">
      <is>
        <t>DEPT OF FORENSIC JUSTICE</t>
      </is>
    </nc>
    <ndxf>
      <font>
        <b/>
        <sz val="11"/>
        <name val="Calibri"/>
        <scheme val="none"/>
      </font>
    </ndxf>
  </rcc>
  <rcc rId="41483" sId="12" xfDxf="1" dxf="1">
    <nc r="A3" t="inlineStr">
      <is>
        <t>NEW in 2013, created from MPD, DOH, Forensics lab, and $3 million is new money</t>
      </is>
    </nc>
    <ndxf>
      <font>
        <sz val="11"/>
        <name val="Calibri"/>
        <scheme val="none"/>
      </font>
    </ndxf>
  </rcc>
  <rcc rId="41484" sId="12" xfDxf="1" dxf="1">
    <nc r="A4" t="inlineStr">
      <is>
        <r>
          <t>·</t>
        </r>
        <r>
          <rPr>
            <sz val="7"/>
            <rFont val="Times New Roman"/>
            <family val="1"/>
          </rPr>
          <t xml:space="preserve">     </t>
        </r>
        <r>
          <rPr>
            <sz val="11"/>
            <rFont val="Calibri"/>
            <family val="2"/>
          </rPr>
          <t>2576 from MPD</t>
        </r>
      </is>
    </nc>
    <ndxf>
      <font>
        <sz val="8"/>
        <name val="Symbol"/>
        <scheme val="none"/>
      </font>
      <alignment horizontal="left" indent="2" relativeIndent="0" readingOrder="0"/>
    </ndxf>
  </rcc>
  <rcc rId="41485" sId="12" xfDxf="1" dxf="1">
    <nc r="A5" t="inlineStr">
      <is>
        <r>
          <t>·</t>
        </r>
        <r>
          <rPr>
            <sz val="7"/>
            <rFont val="Times New Roman"/>
            <family val="1"/>
          </rPr>
          <t xml:space="preserve">     </t>
        </r>
        <r>
          <rPr>
            <sz val="11"/>
            <rFont val="Calibri"/>
            <family val="2"/>
          </rPr>
          <t>1582 from forensics lab</t>
        </r>
      </is>
    </nc>
    <ndxf>
      <font>
        <sz val="8"/>
        <name val="Symbol"/>
        <scheme val="none"/>
      </font>
      <alignment horizontal="left" indent="2" relativeIndent="0" readingOrder="0"/>
    </ndxf>
  </rcc>
  <rcc rId="41486" sId="12" xfDxf="1" dxf="1">
    <nc r="A6" t="inlineStr">
      <is>
        <r>
          <t>·</t>
        </r>
        <r>
          <rPr>
            <sz val="7"/>
            <rFont val="Times New Roman"/>
            <family val="1"/>
          </rPr>
          <t xml:space="preserve">     </t>
        </r>
        <r>
          <rPr>
            <sz val="11"/>
            <rFont val="Calibri"/>
            <family val="2"/>
          </rPr>
          <t>920 from dept of health</t>
        </r>
      </is>
    </nc>
    <ndxf>
      <font>
        <sz val="8"/>
        <name val="Symbol"/>
        <scheme val="none"/>
      </font>
      <alignment horizontal="left" indent="2" relativeIndent="0" readingOrder="0"/>
    </ndxf>
  </rcc>
  <rcc rId="41487" sId="12" xfDxf="1" dxf="1">
    <nc r="A7" t="inlineStr">
      <is>
        <r>
          <t>·</t>
        </r>
        <r>
          <rPr>
            <sz val="7"/>
            <rFont val="Times New Roman"/>
            <family val="1"/>
          </rPr>
          <t xml:space="preserve">     </t>
        </r>
        <r>
          <rPr>
            <sz val="11"/>
            <rFont val="Calibri"/>
            <family val="2"/>
          </rPr>
          <t>3206 seems new</t>
        </r>
      </is>
    </nc>
    <ndxf>
      <font>
        <sz val="8"/>
        <name val="Symbol"/>
        <scheme val="none"/>
      </font>
      <alignment horizontal="left" indent="2" relativeIndent="0" readingOrder="0"/>
    </ndxf>
  </rcc>
  <rfmt sheetId="12" xfDxf="1" sqref="A8" start="0" length="0">
    <dxf>
      <font>
        <sz val="11"/>
        <name val="Calibri"/>
        <scheme val="none"/>
      </font>
    </dxf>
  </rfmt>
  <rcc rId="41488" sId="12" xfDxf="1" dxf="1">
    <nc r="A9" t="inlineStr">
      <is>
        <t xml:space="preserve">Recommendation: </t>
      </is>
    </nc>
    <ndxf>
      <font>
        <b/>
        <sz val="11"/>
        <name val="Calibri"/>
        <scheme val="none"/>
      </font>
    </ndxf>
  </rcc>
  <rfmt sheetId="12" xfDxf="1" sqref="A10" start="0" length="0">
    <dxf>
      <font>
        <sz val="8"/>
        <name val="Symbol"/>
        <scheme val="none"/>
      </font>
      <alignment horizontal="left" indent="2" relativeIndent="0" readingOrder="0"/>
    </dxf>
  </rfmt>
  <rfmt sheetId="12" xfDxf="1" sqref="A11" start="0" length="0">
    <dxf>
      <font>
        <sz val="8"/>
        <name val="Symbol"/>
        <scheme val="none"/>
      </font>
      <alignment horizontal="left" indent="2" relativeIndent="0" readingOrder="0"/>
    </dxf>
  </rfmt>
  <rfmt sheetId="12" xfDxf="1" sqref="A12" start="0" length="0">
    <dxf>
      <font>
        <sz val="11"/>
        <name val="Calibri"/>
        <scheme val="none"/>
      </font>
    </dxf>
  </rfmt>
  <rcc rId="41489" sId="12">
    <nc r="A10" t="inlineStr">
      <is>
        <r>
          <t>·</t>
        </r>
        <r>
          <rPr>
            <sz val="7"/>
            <rFont val="Times New Roman"/>
            <family val="1"/>
          </rPr>
          <t xml:space="preserve">     </t>
        </r>
        <r>
          <rPr>
            <sz val="11"/>
            <rFont val="Calibri"/>
            <family val="2"/>
          </rPr>
          <t>for 2012-2013 and 2008-2013 comparisons for MPD and DOH.  analysts should add back 2,576,000 to MPD and 920,000 to DOH in 2013.  These adjustments ARE NOT in the spreasheet We also could make the adjustments to appropriations titles  totals, with a new line “adjusted for shifts”</t>
        </r>
      </is>
    </nc>
  </rcc>
  <rcc rId="41490" sId="4">
    <nc r="A166" t="inlineStr">
      <is>
        <t>Adjusted for shifts (see Fy2013 notes tab)</t>
      </is>
    </nc>
  </rcc>
  <rcc rId="41491" sId="4" odxf="1" dxf="1">
    <nc r="A109" t="inlineStr">
      <is>
        <t>Adjusted for shifts (see Fy2013 notes tab)</t>
      </is>
    </nc>
    <ndxf/>
  </rcc>
  <rcc rId="41492" sId="12">
    <nc r="A11" t="inlineStr">
      <is>
        <r>
          <t>·</t>
        </r>
        <r>
          <rPr>
            <sz val="7"/>
            <rFont val="Times New Roman"/>
            <family val="1"/>
          </rPr>
          <t xml:space="preserve">     </t>
        </r>
        <r>
          <rPr>
            <sz val="11"/>
            <rFont val="Calibri"/>
            <family val="2"/>
          </rPr>
          <t>For 2012-2013 and 2008-2013 comparisons: a line has been added under the Approps titles for Pub Safety and Human Sevices to reflect this:  920,000 added to HS and subtracted from PSJ</t>
        </r>
      </is>
    </nc>
  </rcc>
  <rcc rId="41493" sId="4">
    <nc r="BO109">
      <f>+BO108-920</f>
    </nc>
  </rcc>
  <rcc rId="41494" sId="4">
    <nc r="BO166">
      <f>+BO165+920</f>
    </nc>
  </rcc>
  <rcmt sheetId="4" cell="BO85" guid="{284FD91A-5081-4DCE-AD71-9C2F2E725BEA}" author="Ed Lazere" newLength="33"/>
  <rcmt sheetId="4" cell="BO100" guid="{DDFEB416-1C85-4364-8DCC-7897D16B5DA1}" author="Ed Lazere" newLength="33"/>
  <rcmt sheetId="4" cell="BO149" guid="{8A42044D-98A1-44E1-A178-C92A732F5102}" author="Ed Lazere" newLength="33"/>
  <rcv guid="{AEFEB150-9213-45F5-A178-7AC71E46DB11}" action="delete"/>
  <rdn rId="0" localSheetId="2" customView="1" name="Z_AEFEB150_9213_45F5_A178_7AC71E46DB11_.wvu.Cols" hidden="1" oldHidden="1">
    <formula>'FY2013 by Approp Title'!$AA:$AA</formula>
    <oldFormula>'FY2013 by Approp Title'!$AA:$AA</oldFormula>
  </rdn>
  <rdn rId="0" localSheetId="3" customView="1" name="Z_AEFEB150_9213_45F5_A178_7AC71E46DB11_.wvu.Cols" hidden="1" oldHidden="1">
    <formula>'FY2013 By Approp Title-Adj'!$AA:$AA</formula>
    <oldFormula>'FY2013 By Approp Title-Adj'!$AA:$AA</oldFormula>
  </rdn>
  <rdn rId="0" localSheetId="4" customView="1" name="Z_AEFEB150_9213_45F5_A178_7AC71E46DB11_.wvu.Rows" hidden="1" oldHidden="1">
    <formula>'FY 2013 by Agency'!$1:$3,'FY 2013 by Agency'!$226:$240</formula>
    <oldFormula>'FY 2013 by Agency'!$1:$3,'FY 2013 by Agency'!$226:$240</oldFormula>
  </rdn>
  <rdn rId="0" localSheetId="5" customView="1" name="Z_AEFEB150_9213_45F5_A178_7AC71E46DB11_.wvu.Rows" hidden="1" oldHidden="1">
    <formula>'FY 2013 by Agency-Adj'!$1:$3,'FY 2013 by Agency-Adj'!$227:$241</formula>
    <oldFormula>'FY 2013 by Agency-Adj'!$1:$3,'FY 2013 by Agency-Adj'!$227:$241</oldFormula>
  </rdn>
  <rdn rId="0" localSheetId="5" customView="1" name="Z_AEFEB150_9213_45F5_A178_7AC71E46DB11_.wvu.Cols" hidden="1" oldHidden="1">
    <formula>'FY 2013 by Agency-Adj'!$AJ:$AM</formula>
    <oldFormula>'FY 2013 by Agency-Adj'!$AJ:$AM</oldFormula>
  </rdn>
  <rdn rId="0" localSheetId="8" customView="1" name="Z_AEFEB150_9213_45F5_A178_7AC71E46DB11_.wvu.Rows" hidden="1" oldHidden="1">
    <formula>'Sheet 4'!$1:$6</formula>
    <oldFormula>'Sheet 4'!$1:$6</oldFormula>
  </rdn>
  <rcv guid="{AEFEB150-9213-45F5-A178-7AC71E46DB11}" action="add"/>
</revisions>
</file>

<file path=xl/revisions/revisionLog16211.xml><?xml version="1.0" encoding="utf-8"?>
<revisions xmlns="http://schemas.openxmlformats.org/spreadsheetml/2006/main" xmlns:r="http://schemas.openxmlformats.org/officeDocument/2006/relationships">
  <rcc rId="41414" sId="4" numFmtId="11">
    <nc r="BP145">
      <v>22311</v>
    </nc>
  </rcc>
  <rcc rId="41415" sId="4" numFmtId="11">
    <nc r="BP146">
      <v>8640</v>
    </nc>
  </rcc>
  <rcc rId="41416" sId="4" numFmtId="11">
    <nc r="BP147">
      <v>8486</v>
    </nc>
  </rcc>
  <rcc rId="41417" sId="4" numFmtId="11">
    <nc r="BP149">
      <v>17814</v>
    </nc>
  </rcc>
  <rcc rId="41418" sId="4" numFmtId="11">
    <nc r="BP150">
      <v>5014</v>
    </nc>
  </rcc>
  <rcc rId="41419" sId="4" numFmtId="11">
    <nc r="BP151">
      <v>2058</v>
    </nc>
  </rcc>
  <rcc rId="41420" sId="4" numFmtId="11">
    <nc r="BP154">
      <v>99</v>
    </nc>
  </rcc>
  <rcc rId="41421" sId="4" numFmtId="11">
    <nc r="BP155">
      <v>74</v>
    </nc>
  </rcc>
  <rcc rId="41422" sId="4" numFmtId="11">
    <nc r="BP158">
      <v>35</v>
    </nc>
  </rcc>
  <rcc rId="41423" sId="4" numFmtId="11">
    <nc r="BP159">
      <v>19</v>
    </nc>
  </rcc>
  <rcc rId="41424" sId="4" numFmtId="11">
    <nc r="BP160">
      <v>2580</v>
    </nc>
  </rcc>
  <rcc rId="41425" sId="4" numFmtId="11">
    <nc r="BP161">
      <v>6403</v>
    </nc>
  </rcc>
  <rcc rId="41426" sId="4" numFmtId="11">
    <nc r="BP162">
      <v>1160</v>
    </nc>
  </rcc>
  <rfmt sheetId="4" sqref="A155" start="0" length="0">
    <dxf>
      <font/>
    </dxf>
  </rfmt>
  <rfmt sheetId="4" sqref="A151" start="0" length="0">
    <dxf>
      <font/>
    </dxf>
  </rfmt>
  <rfmt sheetId="4" sqref="A149" start="0" length="0">
    <dxf>
      <font/>
    </dxf>
  </rfmt>
  <rfmt sheetId="4" sqref="A145" start="0" length="0">
    <dxf>
      <font/>
    </dxf>
  </rfmt>
  <rfmt sheetId="4" sqref="A146" start="0" length="0">
    <dxf>
      <font/>
    </dxf>
  </rfmt>
  <rcv guid="{A2518DB3-3A80-4035-9307-EC50A7C923F2}" action="delete"/>
  <rdn rId="0" localSheetId="2" customView="1" name="Z_A2518DB3_3A80_4035_9307_EC50A7C923F2_.wvu.Cols" hidden="1" oldHidden="1">
    <formula>'FY2013 by Approp Title'!$AA:$AA</formula>
    <oldFormula>'FY2013 by Approp Title'!$AA:$AA</oldFormula>
  </rdn>
  <rdn rId="0" localSheetId="3" customView="1" name="Z_A2518DB3_3A80_4035_9307_EC50A7C923F2_.wvu.Cols" hidden="1" oldHidden="1">
    <formula>'FY2013 By Approp Title-Adj'!$AA:$AA</formula>
    <oldFormula>'FY2013 By Approp Title-Adj'!$AA:$AA</oldFormula>
  </rdn>
  <rdn rId="0" localSheetId="4" customView="1" name="Z_A2518DB3_3A80_4035_9307_EC50A7C923F2_.wvu.Rows" hidden="1" oldHidden="1">
    <formula>'FY 2013 by Agency'!$1:$3,'FY 2013 by Agency'!$226:$240</formula>
    <oldFormula>'FY 2013 by Agency'!$1:$3,'FY 2013 by Agency'!$226:$240</oldFormula>
  </rdn>
  <rdn rId="0" localSheetId="4" customView="1" name="Z_A2518DB3_3A80_4035_9307_EC50A7C923F2_.wvu.Cols" hidden="1" oldHidden="1">
    <formula>'FY 2013 by Agency'!$D:$E,'FY 2013 by Agency'!$G:$H,'FY 2013 by Agency'!$J:$K,'FY 2013 by Agency'!$M:$N,'FY 2013 by Agency'!$P:$Q,'FY 2013 by Agency'!$S:$T,'FY 2013 by Agency'!$V:$W,'FY 2013 by Agency'!$Y:$Z,'FY 2013 by Agency'!$AB:$AE,'FY 2013 by Agency'!$AG:$AO,'FY 2013 by Agency'!$AV:$AW,'FY 2013 by Agency'!$AY:$AZ,'FY 2013 by Agency'!$BF:$BG</formula>
    <oldFormula>'FY 2013 by Agency'!$D:$E,'FY 2013 by Agency'!$G:$H,'FY 2013 by Agency'!$J:$K,'FY 2013 by Agency'!$M:$N,'FY 2013 by Agency'!$P:$Q,'FY 2013 by Agency'!$S:$T,'FY 2013 by Agency'!$V:$W,'FY 2013 by Agency'!$Y:$Z,'FY 2013 by Agency'!$AB:$AE,'FY 2013 by Agency'!$AG:$AO,'FY 2013 by Agency'!$AV:$AW,'FY 2013 by Agency'!$AY:$AZ,'FY 2013 by Agency'!$BF:$BG</oldFormula>
  </rdn>
  <rdn rId="0" localSheetId="5" customView="1" name="Z_A2518DB3_3A80_4035_9307_EC50A7C923F2_.wvu.Rows" hidden="1" oldHidden="1">
    <formula>'FY 2013 by Agency-Adj'!$1:$3,'FY 2013 by Agency-Adj'!$14:$14,'FY 2013 by Agency-Adj'!$19:$19,'FY 2013 by Agency-Adj'!$156:$156,'FY 2013 by Agency-Adj'!$163:$163,'FY 2013 by Agency-Adj'!$227:$241</formula>
    <oldFormula>'FY 2013 by Agency-Adj'!$1:$3,'FY 2013 by Agency-Adj'!$14:$14,'FY 2013 by Agency-Adj'!$19:$19,'FY 2013 by Agency-Adj'!$156:$156,'FY 2013 by Agency-Adj'!$163:$163,'FY 2013 by Agency-Adj'!$227:$241</oldFormula>
  </rdn>
  <rdn rId="0" localSheetId="5" customView="1" name="Z_A2518DB3_3A80_4035_9307_EC50A7C923F2_.wvu.Cols" hidden="1" oldHidden="1">
    <formula>'FY 2013 by Agency-Adj'!$AD:$AE,'FY 2013 by Agency-Adj'!$AI:$BK,'FY 2013 by Agency-Adj'!$BO:$BT</formula>
    <oldFormula>'FY 2013 by Agency-Adj'!$AD:$AE,'FY 2013 by Agency-Adj'!$AI:$BK,'FY 2013 by Agency-Adj'!$BO:$BT</oldFormula>
  </rdn>
  <rdn rId="0" localSheetId="8" customView="1" name="Z_A2518DB3_3A80_4035_9307_EC50A7C923F2_.wvu.Rows" hidden="1" oldHidden="1">
    <formula>'Sheet 4'!$1:$6</formula>
    <oldFormula>'Sheet 4'!$1:$6</oldFormula>
  </rdn>
  <rcv guid="{A2518DB3-3A80-4035-9307-EC50A7C923F2}" action="add"/>
</revisions>
</file>

<file path=xl/revisions/revisionLog162111.xml><?xml version="1.0" encoding="utf-8"?>
<revisions xmlns="http://schemas.openxmlformats.org/spreadsheetml/2006/main" xmlns:r="http://schemas.openxmlformats.org/officeDocument/2006/relationships">
  <rcc rId="41171" sId="4" numFmtId="11">
    <nc r="BO131">
      <v>0</v>
    </nc>
  </rcc>
</revisions>
</file>

<file path=xl/revisions/revisionLog1622.xml><?xml version="1.0" encoding="utf-8"?>
<revisions xmlns="http://schemas.openxmlformats.org/spreadsheetml/2006/main" xmlns:r="http://schemas.openxmlformats.org/officeDocument/2006/relationships">
  <rcc rId="41615" sId="4" numFmtId="11">
    <nc r="BP203">
      <v>19001</v>
    </nc>
  </rcc>
  <rcv guid="{AEFEB150-9213-45F5-A178-7AC71E46DB11}" action="delete"/>
  <rdn rId="0" localSheetId="2" customView="1" name="Z_AEFEB150_9213_45F5_A178_7AC71E46DB11_.wvu.Cols" hidden="1" oldHidden="1">
    <formula>'FY2013 by Approp Title'!$AA:$AA</formula>
    <oldFormula>'FY2013 by Approp Title'!$AA:$AA</oldFormula>
  </rdn>
  <rdn rId="0" localSheetId="3" customView="1" name="Z_AEFEB150_9213_45F5_A178_7AC71E46DB11_.wvu.Cols" hidden="1" oldHidden="1">
    <formula>'FY2013 By Approp Title-Adj'!$AA:$AA</formula>
    <oldFormula>'FY2013 By Approp Title-Adj'!$AA:$AA</oldFormula>
  </rdn>
  <rdn rId="0" localSheetId="4" customView="1" name="Z_AEFEB150_9213_45F5_A178_7AC71E46DB11_.wvu.Rows" hidden="1" oldHidden="1">
    <formula>'FY 2013 by Agency'!$1:$3,'FY 2013 by Agency'!$226:$240</formula>
    <oldFormula>'FY 2013 by Agency'!$1:$3,'FY 2013 by Agency'!$226:$240</oldFormula>
  </rdn>
  <rdn rId="0" localSheetId="5" customView="1" name="Z_AEFEB150_9213_45F5_A178_7AC71E46DB11_.wvu.Rows" hidden="1" oldHidden="1">
    <formula>'FY 2013 by Agency-Adj'!$1:$3,'FY 2013 by Agency-Adj'!$227:$241</formula>
    <oldFormula>'FY 2013 by Agency-Adj'!$1:$3,'FY 2013 by Agency-Adj'!$227:$241</oldFormula>
  </rdn>
  <rdn rId="0" localSheetId="5" customView="1" name="Z_AEFEB150_9213_45F5_A178_7AC71E46DB11_.wvu.Cols" hidden="1" oldHidden="1">
    <formula>'FY 2013 by Agency-Adj'!$AJ:$AM</formula>
    <oldFormula>'FY 2013 by Agency-Adj'!$AJ:$AM</oldFormula>
  </rdn>
  <rdn rId="0" localSheetId="8" customView="1" name="Z_AEFEB150_9213_45F5_A178_7AC71E46DB11_.wvu.Rows" hidden="1" oldHidden="1">
    <formula>'Sheet 4'!$1:$6</formula>
    <oldFormula>'Sheet 4'!$1:$6</oldFormula>
  </rdn>
  <rcv guid="{AEFEB150-9213-45F5-A178-7AC71E46DB11}" action="add"/>
</revisions>
</file>

<file path=xl/revisions/revisionLog163.xml><?xml version="1.0" encoding="utf-8"?>
<revisions xmlns="http://schemas.openxmlformats.org/spreadsheetml/2006/main" xmlns:r="http://schemas.openxmlformats.org/officeDocument/2006/relationships">
  <rcv guid="{78CA186D-B240-44D5-8A24-D241DE0B0FD9}" action="delete"/>
  <rdn rId="0" localSheetId="2" customView="1" name="Z_78CA186D_B240_44D5_8A24_D241DE0B0FD9_.wvu.Cols" hidden="1" oldHidden="1">
    <formula>'FY2013 by Approp Title'!$AA:$AA</formula>
    <oldFormula>'FY2013 by Approp Title'!$AA:$AA</oldFormula>
  </rdn>
  <rdn rId="0" localSheetId="3" customView="1" name="Z_78CA186D_B240_44D5_8A24_D241DE0B0FD9_.wvu.Cols" hidden="1" oldHidden="1">
    <formula>'FY2013 By Approp Title-Adj'!$AA:$AA</formula>
    <oldFormula>'FY2013 By Approp Title-Adj'!$AA:$AA</oldFormula>
  </rdn>
  <rdn rId="0" localSheetId="4" customView="1" name="Z_78CA186D_B240_44D5_8A24_D241DE0B0FD9_.wvu.Rows" hidden="1" oldHidden="1">
    <formula>'FY 2013 by Agency'!$1:$3,'FY 2013 by Agency'!$227:$241</formula>
    <oldFormula>'FY 2013 by Agency'!$1:$3,'FY 2013 by Agency'!$227:$241</oldFormula>
  </rdn>
  <rdn rId="0" localSheetId="4" customView="1" name="Z_78CA186D_B240_44D5_8A24_D241DE0B0FD9_.wvu.Cols" hidden="1" oldHidden="1">
    <formula>'FY 2013 by Agency'!$D:$E,'FY 2013 by Agency'!$G:$H,'FY 2013 by Agency'!$J:$K,'FY 2013 by Agency'!$M:$N,'FY 2013 by Agency'!$P:$Q,'FY 2013 by Agency'!$S:$T,'FY 2013 by Agency'!$V:$W,'FY 2013 by Agency'!$Y:$Z,'FY 2013 by Agency'!$AB:$AE,'FY 2013 by Agency'!$AV:$AW,'FY 2013 by Agency'!$AY:$AZ,'FY 2013 by Agency'!$BF:$BG,'FY 2013 by Agency'!$BM:$BN</formula>
    <oldFormula>'FY 2013 by Agency'!$D:$E,'FY 2013 by Agency'!$G:$H,'FY 2013 by Agency'!$J:$K,'FY 2013 by Agency'!$M:$N,'FY 2013 by Agency'!$P:$Q,'FY 2013 by Agency'!$S:$T,'FY 2013 by Agency'!$V:$W,'FY 2013 by Agency'!$Y:$Z,'FY 2013 by Agency'!$AB:$AE,'FY 2013 by Agency'!$AV:$AW,'FY 2013 by Agency'!$AY:$AZ,'FY 2013 by Agency'!$BF:$BG,'FY 2013 by Agency'!$BM:$BN</oldFormula>
  </rdn>
  <rdn rId="0" localSheetId="5" customView="1" name="Z_78CA186D_B240_44D5_8A24_D241DE0B0FD9_.wvu.Rows" hidden="1" oldHidden="1">
    <formula>'FY 2013 by Agency-Adj'!$1:$3,'FY 2013 by Agency-Adj'!$14:$14,'FY 2013 by Agency-Adj'!$19:$19,'FY 2013 by Agency-Adj'!$157:$157,'FY 2013 by Agency-Adj'!$164:$164,'FY 2013 by Agency-Adj'!$228:$242</formula>
    <oldFormula>'FY 2013 by Agency-Adj'!$1:$3,'FY 2013 by Agency-Adj'!$14:$14,'FY 2013 by Agency-Adj'!$19:$19,'FY 2013 by Agency-Adj'!$157:$157,'FY 2013 by Agency-Adj'!$164:$164,'FY 2013 by Agency-Adj'!$228:$242</oldFormula>
  </rdn>
  <rdn rId="0" localSheetId="5" customView="1" name="Z_78CA186D_B240_44D5_8A24_D241DE0B0FD9_.wvu.Cols" hidden="1" oldHidden="1">
    <formula>'FY 2013 by Agency-Adj'!$AD:$AE,'FY 2013 by Agency-Adj'!$AI:$BK,'FY 2013 by Agency-Adj'!$BO:$BT</formula>
    <oldFormula>'FY 2013 by Agency-Adj'!$AD:$AE,'FY 2013 by Agency-Adj'!$AI:$BK,'FY 2013 by Agency-Adj'!$BO:$BT</oldFormula>
  </rdn>
  <rdn rId="0" localSheetId="8" customView="1" name="Z_78CA186D_B240_44D5_8A24_D241DE0B0FD9_.wvu.Rows" hidden="1" oldHidden="1">
    <formula>'Sheet 4'!$1:$6</formula>
    <oldFormula>'Sheet 4'!$1:$6</oldFormula>
  </rdn>
  <rcv guid="{78CA186D-B240-44D5-8A24-D241DE0B0FD9}" action="add"/>
</revisions>
</file>

<file path=xl/revisions/revisionLog1631.xml><?xml version="1.0" encoding="utf-8"?>
<revisions xmlns="http://schemas.openxmlformats.org/spreadsheetml/2006/main" xmlns:r="http://schemas.openxmlformats.org/officeDocument/2006/relationships">
  <rcc rId="42137" sId="5" numFmtId="11">
    <oc r="BR216">
      <f>'FY 2013 by Agency'!BE216*Inflator!$E$14</f>
    </oc>
    <nc r="BR216">
      <v>0</v>
    </nc>
  </rcc>
  <rcc rId="42138" sId="5" numFmtId="11">
    <oc r="CA216">
      <v>24700</v>
    </oc>
    <nc r="CA216">
      <v>0</v>
    </nc>
  </rcc>
  <rcc rId="42139" sId="4" numFmtId="11">
    <oc r="BE216">
      <v>14900</v>
    </oc>
    <nc r="BE216">
      <v>0</v>
    </nc>
  </rcc>
  <rcc rId="42140" sId="4" numFmtId="11">
    <oc r="BO216">
      <v>24700</v>
    </oc>
    <nc r="BO216">
      <v>0</v>
    </nc>
  </rcc>
  <rcc rId="42141" sId="5" odxf="1" dxf="1">
    <oc r="A215" t="inlineStr">
      <is>
        <t>Baseball Dedicated Tax Transfer</t>
      </is>
    </oc>
    <nc r="A215" t="inlineStr">
      <is>
        <t>Baseball Dedicated Tax Transfer***</t>
      </is>
    </nc>
    <odxf>
      <font/>
    </odxf>
    <ndxf>
      <font/>
    </ndxf>
  </rcc>
  <rcc rId="42142" sId="5" odxf="1" dxf="1">
    <nc r="A227" t="inlineStr">
      <is>
        <t>***Prior to FY2013 this was in Finance; starting FY13 in Enterprise</t>
      </is>
    </nc>
    <odxf>
      <font/>
    </odxf>
    <ndxf>
      <font/>
    </ndxf>
  </rcc>
  <rcc rId="42143" sId="5" odxf="1" dxf="1">
    <oc r="A217" t="inlineStr">
      <is>
        <t>TIF and PILOT Transfer - Dedicated Taxes</t>
      </is>
    </oc>
    <nc r="A217" t="inlineStr">
      <is>
        <t>TIF and PILOT Transfer - Dedicated Taxes****</t>
      </is>
    </nc>
    <odxf>
      <font/>
    </odxf>
    <ndxf>
      <font/>
    </ndxf>
  </rcc>
  <rrc rId="42144" sId="5" ref="A243:XFD243" action="insertRow">
    <undo index="2" exp="area" ref3D="1" dr="$AZ$1:$BH$1048576" dn="Z_F784130D_F647_4ABA_8943_C79CA5B0FDC4_.wvu.Cols" sId="5"/>
    <undo index="1" exp="area" ref3D="1" dr="$AJ$1:$AM$1048576" dn="Z_F784130D_F647_4ABA_8943_C79CA5B0FDC4_.wvu.Cols" sId="5"/>
    <undo index="4" exp="area" ref3D="1" dr="$BO$1:$BT$1048576" dn="Z_E81D05A4_5B21_42D3_A8D3_906ABCABC0F4_.wvu.Cols" sId="5"/>
    <undo index="2" exp="area" ref3D="1" dr="$AI$1:$BK$1048576" dn="Z_E81D05A4_5B21_42D3_A8D3_906ABCABC0F4_.wvu.Cols" sId="5"/>
    <undo index="1" exp="area" ref3D="1" dr="$AD$1:$AE$1048576" dn="Z_E81D05A4_5B21_42D3_A8D3_906ABCABC0F4_.wvu.Cols" sId="5"/>
    <undo index="2" exp="area" ref3D="1" dr="$BO$1:$BT$1048576" dn="Z_E44F5FE1_54FC_4AB3_84F9_7D65ACF2DDE7_.wvu.Cols" sId="5"/>
    <undo index="1" exp="area" ref3D="1" dr="$AI$1:$BK$1048576" dn="Z_E44F5FE1_54FC_4AB3_84F9_7D65ACF2DDE7_.wvu.Cols" sId="5"/>
    <undo index="0" exp="area" ref3D="1" dr="$AJ$1:$AM$1048576" dn="Z_AEFEB150_9213_45F5_A178_7AC71E46DB11_.wvu.Cols" sId="5"/>
    <undo index="4" exp="area" ref3D="1" dr="$BO$1:$BT$1048576" dn="Z_A2518DB3_3A80_4035_9307_EC50A7C923F2_.wvu.Cols" sId="5"/>
    <undo index="2" exp="area" ref3D="1" dr="$AI$1:$BK$1048576" dn="Z_A2518DB3_3A80_4035_9307_EC50A7C923F2_.wvu.Cols" sId="5"/>
    <undo index="1" exp="area" ref3D="1" dr="$AD$1:$AE$1048576" dn="Z_A2518DB3_3A80_4035_9307_EC50A7C923F2_.wvu.Cols" sId="5"/>
    <undo index="2" exp="area" ref3D="1" dr="$AI$1:$BJ$1048576" dn="Z_9D4F0482_B164_4671_805A_E0D2D4DD4720_.wvu.Cols" sId="5"/>
    <undo index="1" exp="area" ref3D="1" dr="$AD$1:$AE$1048576" dn="Z_9D4F0482_B164_4671_805A_E0D2D4DD4720_.wvu.Cols" sId="5"/>
    <undo index="4" exp="area" ref3D="1" dr="$AP$1:$AS$1048576" dn="Z_94DA13B6_7351_40F3_8CF7_A4211EC439DA_.wvu.Cols" sId="5"/>
    <undo index="2" exp="area" ref3D="1" dr="$AJ$1:$AM$1048576" dn="Z_94DA13B6_7351_40F3_8CF7_A4211EC439DA_.wvu.Cols" sId="5"/>
    <undo index="1" exp="area" ref3D="1" dr="$V$1:$AB$1048576" dn="Z_94DA13B6_7351_40F3_8CF7_A4211EC439DA_.wvu.Cols" sId="5"/>
    <undo index="2" exp="area" ref3D="1" dr="$AJ$1:$AM$1048576" dn="Z_8F508F4D_4777_42BE_9707_8CB9355F7BDB_.wvu.Cols" sId="5"/>
    <undo index="1" exp="area" ref3D="1" dr="$V$1:$AB$1048576" dn="Z_8F508F4D_4777_42BE_9707_8CB9355F7BDB_.wvu.Cols" sId="5"/>
    <undo index="4" exp="area" ref3D="1" dr="$BO$1:$BT$1048576" dn="Z_78CA186D_B240_44D5_8A24_D241DE0B0FD9_.wvu.Cols" sId="5"/>
    <undo index="2" exp="area" ref3D="1" dr="$AI$1:$BK$1048576" dn="Z_78CA186D_B240_44D5_8A24_D241DE0B0FD9_.wvu.Cols" sId="5"/>
    <undo index="1" exp="area" ref3D="1" dr="$AD$1:$AE$1048576" dn="Z_78CA186D_B240_44D5_8A24_D241DE0B0FD9_.wvu.Cols" sId="5"/>
    <undo index="6" exp="area" ref3D="1" dr="$BS$1:$BZ$1048576" dn="Z_567C3053_2D8E_4705_8DC7_18896C5303CA_.wvu.Cols" sId="5"/>
    <undo index="4" exp="area" ref3D="1" dr="$AP$1:$AS$1048576" dn="Z_567C3053_2D8E_4705_8DC7_18896C5303CA_.wvu.Cols" sId="5"/>
    <undo index="2" exp="area" ref3D="1" dr="$AJ$1:$AM$1048576" dn="Z_567C3053_2D8E_4705_8DC7_18896C5303CA_.wvu.Cols" sId="5"/>
    <undo index="1" exp="area" ref3D="1" dr="$V$1:$AB$1048576" dn="Z_567C3053_2D8E_4705_8DC7_18896C5303CA_.wvu.Cols" sId="5"/>
    <undo index="4" exp="area" ref3D="1" dr="$BO$1:$BT$1048576" dn="Z_50528D02_548E_47E0_94D7_D1E79CD3569C_.wvu.Cols" sId="5"/>
    <undo index="2" exp="area" ref3D="1" dr="$AI$1:$BK$1048576" dn="Z_50528D02_548E_47E0_94D7_D1E79CD3569C_.wvu.Cols" sId="5"/>
    <undo index="1" exp="area" ref3D="1" dr="$AD$1:$AE$1048576" dn="Z_50528D02_548E_47E0_94D7_D1E79CD3569C_.wvu.Cols" sId="5"/>
    <undo index="2" exp="area" ref3D="1" dr="$AI$1:$BK$1048576" dn="Z_455630F5_40FC_47DB_8AD4_712C20B8FB91_.wvu.Cols" sId="5"/>
    <undo index="1" exp="area" ref3D="1" dr="$AD$1:$AE$1048576" dn="Z_455630F5_40FC_47DB_8AD4_712C20B8FB91_.wvu.Cols" sId="5"/>
  </rrc>
  <rcc rId="42145" sId="5" odxf="1" dxf="1">
    <nc r="A243" t="inlineStr">
      <is>
        <t>****In FY13 budget, this was moved to enterprise chapter as special revenue fund.</t>
      </is>
    </nc>
    <odxf>
      <font/>
    </odxf>
    <ndxf>
      <font/>
    </ndxf>
  </rcc>
  <rfmt sheetId="5" sqref="CB245" start="0" length="0">
    <dxf>
      <numFmt numFmtId="10" formatCode="&quot;$&quot;#,##0_);[Red]\(&quot;$&quot;#,##0\)"/>
    </dxf>
  </rfmt>
  <rcc rId="42146" sId="5" odxf="1" dxf="1">
    <nc r="CB7">
      <f>CA7-BR7</f>
    </nc>
    <odxf>
      <numFmt numFmtId="0" formatCode="General"/>
    </odxf>
    <ndxf>
      <numFmt numFmtId="165" formatCode="&quot;$&quot;#,##0"/>
    </ndxf>
  </rcc>
  <rfmt sheetId="5" sqref="CB8" start="0" length="0">
    <dxf>
      <numFmt numFmtId="165" formatCode="&quot;$&quot;#,##0"/>
    </dxf>
  </rfmt>
  <rfmt sheetId="5" sqref="CB9" start="0" length="0">
    <dxf>
      <numFmt numFmtId="165" formatCode="&quot;$&quot;#,##0"/>
    </dxf>
  </rfmt>
  <rfmt sheetId="5" sqref="CB10" start="0" length="0">
    <dxf>
      <numFmt numFmtId="165" formatCode="&quot;$&quot;#,##0"/>
    </dxf>
  </rfmt>
  <rfmt sheetId="5" sqref="CB11" start="0" length="0">
    <dxf>
      <numFmt numFmtId="165" formatCode="&quot;$&quot;#,##0"/>
    </dxf>
  </rfmt>
  <rfmt sheetId="5" sqref="CB12" start="0" length="0">
    <dxf>
      <numFmt numFmtId="165" formatCode="&quot;$&quot;#,##0"/>
    </dxf>
  </rfmt>
  <rfmt sheetId="5" sqref="CB13" start="0" length="0">
    <dxf>
      <numFmt numFmtId="165" formatCode="&quot;$&quot;#,##0"/>
    </dxf>
  </rfmt>
  <rfmt sheetId="5" sqref="CB14" start="0" length="0">
    <dxf>
      <numFmt numFmtId="165" formatCode="&quot;$&quot;#,##0"/>
    </dxf>
  </rfmt>
  <rfmt sheetId="5" sqref="CB15" start="0" length="0">
    <dxf>
      <numFmt numFmtId="165" formatCode="&quot;$&quot;#,##0"/>
    </dxf>
  </rfmt>
  <rfmt sheetId="5" sqref="CB16" start="0" length="0">
    <dxf>
      <numFmt numFmtId="165" formatCode="&quot;$&quot;#,##0"/>
    </dxf>
  </rfmt>
  <rfmt sheetId="5" sqref="CB17" start="0" length="0">
    <dxf>
      <numFmt numFmtId="165" formatCode="&quot;$&quot;#,##0"/>
    </dxf>
  </rfmt>
  <rfmt sheetId="5" sqref="CB18" start="0" length="0">
    <dxf>
      <numFmt numFmtId="165" formatCode="&quot;$&quot;#,##0"/>
    </dxf>
  </rfmt>
  <rfmt sheetId="5" sqref="CB19" start="0" length="0">
    <dxf>
      <numFmt numFmtId="165" formatCode="&quot;$&quot;#,##0"/>
    </dxf>
  </rfmt>
  <rfmt sheetId="5" sqref="CB20" start="0" length="0">
    <dxf>
      <numFmt numFmtId="165" formatCode="&quot;$&quot;#,##0"/>
    </dxf>
  </rfmt>
  <rfmt sheetId="5" sqref="CB21" start="0" length="0">
    <dxf>
      <numFmt numFmtId="165" formatCode="&quot;$&quot;#,##0"/>
    </dxf>
  </rfmt>
  <rfmt sheetId="5" sqref="CB22" start="0" length="0">
    <dxf>
      <numFmt numFmtId="165" formatCode="&quot;$&quot;#,##0"/>
    </dxf>
  </rfmt>
  <rfmt sheetId="5" sqref="CB23" start="0" length="0">
    <dxf>
      <numFmt numFmtId="165" formatCode="&quot;$&quot;#,##0"/>
    </dxf>
  </rfmt>
  <rfmt sheetId="5" sqref="CB24" start="0" length="0">
    <dxf>
      <numFmt numFmtId="165" formatCode="&quot;$&quot;#,##0"/>
    </dxf>
  </rfmt>
  <rfmt sheetId="5" sqref="CB25" start="0" length="0">
    <dxf>
      <numFmt numFmtId="165" formatCode="&quot;$&quot;#,##0"/>
    </dxf>
  </rfmt>
  <rfmt sheetId="5" sqref="CB26" start="0" length="0">
    <dxf>
      <numFmt numFmtId="165" formatCode="&quot;$&quot;#,##0"/>
    </dxf>
  </rfmt>
  <rfmt sheetId="5" sqref="CB27" start="0" length="0">
    <dxf>
      <numFmt numFmtId="165" formatCode="&quot;$&quot;#,##0"/>
    </dxf>
  </rfmt>
  <rfmt sheetId="5" sqref="CB28" start="0" length="0">
    <dxf>
      <numFmt numFmtId="165" formatCode="&quot;$&quot;#,##0"/>
    </dxf>
  </rfmt>
  <rfmt sheetId="5" sqref="CB29" start="0" length="0">
    <dxf>
      <numFmt numFmtId="165" formatCode="&quot;$&quot;#,##0"/>
    </dxf>
  </rfmt>
  <rfmt sheetId="5" sqref="CB30" start="0" length="0">
    <dxf>
      <numFmt numFmtId="165" formatCode="&quot;$&quot;#,##0"/>
    </dxf>
  </rfmt>
  <rfmt sheetId="5" sqref="CB31" start="0" length="0">
    <dxf>
      <numFmt numFmtId="165" formatCode="&quot;$&quot;#,##0"/>
    </dxf>
  </rfmt>
  <rfmt sheetId="5" sqref="CB32" start="0" length="0">
    <dxf>
      <numFmt numFmtId="165" formatCode="&quot;$&quot;#,##0"/>
    </dxf>
  </rfmt>
  <rfmt sheetId="5" sqref="CB33" start="0" length="0">
    <dxf>
      <numFmt numFmtId="165" formatCode="&quot;$&quot;#,##0"/>
    </dxf>
  </rfmt>
  <rfmt sheetId="5" sqref="CB34" start="0" length="0">
    <dxf>
      <numFmt numFmtId="165" formatCode="&quot;$&quot;#,##0"/>
    </dxf>
  </rfmt>
  <rfmt sheetId="5" sqref="CB35" start="0" length="0">
    <dxf>
      <numFmt numFmtId="165" formatCode="&quot;$&quot;#,##0"/>
    </dxf>
  </rfmt>
  <rfmt sheetId="5" sqref="CB36" start="0" length="0">
    <dxf>
      <numFmt numFmtId="165" formatCode="&quot;$&quot;#,##0"/>
    </dxf>
  </rfmt>
  <rfmt sheetId="5" sqref="CB37" start="0" length="0">
    <dxf>
      <numFmt numFmtId="165" formatCode="&quot;$&quot;#,##0"/>
    </dxf>
  </rfmt>
  <rfmt sheetId="5" sqref="CB38" start="0" length="0">
    <dxf>
      <numFmt numFmtId="165" formatCode="&quot;$&quot;#,##0"/>
    </dxf>
  </rfmt>
  <rfmt sheetId="5" sqref="CB39" start="0" length="0">
    <dxf>
      <numFmt numFmtId="165" formatCode="&quot;$&quot;#,##0"/>
    </dxf>
  </rfmt>
  <rfmt sheetId="5" sqref="CB40" start="0" length="0">
    <dxf>
      <numFmt numFmtId="165" formatCode="&quot;$&quot;#,##0"/>
      <border outline="0">
        <bottom/>
      </border>
    </dxf>
  </rfmt>
  <rfmt sheetId="5" sqref="CB41" start="0" length="0">
    <dxf>
      <font>
        <b val="0"/>
      </font>
      <numFmt numFmtId="165" formatCode="&quot;$&quot;#,##0"/>
    </dxf>
  </rfmt>
  <rfmt sheetId="5" sqref="CB42" start="0" length="0">
    <dxf>
      <font>
        <b val="0"/>
      </font>
      <numFmt numFmtId="165" formatCode="&quot;$&quot;#,##0"/>
    </dxf>
  </rfmt>
  <rfmt sheetId="5" sqref="CB43" start="0" length="0">
    <dxf>
      <font>
        <b val="0"/>
      </font>
      <numFmt numFmtId="165" formatCode="&quot;$&quot;#,##0"/>
    </dxf>
  </rfmt>
  <rfmt sheetId="5" sqref="CB44" start="0" length="0">
    <dxf>
      <font>
        <b val="0"/>
      </font>
      <numFmt numFmtId="165" formatCode="&quot;$&quot;#,##0"/>
    </dxf>
  </rfmt>
  <rfmt sheetId="5" sqref="CB45" start="0" length="0">
    <dxf>
      <font>
        <b val="0"/>
      </font>
      <numFmt numFmtId="165" formatCode="&quot;$&quot;#,##0"/>
    </dxf>
  </rfmt>
  <rfmt sheetId="5" sqref="CB46" start="0" length="0">
    <dxf>
      <font>
        <b val="0"/>
      </font>
      <numFmt numFmtId="165" formatCode="&quot;$&quot;#,##0"/>
    </dxf>
  </rfmt>
  <rfmt sheetId="5" sqref="CB47" start="0" length="0">
    <dxf>
      <font>
        <b val="0"/>
      </font>
      <numFmt numFmtId="165" formatCode="&quot;$&quot;#,##0"/>
    </dxf>
  </rfmt>
  <rfmt sheetId="5" sqref="CB48" start="0" length="0">
    <dxf>
      <numFmt numFmtId="165" formatCode="&quot;$&quot;#,##0"/>
    </dxf>
  </rfmt>
  <rfmt sheetId="5" sqref="CB49" start="0" length="0">
    <dxf>
      <numFmt numFmtId="165" formatCode="&quot;$&quot;#,##0"/>
    </dxf>
  </rfmt>
  <rfmt sheetId="5" sqref="CB50" start="0" length="0">
    <dxf>
      <numFmt numFmtId="165" formatCode="&quot;$&quot;#,##0"/>
      <fill>
        <patternFill patternType="none">
          <bgColor indexed="65"/>
        </patternFill>
      </fill>
    </dxf>
  </rfmt>
  <rfmt sheetId="5" sqref="CB51" start="0" length="0">
    <dxf>
      <numFmt numFmtId="165" formatCode="&quot;$&quot;#,##0"/>
    </dxf>
  </rfmt>
  <rfmt sheetId="5" sqref="CB52" start="0" length="0">
    <dxf>
      <numFmt numFmtId="165" formatCode="&quot;$&quot;#,##0"/>
    </dxf>
  </rfmt>
  <rfmt sheetId="5" sqref="CB53" start="0" length="0">
    <dxf>
      <numFmt numFmtId="165" formatCode="&quot;$&quot;#,##0"/>
    </dxf>
  </rfmt>
  <rfmt sheetId="5" sqref="CB54" start="0" length="0">
    <dxf>
      <numFmt numFmtId="165" formatCode="&quot;$&quot;#,##0"/>
    </dxf>
  </rfmt>
  <rfmt sheetId="5" sqref="CB55" start="0" length="0">
    <dxf>
      <numFmt numFmtId="165" formatCode="&quot;$&quot;#,##0"/>
    </dxf>
  </rfmt>
  <rfmt sheetId="5" sqref="CB56" start="0" length="0">
    <dxf>
      <numFmt numFmtId="165" formatCode="&quot;$&quot;#,##0"/>
    </dxf>
  </rfmt>
  <rfmt sheetId="5" sqref="CB57" start="0" length="0">
    <dxf>
      <numFmt numFmtId="165" formatCode="&quot;$&quot;#,##0"/>
    </dxf>
  </rfmt>
  <rfmt sheetId="5" sqref="CB58" start="0" length="0">
    <dxf>
      <numFmt numFmtId="165" formatCode="&quot;$&quot;#,##0"/>
    </dxf>
  </rfmt>
  <rfmt sheetId="5" sqref="CB59" start="0" length="0">
    <dxf>
      <numFmt numFmtId="165" formatCode="&quot;$&quot;#,##0"/>
    </dxf>
  </rfmt>
  <rfmt sheetId="5" sqref="CB60" start="0" length="0">
    <dxf>
      <numFmt numFmtId="165" formatCode="&quot;$&quot;#,##0"/>
    </dxf>
  </rfmt>
  <rfmt sheetId="5" sqref="CB61" start="0" length="0">
    <dxf>
      <numFmt numFmtId="165" formatCode="&quot;$&quot;#,##0"/>
    </dxf>
  </rfmt>
  <rfmt sheetId="5" sqref="CB62" start="0" length="0">
    <dxf>
      <numFmt numFmtId="165" formatCode="&quot;$&quot;#,##0"/>
    </dxf>
  </rfmt>
  <rfmt sheetId="5" sqref="CB63" start="0" length="0">
    <dxf>
      <numFmt numFmtId="165" formatCode="&quot;$&quot;#,##0"/>
    </dxf>
  </rfmt>
  <rfmt sheetId="5" sqref="CB64" start="0" length="0">
    <dxf>
      <numFmt numFmtId="165" formatCode="&quot;$&quot;#,##0"/>
    </dxf>
  </rfmt>
  <rfmt sheetId="5" sqref="CB65" start="0" length="0">
    <dxf>
      <numFmt numFmtId="165" formatCode="&quot;$&quot;#,##0"/>
    </dxf>
  </rfmt>
  <rfmt sheetId="5" sqref="CB66" start="0" length="0">
    <dxf>
      <numFmt numFmtId="165" formatCode="&quot;$&quot;#,##0"/>
    </dxf>
  </rfmt>
  <rfmt sheetId="5" sqref="CB67" start="0" length="0">
    <dxf>
      <numFmt numFmtId="165" formatCode="&quot;$&quot;#,##0"/>
    </dxf>
  </rfmt>
  <rfmt sheetId="5" sqref="CB68" start="0" length="0">
    <dxf>
      <numFmt numFmtId="165" formatCode="&quot;$&quot;#,##0"/>
    </dxf>
  </rfmt>
  <rfmt sheetId="5" sqref="CB69" start="0" length="0">
    <dxf>
      <numFmt numFmtId="165" formatCode="&quot;$&quot;#,##0"/>
    </dxf>
  </rfmt>
  <rfmt sheetId="5" sqref="CB70" start="0" length="0">
    <dxf>
      <numFmt numFmtId="165" formatCode="&quot;$&quot;#,##0"/>
    </dxf>
  </rfmt>
  <rfmt sheetId="5" sqref="CB71" start="0" length="0">
    <dxf>
      <numFmt numFmtId="165" formatCode="&quot;$&quot;#,##0"/>
    </dxf>
  </rfmt>
  <rfmt sheetId="5" sqref="CB72" start="0" length="0">
    <dxf>
      <numFmt numFmtId="165" formatCode="&quot;$&quot;#,##0"/>
    </dxf>
  </rfmt>
  <rfmt sheetId="5" sqref="CB73" start="0" length="0">
    <dxf>
      <numFmt numFmtId="165" formatCode="&quot;$&quot;#,##0"/>
      <border outline="0">
        <bottom/>
      </border>
    </dxf>
  </rfmt>
  <rfmt sheetId="5" sqref="CB74" start="0" length="0">
    <dxf>
      <font>
        <b val="0"/>
      </font>
      <numFmt numFmtId="165" formatCode="&quot;$&quot;#,##0"/>
    </dxf>
  </rfmt>
  <rfmt sheetId="5" sqref="CB75" start="0" length="0">
    <dxf>
      <font>
        <b val="0"/>
      </font>
      <numFmt numFmtId="165" formatCode="&quot;$&quot;#,##0"/>
    </dxf>
  </rfmt>
  <rfmt sheetId="5" sqref="CB76" start="0" length="0">
    <dxf>
      <font>
        <b val="0"/>
      </font>
      <numFmt numFmtId="165" formatCode="&quot;$&quot;#,##0"/>
    </dxf>
  </rfmt>
  <rcc rId="42147" sId="5">
    <nc r="CB8">
      <f>CA8-BR8</f>
    </nc>
  </rcc>
  <rcc rId="42148" sId="5">
    <nc r="CB9">
      <f>CA9-BR9</f>
    </nc>
  </rcc>
  <rcc rId="42149" sId="5">
    <nc r="CB10">
      <f>CA10-BR10</f>
    </nc>
  </rcc>
  <rcc rId="42150" sId="5">
    <nc r="CB11">
      <f>CA11-BR11</f>
    </nc>
  </rcc>
  <rcc rId="42151" sId="5">
    <nc r="CB12">
      <f>CA12-BR12</f>
    </nc>
  </rcc>
  <rcc rId="42152" sId="5">
    <nc r="CB13">
      <f>CA13-BR13</f>
    </nc>
  </rcc>
  <rcc rId="42153" sId="5">
    <nc r="CB14">
      <f>CA14-BR14</f>
    </nc>
  </rcc>
  <rcc rId="42154" sId="5">
    <nc r="CB15">
      <f>CA15-BR15</f>
    </nc>
  </rcc>
  <rcc rId="42155" sId="5">
    <nc r="CB16">
      <f>CA16-BR16</f>
    </nc>
  </rcc>
  <rcc rId="42156" sId="5">
    <nc r="CB17">
      <f>CA17-BR17</f>
    </nc>
  </rcc>
  <rcc rId="42157" sId="5">
    <nc r="CB18">
      <f>CA18-BR18</f>
    </nc>
  </rcc>
  <rcc rId="42158" sId="5">
    <nc r="CB19">
      <f>CA19-BR19</f>
    </nc>
  </rcc>
  <rcc rId="42159" sId="5">
    <nc r="CB20">
      <f>CA20-BR20</f>
    </nc>
  </rcc>
  <rcc rId="42160" sId="5">
    <nc r="CB21">
      <f>CA21-BR21</f>
    </nc>
  </rcc>
  <rcc rId="42161" sId="5">
    <nc r="CB22">
      <f>CA22-BR22</f>
    </nc>
  </rcc>
  <rcc rId="42162" sId="5">
    <nc r="CB23">
      <f>CA23-BR23</f>
    </nc>
  </rcc>
  <rcc rId="42163" sId="5">
    <nc r="CB24">
      <f>CA24-BR24</f>
    </nc>
  </rcc>
  <rcc rId="42164" sId="5">
    <nc r="CB25">
      <f>CA25-BR25</f>
    </nc>
  </rcc>
  <rcc rId="42165" sId="5">
    <nc r="CB26">
      <f>CA26-BR26</f>
    </nc>
  </rcc>
  <rcc rId="42166" sId="5">
    <nc r="CB27">
      <f>CA27-BR27</f>
    </nc>
  </rcc>
  <rcc rId="42167" sId="5">
    <nc r="CB28">
      <f>CA28-BR28</f>
    </nc>
  </rcc>
  <rcc rId="42168" sId="5">
    <nc r="CB29">
      <f>CA29-BR29</f>
    </nc>
  </rcc>
  <rcc rId="42169" sId="5">
    <nc r="CB30">
      <f>CA30-BR30</f>
    </nc>
  </rcc>
  <rcc rId="42170" sId="5">
    <nc r="CB31">
      <f>CA31-BR31</f>
    </nc>
  </rcc>
  <rcc rId="42171" sId="5">
    <nc r="CB32">
      <f>CA32-BR32</f>
    </nc>
  </rcc>
  <rcc rId="42172" sId="5">
    <nc r="CB33">
      <f>CA33-BR33</f>
    </nc>
  </rcc>
  <rcc rId="42173" sId="5">
    <nc r="CB34">
      <f>CA34-BR34</f>
    </nc>
  </rcc>
  <rcc rId="42174" sId="5">
    <nc r="CB35">
      <f>CA35-BR35</f>
    </nc>
  </rcc>
  <rcc rId="42175" sId="5">
    <nc r="CB36">
      <f>CA36-BR36</f>
    </nc>
  </rcc>
  <rcc rId="42176" sId="5">
    <nc r="CB37">
      <f>CA37-BR37</f>
    </nc>
  </rcc>
  <rcc rId="42177" sId="5">
    <nc r="CB38">
      <f>CA38-BR38</f>
    </nc>
  </rcc>
  <rcc rId="42178" sId="5">
    <nc r="CB39">
      <f>CA39-BR39</f>
    </nc>
  </rcc>
  <rcc rId="42179" sId="5">
    <nc r="CB40">
      <f>CA40-BR40</f>
    </nc>
  </rcc>
  <rcc rId="42180" sId="5">
    <nc r="CB41">
      <f>CA41-BR41</f>
    </nc>
  </rcc>
  <rcc rId="42181" sId="5">
    <nc r="CB42">
      <f>CA42-BR42</f>
    </nc>
  </rcc>
  <rcc rId="42182" sId="5">
    <nc r="CB43">
      <f>CA43-BR43</f>
    </nc>
  </rcc>
  <rcc rId="42183" sId="5">
    <nc r="CB44">
      <f>CA44-BR44</f>
    </nc>
  </rcc>
  <rcc rId="42184" sId="5">
    <nc r="CB45">
      <f>CA45-BR45</f>
    </nc>
  </rcc>
  <rcc rId="42185" sId="5">
    <nc r="CB46">
      <f>CA46-BR46</f>
    </nc>
  </rcc>
  <rcc rId="42186" sId="5">
    <nc r="CB47">
      <f>CA47-BR47</f>
    </nc>
  </rcc>
  <rcc rId="42187" sId="5">
    <nc r="CB48">
      <f>CA48-BR48</f>
    </nc>
  </rcc>
  <rcc rId="42188" sId="5">
    <nc r="CB49">
      <f>CA49-BR49</f>
    </nc>
  </rcc>
  <rcc rId="42189" sId="5">
    <nc r="CB50">
      <f>CA50-BR50</f>
    </nc>
  </rcc>
  <rcc rId="42190" sId="5">
    <nc r="CB51">
      <f>CA51-BR51</f>
    </nc>
  </rcc>
  <rcc rId="42191" sId="5">
    <nc r="CB52">
      <f>CA52-BR52</f>
    </nc>
  </rcc>
  <rcc rId="42192" sId="5">
    <nc r="CB53">
      <f>CA53-BR53</f>
    </nc>
  </rcc>
  <rcc rId="42193" sId="5">
    <nc r="CB54">
      <f>CA54-BR54</f>
    </nc>
  </rcc>
  <rcc rId="42194" sId="5">
    <nc r="CB55">
      <f>CA55-BR55</f>
    </nc>
  </rcc>
  <rcc rId="42195" sId="5">
    <nc r="CB56">
      <f>CA56-BR56</f>
    </nc>
  </rcc>
  <rcc rId="42196" sId="5">
    <nc r="CB57">
      <f>CA57-BR57</f>
    </nc>
  </rcc>
  <rcc rId="42197" sId="5">
    <nc r="CB58">
      <f>CA58-BR58</f>
    </nc>
  </rcc>
  <rcc rId="42198" sId="5">
    <nc r="CB59">
      <f>CA59-BR59</f>
    </nc>
  </rcc>
  <rcc rId="42199" sId="5">
    <nc r="CB60">
      <f>CA60-BR60</f>
    </nc>
  </rcc>
  <rcc rId="42200" sId="5">
    <nc r="CB61">
      <f>CA61-BR61</f>
    </nc>
  </rcc>
  <rcc rId="42201" sId="5">
    <nc r="CB62">
      <f>CA62-BR62</f>
    </nc>
  </rcc>
  <rcc rId="42202" sId="5">
    <nc r="CB63">
      <f>CA63-BR63</f>
    </nc>
  </rcc>
  <rcc rId="42203" sId="5">
    <nc r="CB64">
      <f>CA64-BR64</f>
    </nc>
  </rcc>
  <rcc rId="42204" sId="5">
    <nc r="CB65">
      <f>CA65-BR65</f>
    </nc>
  </rcc>
  <rcc rId="42205" sId="5">
    <nc r="CB66">
      <f>CA66-BR66</f>
    </nc>
  </rcc>
  <rcc rId="42206" sId="5">
    <nc r="CB67">
      <f>CA67-BR67</f>
    </nc>
  </rcc>
  <rcc rId="42207" sId="5">
    <nc r="CB68">
      <f>CA68-BR68</f>
    </nc>
  </rcc>
  <rcc rId="42208" sId="5">
    <nc r="CB69">
      <f>CA69-BR69</f>
    </nc>
  </rcc>
  <rcc rId="42209" sId="5">
    <nc r="CB70">
      <f>CA70-BR70</f>
    </nc>
  </rcc>
  <rcc rId="42210" sId="5">
    <nc r="CB71">
      <f>CA71-BR71</f>
    </nc>
  </rcc>
  <rcc rId="42211" sId="5">
    <nc r="CB72">
      <f>CA72-BR72</f>
    </nc>
  </rcc>
  <rcc rId="42212" sId="5">
    <nc r="CB73">
      <f>CA73-BR73</f>
    </nc>
  </rcc>
  <rcc rId="42213" sId="5">
    <nc r="CB74">
      <f>CA74-BR74</f>
    </nc>
  </rcc>
  <rcc rId="42214" sId="5">
    <nc r="CB75">
      <f>CA75-BR75</f>
    </nc>
  </rcc>
  <rcc rId="42215" sId="5">
    <nc r="CB76">
      <f>CA76-BR76</f>
    </nc>
  </rcc>
  <rcc rId="42216" sId="5" odxf="1" dxf="1">
    <nc r="CB77">
      <f>CA77-BR77</f>
    </nc>
    <odxf>
      <font>
        <b/>
      </font>
      <numFmt numFmtId="0" formatCode="General"/>
    </odxf>
    <ndxf>
      <font>
        <b val="0"/>
      </font>
      <numFmt numFmtId="165" formatCode="&quot;$&quot;#,##0"/>
    </ndxf>
  </rcc>
  <rcc rId="42217" sId="5" odxf="1" dxf="1">
    <nc r="CB78">
      <f>CA78-BR78</f>
    </nc>
    <odxf>
      <font>
        <b/>
      </font>
      <numFmt numFmtId="0" formatCode="General"/>
    </odxf>
    <ndxf>
      <font>
        <b val="0"/>
      </font>
      <numFmt numFmtId="165" formatCode="&quot;$&quot;#,##0"/>
    </ndxf>
  </rcc>
  <rcc rId="42218" sId="5" odxf="1" dxf="1">
    <nc r="CB79">
      <f>CA79-BR79</f>
    </nc>
    <odxf>
      <font>
        <b/>
      </font>
      <numFmt numFmtId="0" formatCode="General"/>
    </odxf>
    <ndxf>
      <font>
        <b val="0"/>
      </font>
      <numFmt numFmtId="165" formatCode="&quot;$&quot;#,##0"/>
    </ndxf>
  </rcc>
  <rcc rId="42219" sId="5" odxf="1" dxf="1">
    <nc r="CB80">
      <f>CA80-BR80</f>
    </nc>
    <odxf>
      <font>
        <b/>
      </font>
      <numFmt numFmtId="0" formatCode="General"/>
    </odxf>
    <ndxf>
      <font>
        <b val="0"/>
      </font>
      <numFmt numFmtId="165" formatCode="&quot;$&quot;#,##0"/>
    </ndxf>
  </rcc>
  <rcc rId="42220" sId="5" odxf="1" dxf="1">
    <nc r="CB81">
      <f>CA81-BR81</f>
    </nc>
    <odxf>
      <font>
        <b/>
      </font>
      <numFmt numFmtId="0" formatCode="General"/>
    </odxf>
    <ndxf>
      <font>
        <b val="0"/>
      </font>
      <numFmt numFmtId="165" formatCode="&quot;$&quot;#,##0"/>
    </ndxf>
  </rcc>
  <rcc rId="42221" sId="5" odxf="1" dxf="1">
    <nc r="CB82">
      <f>CA82-BR82</f>
    </nc>
    <odxf>
      <font>
        <b/>
      </font>
      <numFmt numFmtId="0" formatCode="General"/>
    </odxf>
    <ndxf>
      <font>
        <b val="0"/>
      </font>
      <numFmt numFmtId="165" formatCode="&quot;$&quot;#,##0"/>
    </ndxf>
  </rcc>
  <rcc rId="42222" sId="5" odxf="1" dxf="1">
    <nc r="CB83">
      <f>CA83-BR83</f>
    </nc>
    <odxf>
      <numFmt numFmtId="0" formatCode="General"/>
    </odxf>
    <ndxf>
      <numFmt numFmtId="165" formatCode="&quot;$&quot;#,##0"/>
    </ndxf>
  </rcc>
  <rcc rId="42223" sId="5" odxf="1" dxf="1">
    <nc r="CB84">
      <f>CA84-BR84</f>
    </nc>
    <odxf>
      <numFmt numFmtId="0" formatCode="General"/>
      <fill>
        <patternFill patternType="solid">
          <bgColor theme="0" tint="-0.249977111117893"/>
        </patternFill>
      </fill>
    </odxf>
    <ndxf>
      <numFmt numFmtId="165" formatCode="&quot;$&quot;#,##0"/>
      <fill>
        <patternFill patternType="none">
          <bgColor indexed="65"/>
        </patternFill>
      </fill>
    </ndxf>
  </rcc>
  <rcc rId="42224" sId="5" odxf="1" dxf="1">
    <nc r="CB85">
      <f>CA85-BR85</f>
    </nc>
    <odxf>
      <numFmt numFmtId="0" formatCode="General"/>
    </odxf>
    <ndxf>
      <numFmt numFmtId="165" formatCode="&quot;$&quot;#,##0"/>
    </ndxf>
  </rcc>
  <rcc rId="42225" sId="5" odxf="1" dxf="1">
    <nc r="CB86">
      <f>CA86-BR86</f>
    </nc>
    <odxf>
      <numFmt numFmtId="0" formatCode="General"/>
    </odxf>
    <ndxf>
      <numFmt numFmtId="165" formatCode="&quot;$&quot;#,##0"/>
    </ndxf>
  </rcc>
  <rcc rId="42226" sId="5" odxf="1" dxf="1">
    <nc r="CB87">
      <f>CA87-BR87</f>
    </nc>
    <odxf>
      <numFmt numFmtId="0" formatCode="General"/>
    </odxf>
    <ndxf>
      <numFmt numFmtId="165" formatCode="&quot;$&quot;#,##0"/>
    </ndxf>
  </rcc>
  <rcc rId="42227" sId="5" odxf="1" dxf="1">
    <nc r="CB88">
      <f>CA88-BR88</f>
    </nc>
    <odxf>
      <numFmt numFmtId="0" formatCode="General"/>
    </odxf>
    <ndxf>
      <numFmt numFmtId="165" formatCode="&quot;$&quot;#,##0"/>
    </ndxf>
  </rcc>
  <rcc rId="42228" sId="5" odxf="1" dxf="1">
    <nc r="CB89">
      <f>CA89-BR89</f>
    </nc>
    <odxf>
      <numFmt numFmtId="0" formatCode="General"/>
    </odxf>
    <ndxf>
      <numFmt numFmtId="165" formatCode="&quot;$&quot;#,##0"/>
    </ndxf>
  </rcc>
  <rcc rId="42229" sId="5" odxf="1" dxf="1">
    <nc r="CB90">
      <f>CA90-BR90</f>
    </nc>
    <odxf>
      <numFmt numFmtId="0" formatCode="General"/>
    </odxf>
    <ndxf>
      <numFmt numFmtId="165" formatCode="&quot;$&quot;#,##0"/>
    </ndxf>
  </rcc>
  <rcc rId="42230" sId="5" odxf="1" dxf="1">
    <nc r="CB91">
      <f>CA91-BR91</f>
    </nc>
    <odxf>
      <numFmt numFmtId="0" formatCode="General"/>
    </odxf>
    <ndxf>
      <numFmt numFmtId="165" formatCode="&quot;$&quot;#,##0"/>
    </ndxf>
  </rcc>
  <rcc rId="42231" sId="5" odxf="1" dxf="1">
    <nc r="CB92">
      <f>CA92-BR92</f>
    </nc>
    <odxf>
      <numFmt numFmtId="0" formatCode="General"/>
    </odxf>
    <ndxf>
      <numFmt numFmtId="165" formatCode="&quot;$&quot;#,##0"/>
    </ndxf>
  </rcc>
  <rcc rId="42232" sId="5" odxf="1" dxf="1">
    <nc r="CB93">
      <f>CA93-BR93</f>
    </nc>
    <odxf>
      <numFmt numFmtId="0" formatCode="General"/>
    </odxf>
    <ndxf>
      <numFmt numFmtId="165" formatCode="&quot;$&quot;#,##0"/>
    </ndxf>
  </rcc>
  <rcc rId="42233" sId="5" odxf="1" dxf="1">
    <nc r="CB94">
      <f>CA94-BR94</f>
    </nc>
    <odxf>
      <numFmt numFmtId="0" formatCode="General"/>
    </odxf>
    <ndxf>
      <numFmt numFmtId="165" formatCode="&quot;$&quot;#,##0"/>
    </ndxf>
  </rcc>
  <rcc rId="42234" sId="5" odxf="1" dxf="1">
    <nc r="CB95">
      <f>CA95-BR95</f>
    </nc>
    <odxf>
      <numFmt numFmtId="0" formatCode="General"/>
    </odxf>
    <ndxf>
      <numFmt numFmtId="165" formatCode="&quot;$&quot;#,##0"/>
    </ndxf>
  </rcc>
  <rcc rId="42235" sId="5" odxf="1" dxf="1">
    <nc r="CB96">
      <f>CA96-BR96</f>
    </nc>
    <odxf>
      <numFmt numFmtId="0" formatCode="General"/>
    </odxf>
    <ndxf>
      <numFmt numFmtId="165" formatCode="&quot;$&quot;#,##0"/>
    </ndxf>
  </rcc>
  <rcc rId="42236" sId="5" odxf="1" dxf="1">
    <nc r="CB97">
      <f>CA97-BR97</f>
    </nc>
    <odxf>
      <numFmt numFmtId="0" formatCode="General"/>
    </odxf>
    <ndxf>
      <numFmt numFmtId="165" formatCode="&quot;$&quot;#,##0"/>
    </ndxf>
  </rcc>
  <rcc rId="42237" sId="5" odxf="1" dxf="1">
    <nc r="CB98">
      <f>CA98-BR98</f>
    </nc>
    <odxf>
      <numFmt numFmtId="0" formatCode="General"/>
    </odxf>
    <ndxf>
      <numFmt numFmtId="165" formatCode="&quot;$&quot;#,##0"/>
    </ndxf>
  </rcc>
  <rcc rId="42238" sId="5" odxf="1" dxf="1">
    <nc r="CB99">
      <f>CA99-BR99</f>
    </nc>
    <odxf>
      <numFmt numFmtId="0" formatCode="General"/>
    </odxf>
    <ndxf>
      <numFmt numFmtId="165" formatCode="&quot;$&quot;#,##0"/>
    </ndxf>
  </rcc>
  <rcc rId="42239" sId="5" odxf="1" dxf="1">
    <nc r="CB100">
      <f>CA100-BR100</f>
    </nc>
    <odxf>
      <numFmt numFmtId="0" formatCode="General"/>
    </odxf>
    <ndxf>
      <numFmt numFmtId="165" formatCode="&quot;$&quot;#,##0"/>
    </ndxf>
  </rcc>
  <rcc rId="42240" sId="5" odxf="1" dxf="1">
    <nc r="CB101">
      <f>CA101-BR101</f>
    </nc>
    <odxf>
      <numFmt numFmtId="0" formatCode="General"/>
    </odxf>
    <ndxf>
      <numFmt numFmtId="165" formatCode="&quot;$&quot;#,##0"/>
    </ndxf>
  </rcc>
  <rcc rId="42241" sId="5" odxf="1" dxf="1">
    <nc r="CB102">
      <f>CA102-BR102</f>
    </nc>
    <odxf>
      <numFmt numFmtId="0" formatCode="General"/>
    </odxf>
    <ndxf>
      <numFmt numFmtId="165" formatCode="&quot;$&quot;#,##0"/>
    </ndxf>
  </rcc>
  <rcc rId="42242" sId="5" odxf="1" dxf="1">
    <nc r="CB103">
      <f>CA103-BR103</f>
    </nc>
    <odxf>
      <numFmt numFmtId="0" formatCode="General"/>
    </odxf>
    <ndxf>
      <numFmt numFmtId="165" formatCode="&quot;$&quot;#,##0"/>
    </ndxf>
  </rcc>
  <rcc rId="42243" sId="5" odxf="1" dxf="1">
    <nc r="CB104">
      <f>CA104-BR104</f>
    </nc>
    <odxf>
      <numFmt numFmtId="0" formatCode="General"/>
    </odxf>
    <ndxf>
      <numFmt numFmtId="165" formatCode="&quot;$&quot;#,##0"/>
    </ndxf>
  </rcc>
  <rcc rId="42244" sId="5" odxf="1" dxf="1">
    <nc r="CB105">
      <f>CA105-BR105</f>
    </nc>
    <odxf>
      <numFmt numFmtId="0" formatCode="General"/>
    </odxf>
    <ndxf>
      <numFmt numFmtId="165" formatCode="&quot;$&quot;#,##0"/>
    </ndxf>
  </rcc>
  <rcc rId="42245" sId="5" odxf="1" dxf="1">
    <nc r="CB106">
      <f>CA106-BR106</f>
    </nc>
    <odxf>
      <numFmt numFmtId="0" formatCode="General"/>
    </odxf>
    <ndxf>
      <numFmt numFmtId="165" formatCode="&quot;$&quot;#,##0"/>
    </ndxf>
  </rcc>
  <rcc rId="42246" sId="5" odxf="1" dxf="1">
    <nc r="CB107">
      <f>CA107-BR107</f>
    </nc>
    <odxf>
      <numFmt numFmtId="0" formatCode="General"/>
    </odxf>
    <ndxf>
      <numFmt numFmtId="165" formatCode="&quot;$&quot;#,##0"/>
    </ndxf>
  </rcc>
  <rcc rId="42247" sId="5" odxf="1" dxf="1">
    <nc r="CB108">
      <f>CA108-BR108</f>
    </nc>
    <odxf>
      <numFmt numFmtId="0" formatCode="General"/>
      <border outline="0">
        <bottom style="medium">
          <color indexed="64"/>
        </bottom>
      </border>
    </odxf>
    <ndxf>
      <numFmt numFmtId="165" formatCode="&quot;$&quot;#,##0"/>
      <border outline="0">
        <bottom/>
      </border>
    </ndxf>
  </rcc>
  <rcc rId="42248" sId="5" odxf="1" dxf="1">
    <nc r="CB109">
      <f>CA109-BR109</f>
    </nc>
    <odxf>
      <font>
        <b/>
      </font>
      <numFmt numFmtId="0" formatCode="General"/>
    </odxf>
    <ndxf>
      <font>
        <b val="0"/>
      </font>
      <numFmt numFmtId="165" formatCode="&quot;$&quot;#,##0"/>
    </ndxf>
  </rcc>
  <rcc rId="42249" sId="5" odxf="1" dxf="1">
    <nc r="CB110">
      <f>CA110-BR110</f>
    </nc>
    <odxf>
      <font>
        <b/>
      </font>
      <numFmt numFmtId="0" formatCode="General"/>
    </odxf>
    <ndxf>
      <font>
        <b val="0"/>
      </font>
      <numFmt numFmtId="165" formatCode="&quot;$&quot;#,##0"/>
    </ndxf>
  </rcc>
  <rcc rId="42250" sId="5" odxf="1" dxf="1">
    <nc r="CB111">
      <f>CA111-BR111</f>
    </nc>
    <odxf>
      <font>
        <b/>
      </font>
      <numFmt numFmtId="0" formatCode="General"/>
    </odxf>
    <ndxf>
      <font>
        <b val="0"/>
      </font>
      <numFmt numFmtId="165" formatCode="&quot;$&quot;#,##0"/>
    </ndxf>
  </rcc>
  <rcc rId="42251" sId="5" odxf="1" dxf="1">
    <nc r="CB112">
      <f>CA112-BR112</f>
    </nc>
    <odxf>
      <font>
        <b/>
      </font>
      <numFmt numFmtId="0" formatCode="General"/>
    </odxf>
    <ndxf>
      <font>
        <b val="0"/>
      </font>
      <numFmt numFmtId="165" formatCode="&quot;$&quot;#,##0"/>
    </ndxf>
  </rcc>
  <rcc rId="42252" sId="5" odxf="1" dxf="1">
    <nc r="CB113">
      <f>CA113-BR113</f>
    </nc>
    <odxf>
      <font>
        <b/>
      </font>
      <numFmt numFmtId="0" formatCode="General"/>
    </odxf>
    <ndxf>
      <font>
        <b val="0"/>
      </font>
      <numFmt numFmtId="165" formatCode="&quot;$&quot;#,##0"/>
    </ndxf>
  </rcc>
  <rcc rId="42253" sId="5" odxf="1" dxf="1">
    <nc r="CB114">
      <f>CA114-BR114</f>
    </nc>
    <odxf>
      <font>
        <b/>
      </font>
      <numFmt numFmtId="0" formatCode="General"/>
    </odxf>
    <ndxf>
      <font>
        <b val="0"/>
      </font>
      <numFmt numFmtId="165" formatCode="&quot;$&quot;#,##0"/>
    </ndxf>
  </rcc>
  <rcc rId="42254" sId="5" odxf="1" dxf="1">
    <nc r="CB115">
      <f>CA115-BR115</f>
    </nc>
    <odxf>
      <font>
        <b/>
      </font>
      <numFmt numFmtId="0" formatCode="General"/>
    </odxf>
    <ndxf>
      <font>
        <b val="0"/>
      </font>
      <numFmt numFmtId="165" formatCode="&quot;$&quot;#,##0"/>
    </ndxf>
  </rcc>
  <rcc rId="42255" sId="5" odxf="1" dxf="1">
    <nc r="CB116">
      <f>CA116-BR116</f>
    </nc>
    <odxf>
      <numFmt numFmtId="0" formatCode="General"/>
    </odxf>
    <ndxf>
      <numFmt numFmtId="165" formatCode="&quot;$&quot;#,##0"/>
    </ndxf>
  </rcc>
  <rcc rId="42256" sId="5" odxf="1" dxf="1">
    <nc r="CB117">
      <f>CA117-BR117</f>
    </nc>
    <odxf>
      <numFmt numFmtId="0" formatCode="General"/>
    </odxf>
    <ndxf>
      <numFmt numFmtId="165" formatCode="&quot;$&quot;#,##0"/>
    </ndxf>
  </rcc>
  <rcc rId="42257" sId="5" odxf="1" dxf="1">
    <nc r="CB118">
      <f>CA118-BR118</f>
    </nc>
    <odxf>
      <numFmt numFmtId="0" formatCode="General"/>
    </odxf>
    <ndxf>
      <numFmt numFmtId="165" formatCode="&quot;$&quot;#,##0"/>
    </ndxf>
  </rcc>
  <rcc rId="42258" sId="5" odxf="1" dxf="1">
    <nc r="CB119">
      <f>CA119-BR119</f>
    </nc>
    <odxf>
      <numFmt numFmtId="0" formatCode="General"/>
      <fill>
        <patternFill patternType="solid">
          <bgColor theme="0" tint="-0.249977111117893"/>
        </patternFill>
      </fill>
    </odxf>
    <ndxf>
      <numFmt numFmtId="165" formatCode="&quot;$&quot;#,##0"/>
      <fill>
        <patternFill patternType="none">
          <bgColor indexed="65"/>
        </patternFill>
      </fill>
    </ndxf>
  </rcc>
  <rcc rId="42259" sId="5" odxf="1" dxf="1">
    <nc r="CB120">
      <f>CA120-BR120</f>
    </nc>
    <odxf>
      <numFmt numFmtId="0" formatCode="General"/>
    </odxf>
    <ndxf>
      <numFmt numFmtId="165" formatCode="&quot;$&quot;#,##0"/>
    </ndxf>
  </rcc>
  <rcc rId="42260" sId="5" odxf="1" dxf="1">
    <nc r="CB121">
      <f>CA121-BR121</f>
    </nc>
    <odxf>
      <numFmt numFmtId="0" formatCode="General"/>
    </odxf>
    <ndxf>
      <numFmt numFmtId="165" formatCode="&quot;$&quot;#,##0"/>
    </ndxf>
  </rcc>
  <rcc rId="42261" sId="5" odxf="1" dxf="1">
    <nc r="CB122">
      <f>CA122-BR122</f>
    </nc>
    <odxf>
      <numFmt numFmtId="0" formatCode="General"/>
    </odxf>
    <ndxf>
      <numFmt numFmtId="165" formatCode="&quot;$&quot;#,##0"/>
    </ndxf>
  </rcc>
  <rcc rId="42262" sId="5" odxf="1" dxf="1">
    <nc r="CB123">
      <f>CA123-BR123</f>
    </nc>
    <odxf>
      <numFmt numFmtId="0" formatCode="General"/>
    </odxf>
    <ndxf>
      <numFmt numFmtId="165" formatCode="&quot;$&quot;#,##0"/>
    </ndxf>
  </rcc>
  <rcc rId="42263" sId="5" odxf="1" dxf="1">
    <nc r="CB124">
      <f>CA124-BR124</f>
    </nc>
    <odxf>
      <numFmt numFmtId="0" formatCode="General"/>
    </odxf>
    <ndxf>
      <numFmt numFmtId="165" formatCode="&quot;$&quot;#,##0"/>
    </ndxf>
  </rcc>
  <rcc rId="42264" sId="5" odxf="1" dxf="1">
    <nc r="CB125">
      <f>CA125-BR125</f>
    </nc>
    <odxf>
      <numFmt numFmtId="0" formatCode="General"/>
    </odxf>
    <ndxf>
      <numFmt numFmtId="165" formatCode="&quot;$&quot;#,##0"/>
    </ndxf>
  </rcc>
  <rcc rId="42265" sId="5" odxf="1" dxf="1">
    <nc r="CB126">
      <f>CA126-BR126</f>
    </nc>
    <odxf>
      <numFmt numFmtId="0" formatCode="General"/>
    </odxf>
    <ndxf>
      <numFmt numFmtId="165" formatCode="&quot;$&quot;#,##0"/>
    </ndxf>
  </rcc>
  <rcc rId="42266" sId="5" odxf="1" dxf="1">
    <nc r="CB127">
      <f>CA127-BR127</f>
    </nc>
    <odxf>
      <numFmt numFmtId="0" formatCode="General"/>
    </odxf>
    <ndxf>
      <numFmt numFmtId="165" formatCode="&quot;$&quot;#,##0"/>
    </ndxf>
  </rcc>
  <rcc rId="42267" sId="5" odxf="1" dxf="1">
    <nc r="CB128">
      <f>CA128-BR128</f>
    </nc>
    <odxf>
      <numFmt numFmtId="0" formatCode="General"/>
    </odxf>
    <ndxf>
      <numFmt numFmtId="165" formatCode="&quot;$&quot;#,##0"/>
    </ndxf>
  </rcc>
  <rcc rId="42268" sId="5" odxf="1" dxf="1">
    <nc r="CB129">
      <f>CA129-BR129</f>
    </nc>
    <odxf>
      <numFmt numFmtId="0" formatCode="General"/>
    </odxf>
    <ndxf>
      <numFmt numFmtId="165" formatCode="&quot;$&quot;#,##0"/>
    </ndxf>
  </rcc>
  <rcc rId="42269" sId="5" odxf="1" dxf="1">
    <nc r="CB130">
      <f>CA130-BR130</f>
    </nc>
    <odxf>
      <numFmt numFmtId="0" formatCode="General"/>
    </odxf>
    <ndxf>
      <numFmt numFmtId="165" formatCode="&quot;$&quot;#,##0"/>
    </ndxf>
  </rcc>
  <rcc rId="42270" sId="5" odxf="1" dxf="1">
    <nc r="CB131">
      <f>CA131-BR131</f>
    </nc>
    <odxf>
      <numFmt numFmtId="0" formatCode="General"/>
    </odxf>
    <ndxf>
      <numFmt numFmtId="165" formatCode="&quot;$&quot;#,##0"/>
    </ndxf>
  </rcc>
  <rcc rId="42271" sId="5" odxf="1" dxf="1">
    <nc r="CB132">
      <f>CA132-BR132</f>
    </nc>
    <odxf>
      <numFmt numFmtId="0" formatCode="General"/>
      <border outline="0">
        <bottom style="medium">
          <color indexed="64"/>
        </bottom>
      </border>
    </odxf>
    <ndxf>
      <numFmt numFmtId="165" formatCode="&quot;$&quot;#,##0"/>
      <border outline="0">
        <bottom/>
      </border>
    </ndxf>
  </rcc>
  <rcc rId="42272" sId="5" odxf="1" dxf="1">
    <nc r="CB133">
      <f>CA133-BR133</f>
    </nc>
    <odxf>
      <font>
        <b/>
      </font>
      <numFmt numFmtId="0" formatCode="General"/>
    </odxf>
    <ndxf>
      <font>
        <b val="0"/>
      </font>
      <numFmt numFmtId="165" formatCode="&quot;$&quot;#,##0"/>
    </ndxf>
  </rcc>
  <rcc rId="42273" sId="5" odxf="1" dxf="1">
    <nc r="CB134">
      <f>CA134-BR134</f>
    </nc>
    <odxf>
      <font>
        <b/>
      </font>
      <numFmt numFmtId="0" formatCode="General"/>
    </odxf>
    <ndxf>
      <font>
        <b val="0"/>
      </font>
      <numFmt numFmtId="165" formatCode="&quot;$&quot;#,##0"/>
    </ndxf>
  </rcc>
  <rcc rId="42274" sId="5" odxf="1" dxf="1">
    <nc r="CB135">
      <f>CA135-BR135</f>
    </nc>
    <odxf>
      <font>
        <b/>
      </font>
      <numFmt numFmtId="0" formatCode="General"/>
    </odxf>
    <ndxf>
      <font>
        <b val="0"/>
      </font>
      <numFmt numFmtId="165" formatCode="&quot;$&quot;#,##0"/>
    </ndxf>
  </rcc>
  <rcc rId="42275" sId="5" odxf="1" dxf="1">
    <nc r="CB136">
      <f>CA136-BR136</f>
    </nc>
    <odxf>
      <font>
        <b/>
      </font>
      <numFmt numFmtId="0" formatCode="General"/>
    </odxf>
    <ndxf>
      <font>
        <b val="0"/>
      </font>
      <numFmt numFmtId="165" formatCode="&quot;$&quot;#,##0"/>
    </ndxf>
  </rcc>
  <rcc rId="42276" sId="5" odxf="1" dxf="1">
    <nc r="CB137">
      <f>CA137-BR137</f>
    </nc>
    <odxf>
      <numFmt numFmtId="0" formatCode="General"/>
    </odxf>
    <ndxf>
      <numFmt numFmtId="165" formatCode="&quot;$&quot;#,##0"/>
    </ndxf>
  </rcc>
  <rcc rId="42277" sId="5" odxf="1" dxf="1">
    <nc r="CB138">
      <f>CA138-BR138</f>
    </nc>
    <odxf>
      <numFmt numFmtId="0" formatCode="General"/>
    </odxf>
    <ndxf>
      <numFmt numFmtId="165" formatCode="&quot;$&quot;#,##0"/>
    </ndxf>
  </rcc>
  <rcc rId="42278" sId="5" odxf="1" dxf="1">
    <nc r="CB139">
      <f>CA139-BR139</f>
    </nc>
    <odxf>
      <numFmt numFmtId="0" formatCode="General"/>
    </odxf>
    <ndxf>
      <numFmt numFmtId="165" formatCode="&quot;$&quot;#,##0"/>
    </ndxf>
  </rcc>
  <rcc rId="42279" sId="5" odxf="1" dxf="1">
    <nc r="CB140">
      <f>CA140-BR140</f>
    </nc>
    <odxf>
      <numFmt numFmtId="0" formatCode="General"/>
    </odxf>
    <ndxf>
      <numFmt numFmtId="165" formatCode="&quot;$&quot;#,##0"/>
    </ndxf>
  </rcc>
  <rcc rId="42280" sId="5" odxf="1" dxf="1">
    <nc r="CB141">
      <f>CA141-BR141</f>
    </nc>
    <odxf>
      <numFmt numFmtId="0" formatCode="General"/>
    </odxf>
    <ndxf>
      <numFmt numFmtId="165" formatCode="&quot;$&quot;#,##0"/>
    </ndxf>
  </rcc>
  <rcc rId="42281" sId="5" odxf="1" dxf="1">
    <nc r="CB142">
      <f>CA142-BR142</f>
    </nc>
    <odxf>
      <numFmt numFmtId="0" formatCode="General"/>
    </odxf>
    <ndxf>
      <numFmt numFmtId="165" formatCode="&quot;$&quot;#,##0"/>
    </ndxf>
  </rcc>
  <rcc rId="42282" sId="5" odxf="1" dxf="1">
    <nc r="CB143">
      <f>CA143-BR143</f>
    </nc>
    <odxf>
      <numFmt numFmtId="0" formatCode="General"/>
    </odxf>
    <ndxf>
      <numFmt numFmtId="165" formatCode="&quot;$&quot;#,##0"/>
    </ndxf>
  </rcc>
  <rcc rId="42283" sId="5" odxf="1" dxf="1">
    <nc r="CB144">
      <f>CA144-BR144</f>
    </nc>
    <odxf>
      <numFmt numFmtId="0" formatCode="General"/>
    </odxf>
    <ndxf>
      <numFmt numFmtId="165" formatCode="&quot;$&quot;#,##0"/>
    </ndxf>
  </rcc>
  <rcc rId="42284" sId="5" odxf="1" dxf="1">
    <nc r="CB145">
      <f>CA145-BR145</f>
    </nc>
    <odxf>
      <numFmt numFmtId="0" formatCode="General"/>
      <fill>
        <patternFill patternType="solid">
          <bgColor theme="0" tint="-0.249977111117893"/>
        </patternFill>
      </fill>
    </odxf>
    <ndxf>
      <numFmt numFmtId="165" formatCode="&quot;$&quot;#,##0"/>
      <fill>
        <patternFill patternType="none">
          <bgColor indexed="65"/>
        </patternFill>
      </fill>
    </ndxf>
  </rcc>
  <rcc rId="42285" sId="5" odxf="1" dxf="1">
    <oc r="CB146">
      <f>BU146-F146</f>
    </oc>
    <nc r="CB146">
      <f>CA146-BR146</f>
    </nc>
    <odxf>
      <numFmt numFmtId="10" formatCode="&quot;$&quot;#,##0_);[Red]\(&quot;$&quot;#,##0\)"/>
    </odxf>
    <ndxf>
      <numFmt numFmtId="165" formatCode="&quot;$&quot;#,##0"/>
    </ndxf>
  </rcc>
  <rcc rId="42286" sId="5" odxf="1" dxf="1">
    <oc r="CB147">
      <f>CB146/F146</f>
    </oc>
    <nc r="CB147">
      <f>CA147-BR147</f>
    </nc>
    <odxf>
      <numFmt numFmtId="14" formatCode="0.00%"/>
    </odxf>
    <ndxf>
      <numFmt numFmtId="165" formatCode="&quot;$&quot;#,##0"/>
    </ndxf>
  </rcc>
  <rcc rId="42287" sId="5" odxf="1" dxf="1">
    <nc r="CB148">
      <f>CA148-BR148</f>
    </nc>
    <odxf>
      <numFmt numFmtId="0" formatCode="General"/>
    </odxf>
    <ndxf>
      <numFmt numFmtId="165" formatCode="&quot;$&quot;#,##0"/>
    </ndxf>
  </rcc>
  <rcc rId="42288" sId="5" odxf="1" dxf="1">
    <oc r="CB149">
      <f>BU146-X146</f>
    </oc>
    <nc r="CB149">
      <f>CA149-BR149</f>
    </nc>
    <odxf>
      <numFmt numFmtId="10" formatCode="&quot;$&quot;#,##0_);[Red]\(&quot;$&quot;#,##0\)"/>
    </odxf>
    <ndxf>
      <numFmt numFmtId="165" formatCode="&quot;$&quot;#,##0"/>
    </ndxf>
  </rcc>
  <rcc rId="42289" sId="5" odxf="1" dxf="1">
    <oc r="CB150">
      <f>CB149/X146</f>
    </oc>
    <nc r="CB150">
      <f>CA150-BR150</f>
    </nc>
    <odxf>
      <numFmt numFmtId="14" formatCode="0.00%"/>
    </odxf>
    <ndxf>
      <numFmt numFmtId="165" formatCode="&quot;$&quot;#,##0"/>
    </ndxf>
  </rcc>
  <rcc rId="42290" sId="5" odxf="1" dxf="1">
    <nc r="CB151">
      <f>CA151-BR151</f>
    </nc>
    <odxf>
      <numFmt numFmtId="0" formatCode="General"/>
    </odxf>
    <ndxf>
      <numFmt numFmtId="165" formatCode="&quot;$&quot;#,##0"/>
    </ndxf>
  </rcc>
  <rcc rId="42291" sId="5" odxf="1" dxf="1">
    <nc r="CB152">
      <f>CA152-BR152</f>
    </nc>
    <odxf>
      <numFmt numFmtId="0" formatCode="General"/>
    </odxf>
    <ndxf>
      <numFmt numFmtId="165" formatCode="&quot;$&quot;#,##0"/>
    </ndxf>
  </rcc>
  <rcc rId="42292" sId="5" odxf="1" dxf="1">
    <nc r="CB153">
      <f>CA153-BR153</f>
    </nc>
    <odxf>
      <numFmt numFmtId="0" formatCode="General"/>
    </odxf>
    <ndxf>
      <numFmt numFmtId="165" formatCode="&quot;$&quot;#,##0"/>
    </ndxf>
  </rcc>
  <rcc rId="42293" sId="5" odxf="1" dxf="1">
    <nc r="CB154">
      <f>CA154-BR154</f>
    </nc>
    <odxf>
      <numFmt numFmtId="0" formatCode="General"/>
    </odxf>
    <ndxf>
      <numFmt numFmtId="165" formatCode="&quot;$&quot;#,##0"/>
    </ndxf>
  </rcc>
  <rcc rId="42294" sId="5" odxf="1" dxf="1">
    <nc r="CB155">
      <f>CA155-BR155</f>
    </nc>
    <odxf>
      <numFmt numFmtId="0" formatCode="General"/>
    </odxf>
    <ndxf>
      <numFmt numFmtId="165" formatCode="&quot;$&quot;#,##0"/>
    </ndxf>
  </rcc>
  <rcc rId="42295" sId="5" odxf="1" dxf="1">
    <nc r="CB156">
      <f>CA156-BR156</f>
    </nc>
    <odxf>
      <numFmt numFmtId="0" formatCode="General"/>
    </odxf>
    <ndxf>
      <numFmt numFmtId="165" formatCode="&quot;$&quot;#,##0"/>
    </ndxf>
  </rcc>
  <rcc rId="42296" sId="5" odxf="1" dxf="1">
    <nc r="CB157">
      <f>CA157-BR157</f>
    </nc>
    <odxf>
      <numFmt numFmtId="0" formatCode="General"/>
    </odxf>
    <ndxf>
      <numFmt numFmtId="165" formatCode="&quot;$&quot;#,##0"/>
    </ndxf>
  </rcc>
  <rcc rId="42297" sId="5" odxf="1" dxf="1">
    <nc r="CB158">
      <f>CA158-BR158</f>
    </nc>
    <odxf>
      <numFmt numFmtId="0" formatCode="General"/>
    </odxf>
    <ndxf>
      <numFmt numFmtId="165" formatCode="&quot;$&quot;#,##0"/>
    </ndxf>
  </rcc>
  <rcc rId="42298" sId="5" odxf="1" dxf="1">
    <nc r="CB159">
      <f>CA159-BR159</f>
    </nc>
    <odxf>
      <numFmt numFmtId="0" formatCode="General"/>
    </odxf>
    <ndxf>
      <numFmt numFmtId="165" formatCode="&quot;$&quot;#,##0"/>
    </ndxf>
  </rcc>
  <rcc rId="42299" sId="5" odxf="1" dxf="1">
    <nc r="CB160">
      <f>CA160-BR160</f>
    </nc>
    <odxf>
      <numFmt numFmtId="0" formatCode="General"/>
    </odxf>
    <ndxf>
      <numFmt numFmtId="165" formatCode="&quot;$&quot;#,##0"/>
    </ndxf>
  </rcc>
  <rcc rId="42300" sId="5" odxf="1" dxf="1">
    <nc r="CB161">
      <f>CA161-BR161</f>
    </nc>
    <odxf>
      <numFmt numFmtId="0" formatCode="General"/>
    </odxf>
    <ndxf>
      <numFmt numFmtId="165" formatCode="&quot;$&quot;#,##0"/>
    </ndxf>
  </rcc>
  <rcc rId="42301" sId="5" odxf="1" dxf="1">
    <nc r="CB162">
      <f>CA162-BR162</f>
    </nc>
    <odxf>
      <numFmt numFmtId="0" formatCode="General"/>
    </odxf>
    <ndxf>
      <numFmt numFmtId="165" formatCode="&quot;$&quot;#,##0"/>
    </ndxf>
  </rcc>
  <rcc rId="42302" sId="5" odxf="1" dxf="1">
    <nc r="CB163">
      <f>CA163-BR163</f>
    </nc>
    <odxf>
      <numFmt numFmtId="0" formatCode="General"/>
      <border outline="0">
        <bottom style="medium">
          <color indexed="64"/>
        </bottom>
      </border>
    </odxf>
    <ndxf>
      <numFmt numFmtId="165" formatCode="&quot;$&quot;#,##0"/>
      <border outline="0">
        <bottom/>
      </border>
    </ndxf>
  </rcc>
  <rcc rId="42303" sId="5" odxf="1" dxf="1">
    <nc r="CB164">
      <f>CA164-BR164</f>
    </nc>
    <odxf>
      <numFmt numFmtId="0" formatCode="General"/>
    </odxf>
    <ndxf>
      <numFmt numFmtId="165" formatCode="&quot;$&quot;#,##0"/>
    </ndxf>
  </rcc>
  <rcc rId="42304" sId="5" odxf="1" dxf="1">
    <nc r="CB165">
      <f>CA165-BR165</f>
    </nc>
    <odxf>
      <numFmt numFmtId="0" formatCode="General"/>
    </odxf>
    <ndxf>
      <numFmt numFmtId="165" formatCode="&quot;$&quot;#,##0"/>
    </ndxf>
  </rcc>
  <rcc rId="42305" sId="5" odxf="1" dxf="1">
    <nc r="CB166">
      <f>CA166-BR166</f>
    </nc>
    <odxf>
      <font>
        <b/>
      </font>
      <numFmt numFmtId="0" formatCode="General"/>
      <border outline="0">
        <top style="medium">
          <color indexed="64"/>
        </top>
      </border>
    </odxf>
    <ndxf>
      <font>
        <b val="0"/>
      </font>
      <numFmt numFmtId="165" formatCode="&quot;$&quot;#,##0"/>
      <border outline="0">
        <top/>
      </border>
    </ndxf>
  </rcc>
  <rcc rId="42306" sId="5" odxf="1" dxf="1">
    <nc r="CB167">
      <f>CA167-BR167</f>
    </nc>
    <odxf>
      <font>
        <b/>
      </font>
      <numFmt numFmtId="0" formatCode="General"/>
    </odxf>
    <ndxf>
      <font>
        <b val="0"/>
      </font>
      <numFmt numFmtId="165" formatCode="&quot;$&quot;#,##0"/>
    </ndxf>
  </rcc>
  <rcc rId="42307" sId="5" odxf="1" dxf="1">
    <nc r="CB168">
      <f>CA168-BR168</f>
    </nc>
    <odxf>
      <font>
        <b/>
      </font>
      <numFmt numFmtId="0" formatCode="General"/>
    </odxf>
    <ndxf>
      <font>
        <b val="0"/>
      </font>
      <numFmt numFmtId="165" formatCode="&quot;$&quot;#,##0"/>
    </ndxf>
  </rcc>
  <rcc rId="42308" sId="5" odxf="1" dxf="1">
    <nc r="CB169">
      <f>CA169-BR169</f>
    </nc>
    <odxf>
      <font>
        <b/>
      </font>
      <numFmt numFmtId="0" formatCode="General"/>
    </odxf>
    <ndxf>
      <font>
        <b val="0"/>
      </font>
      <numFmt numFmtId="165" formatCode="&quot;$&quot;#,##0"/>
    </ndxf>
  </rcc>
  <rcc rId="42309" sId="5" odxf="1" dxf="1">
    <nc r="CB170">
      <f>CA170-BR170</f>
    </nc>
    <odxf>
      <font>
        <b/>
      </font>
      <numFmt numFmtId="0" formatCode="General"/>
    </odxf>
    <ndxf>
      <font>
        <b val="0"/>
      </font>
      <numFmt numFmtId="165" formatCode="&quot;$&quot;#,##0"/>
    </ndxf>
  </rcc>
  <rcc rId="42310" sId="5" odxf="1" dxf="1">
    <nc r="CB171">
      <f>CA171-BR171</f>
    </nc>
    <odxf>
      <font>
        <b/>
      </font>
      <numFmt numFmtId="0" formatCode="General"/>
    </odxf>
    <ndxf>
      <font>
        <b val="0"/>
      </font>
      <numFmt numFmtId="165" formatCode="&quot;$&quot;#,##0"/>
    </ndxf>
  </rcc>
  <rcc rId="42311" sId="5" odxf="1" dxf="1">
    <nc r="CB172">
      <f>CA172-BR172</f>
    </nc>
    <odxf>
      <font>
        <b/>
      </font>
      <numFmt numFmtId="0" formatCode="General"/>
    </odxf>
    <ndxf>
      <font>
        <b val="0"/>
      </font>
      <numFmt numFmtId="165" formatCode="&quot;$&quot;#,##0"/>
    </ndxf>
  </rcc>
  <rcc rId="42312" sId="5" odxf="1" dxf="1">
    <nc r="CB173">
      <f>CA173-BR173</f>
    </nc>
    <odxf>
      <font>
        <b/>
      </font>
      <numFmt numFmtId="0" formatCode="General"/>
    </odxf>
    <ndxf>
      <font>
        <b val="0"/>
      </font>
      <numFmt numFmtId="165" formatCode="&quot;$&quot;#,##0"/>
    </ndxf>
  </rcc>
  <rcc rId="42313" sId="5" odxf="1" dxf="1">
    <nc r="CB174">
      <f>CA174-BR174</f>
    </nc>
    <odxf>
      <font>
        <b/>
      </font>
      <numFmt numFmtId="0" formatCode="General"/>
    </odxf>
    <ndxf>
      <font>
        <b val="0"/>
      </font>
      <numFmt numFmtId="165" formatCode="&quot;$&quot;#,##0"/>
    </ndxf>
  </rcc>
  <rcc rId="42314" sId="5" odxf="1" dxf="1">
    <nc r="CB175">
      <f>CA175-BR175</f>
    </nc>
    <odxf>
      <font>
        <b/>
      </font>
      <numFmt numFmtId="0" formatCode="General"/>
    </odxf>
    <ndxf>
      <font>
        <b val="0"/>
      </font>
      <numFmt numFmtId="165" formatCode="&quot;$&quot;#,##0"/>
    </ndxf>
  </rcc>
  <rcc rId="42315" sId="5" odxf="1" dxf="1">
    <nc r="CB176">
      <f>CA176-BR176</f>
    </nc>
    <odxf>
      <numFmt numFmtId="0" formatCode="General"/>
    </odxf>
    <ndxf>
      <numFmt numFmtId="165" formatCode="&quot;$&quot;#,##0"/>
    </ndxf>
  </rcc>
  <rcc rId="42316" sId="5" odxf="1" dxf="1">
    <nc r="CB177">
      <f>CA177-BR177</f>
    </nc>
    <odxf>
      <numFmt numFmtId="0" formatCode="General"/>
    </odxf>
    <ndxf>
      <numFmt numFmtId="165" formatCode="&quot;$&quot;#,##0"/>
    </ndxf>
  </rcc>
  <rcc rId="42317" sId="5" odxf="1" dxf="1">
    <nc r="CB178">
      <f>CA178-BR178</f>
    </nc>
    <odxf>
      <numFmt numFmtId="0" formatCode="General"/>
      <fill>
        <patternFill patternType="solid">
          <bgColor theme="0" tint="-0.249977111117893"/>
        </patternFill>
      </fill>
    </odxf>
    <ndxf>
      <numFmt numFmtId="165" formatCode="&quot;$&quot;#,##0"/>
      <fill>
        <patternFill patternType="none">
          <bgColor indexed="65"/>
        </patternFill>
      </fill>
    </ndxf>
  </rcc>
  <rcc rId="42318" sId="5" odxf="1" dxf="1">
    <nc r="CB179">
      <f>CA179-BR179</f>
    </nc>
    <odxf>
      <numFmt numFmtId="0" formatCode="General"/>
    </odxf>
    <ndxf>
      <numFmt numFmtId="165" formatCode="&quot;$&quot;#,##0"/>
    </ndxf>
  </rcc>
  <rcc rId="42319" sId="5" odxf="1" dxf="1">
    <nc r="CB180">
      <f>CA180-BR180</f>
    </nc>
    <odxf>
      <numFmt numFmtId="0" formatCode="General"/>
    </odxf>
    <ndxf>
      <numFmt numFmtId="165" formatCode="&quot;$&quot;#,##0"/>
    </ndxf>
  </rcc>
  <rcc rId="42320" sId="5" odxf="1" dxf="1">
    <nc r="CB181">
      <f>CA181-BR181</f>
    </nc>
    <odxf>
      <numFmt numFmtId="0" formatCode="General"/>
    </odxf>
    <ndxf>
      <numFmt numFmtId="165" formatCode="&quot;$&quot;#,##0"/>
    </ndxf>
  </rcc>
  <rcc rId="42321" sId="5" odxf="1" dxf="1">
    <nc r="CB182">
      <f>CA182-BR182</f>
    </nc>
    <odxf>
      <numFmt numFmtId="0" formatCode="General"/>
    </odxf>
    <ndxf>
      <numFmt numFmtId="165" formatCode="&quot;$&quot;#,##0"/>
    </ndxf>
  </rcc>
  <rcc rId="42322" sId="5" odxf="1" dxf="1">
    <nc r="CB183">
      <f>CA183-BR183</f>
    </nc>
    <odxf>
      <numFmt numFmtId="0" formatCode="General"/>
    </odxf>
    <ndxf>
      <numFmt numFmtId="165" formatCode="&quot;$&quot;#,##0"/>
    </ndxf>
  </rcc>
  <rcc rId="42323" sId="5" odxf="1" dxf="1">
    <nc r="CB184">
      <f>CA184-BR184</f>
    </nc>
    <odxf>
      <numFmt numFmtId="0" formatCode="General"/>
    </odxf>
    <ndxf>
      <numFmt numFmtId="165" formatCode="&quot;$&quot;#,##0"/>
    </ndxf>
  </rcc>
  <rcc rId="42324" sId="5" odxf="1" dxf="1">
    <nc r="CB185">
      <f>CA185-BR185</f>
    </nc>
    <odxf>
      <numFmt numFmtId="0" formatCode="General"/>
    </odxf>
    <ndxf>
      <numFmt numFmtId="165" formatCode="&quot;$&quot;#,##0"/>
    </ndxf>
  </rcc>
  <rcc rId="42325" sId="5" odxf="1" dxf="1">
    <nc r="CB186">
      <f>CA186-BR186</f>
    </nc>
    <odxf>
      <numFmt numFmtId="0" formatCode="General"/>
    </odxf>
    <ndxf>
      <numFmt numFmtId="165" formatCode="&quot;$&quot;#,##0"/>
    </ndxf>
  </rcc>
  <rcc rId="42326" sId="5" odxf="1" dxf="1">
    <nc r="CB187">
      <f>CA187-BR187</f>
    </nc>
    <odxf>
      <numFmt numFmtId="0" formatCode="General"/>
    </odxf>
    <ndxf>
      <numFmt numFmtId="165" formatCode="&quot;$&quot;#,##0"/>
    </ndxf>
  </rcc>
  <rcc rId="42327" sId="5" odxf="1" dxf="1">
    <nc r="CB188">
      <f>CA188-BR188</f>
    </nc>
    <odxf>
      <font>
        <b/>
      </font>
      <numFmt numFmtId="0" formatCode="General"/>
      <border outline="0">
        <top style="medium">
          <color indexed="64"/>
        </top>
      </border>
    </odxf>
    <ndxf>
      <font>
        <b val="0"/>
      </font>
      <numFmt numFmtId="165" formatCode="&quot;$&quot;#,##0"/>
      <border outline="0">
        <top/>
      </border>
    </ndxf>
  </rcc>
  <rcc rId="42328" sId="5" odxf="1" dxf="1">
    <nc r="CB189">
      <f>CA189-BR189</f>
    </nc>
    <odxf>
      <font>
        <b/>
      </font>
      <numFmt numFmtId="0" formatCode="General"/>
    </odxf>
    <ndxf>
      <font>
        <b val="0"/>
      </font>
      <numFmt numFmtId="165" formatCode="&quot;$&quot;#,##0"/>
    </ndxf>
  </rcc>
  <rcc rId="42329" sId="5" odxf="1" dxf="1">
    <nc r="CB190">
      <f>CA190-BR190</f>
    </nc>
    <odxf>
      <font>
        <b/>
      </font>
      <numFmt numFmtId="0" formatCode="General"/>
    </odxf>
    <ndxf>
      <font>
        <b val="0"/>
      </font>
      <numFmt numFmtId="165" formatCode="&quot;$&quot;#,##0"/>
    </ndxf>
  </rcc>
  <rcc rId="42330" sId="5" odxf="1" dxf="1">
    <nc r="CB191">
      <f>CA191-BR191</f>
    </nc>
    <odxf>
      <numFmt numFmtId="0" formatCode="General"/>
    </odxf>
    <ndxf>
      <numFmt numFmtId="165" formatCode="&quot;$&quot;#,##0"/>
    </ndxf>
  </rcc>
  <rcc rId="42331" sId="5" odxf="1" dxf="1">
    <nc r="CB192">
      <f>CA192-BR192</f>
    </nc>
    <odxf>
      <numFmt numFmtId="0" formatCode="General"/>
    </odxf>
    <ndxf>
      <numFmt numFmtId="165" formatCode="&quot;$&quot;#,##0"/>
    </ndxf>
  </rcc>
  <rcc rId="42332" sId="5" odxf="1" dxf="1">
    <nc r="CB193">
      <f>CA193-BR193</f>
    </nc>
    <odxf>
      <numFmt numFmtId="0" formatCode="General"/>
    </odxf>
    <ndxf>
      <numFmt numFmtId="165" formatCode="&quot;$&quot;#,##0"/>
    </ndxf>
  </rcc>
  <rcc rId="42333" sId="5" odxf="1" dxf="1">
    <nc r="CB194">
      <f>CA194-BR194</f>
    </nc>
    <odxf>
      <numFmt numFmtId="0" formatCode="General"/>
    </odxf>
    <ndxf>
      <numFmt numFmtId="165" formatCode="&quot;$&quot;#,##0"/>
    </ndxf>
  </rcc>
  <rcc rId="42334" sId="5" odxf="1" dxf="1">
    <nc r="CB195">
      <f>CA195-BR195</f>
    </nc>
    <odxf>
      <numFmt numFmtId="0" formatCode="General"/>
    </odxf>
    <ndxf>
      <numFmt numFmtId="165" formatCode="&quot;$&quot;#,##0"/>
    </ndxf>
  </rcc>
  <rcc rId="42335" sId="5" odxf="1" dxf="1">
    <nc r="CB196">
      <f>CA196-BR196</f>
    </nc>
    <odxf>
      <numFmt numFmtId="0" formatCode="General"/>
    </odxf>
    <ndxf>
      <numFmt numFmtId="165" formatCode="&quot;$&quot;#,##0"/>
    </ndxf>
  </rcc>
  <rcc rId="42336" sId="5" odxf="1" dxf="1">
    <nc r="CB197">
      <f>CA197-BR197</f>
    </nc>
    <odxf>
      <numFmt numFmtId="0" formatCode="General"/>
      <fill>
        <patternFill patternType="solid">
          <bgColor theme="0" tint="-0.249977111117893"/>
        </patternFill>
      </fill>
    </odxf>
    <ndxf>
      <numFmt numFmtId="165" formatCode="&quot;$&quot;#,##0"/>
      <fill>
        <patternFill patternType="none">
          <bgColor indexed="65"/>
        </patternFill>
      </fill>
    </ndxf>
  </rcc>
  <rcc rId="42337" sId="5" odxf="1" dxf="1">
    <nc r="CB198">
      <f>CA198-BR198</f>
    </nc>
    <odxf>
      <numFmt numFmtId="0" formatCode="General"/>
    </odxf>
    <ndxf>
      <numFmt numFmtId="165" formatCode="&quot;$&quot;#,##0"/>
    </ndxf>
  </rcc>
  <rcc rId="42338" sId="5" odxf="1" dxf="1">
    <nc r="CB199">
      <f>CA199-BR199</f>
    </nc>
    <odxf>
      <numFmt numFmtId="0" formatCode="General"/>
    </odxf>
    <ndxf>
      <numFmt numFmtId="165" formatCode="&quot;$&quot;#,##0"/>
    </ndxf>
  </rcc>
  <rcc rId="42339" sId="5" odxf="1" dxf="1">
    <nc r="CB200">
      <f>CA200-BR200</f>
    </nc>
    <odxf>
      <numFmt numFmtId="0" formatCode="General"/>
    </odxf>
    <ndxf>
      <numFmt numFmtId="165" formatCode="&quot;$&quot;#,##0"/>
    </ndxf>
  </rcc>
  <rcc rId="42340" sId="5" odxf="1" dxf="1">
    <nc r="CB201">
      <f>CA201-BR201</f>
    </nc>
    <odxf>
      <numFmt numFmtId="0" formatCode="General"/>
    </odxf>
    <ndxf>
      <numFmt numFmtId="165" formatCode="&quot;$&quot;#,##0"/>
    </ndxf>
  </rcc>
  <rcc rId="42341" sId="5" odxf="1" dxf="1">
    <nc r="CB202">
      <f>CA202-BR202</f>
    </nc>
    <odxf>
      <numFmt numFmtId="0" formatCode="General"/>
    </odxf>
    <ndxf>
      <numFmt numFmtId="165" formatCode="&quot;$&quot;#,##0"/>
    </ndxf>
  </rcc>
  <rcc rId="42342" sId="5" odxf="1" dxf="1">
    <nc r="CB203">
      <f>CA203-BR203</f>
    </nc>
    <odxf>
      <numFmt numFmtId="0" formatCode="General"/>
    </odxf>
    <ndxf>
      <numFmt numFmtId="165" formatCode="&quot;$&quot;#,##0"/>
    </ndxf>
  </rcc>
  <rcc rId="42343" sId="5" odxf="1" dxf="1">
    <nc r="CB204">
      <f>CA204-BR204</f>
    </nc>
    <odxf>
      <numFmt numFmtId="0" formatCode="General"/>
    </odxf>
    <ndxf>
      <numFmt numFmtId="165" formatCode="&quot;$&quot;#,##0"/>
    </ndxf>
  </rcc>
  <rcc rId="42344" sId="5" odxf="1" dxf="1">
    <nc r="CB205">
      <f>CA205-BR205</f>
    </nc>
    <odxf>
      <numFmt numFmtId="0" formatCode="General"/>
    </odxf>
    <ndxf>
      <numFmt numFmtId="165" formatCode="&quot;$&quot;#,##0"/>
    </ndxf>
  </rcc>
  <rcc rId="42345" sId="5" odxf="1" dxf="1">
    <nc r="CB206">
      <f>CA206-BR206</f>
    </nc>
    <odxf>
      <numFmt numFmtId="0" formatCode="General"/>
    </odxf>
    <ndxf>
      <numFmt numFmtId="165" formatCode="&quot;$&quot;#,##0"/>
    </ndxf>
  </rcc>
  <rcc rId="42346" sId="5" odxf="1" dxf="1">
    <nc r="CB207">
      <f>CA207-BR207</f>
    </nc>
    <odxf>
      <numFmt numFmtId="0" formatCode="General"/>
    </odxf>
    <ndxf>
      <numFmt numFmtId="165" formatCode="&quot;$&quot;#,##0"/>
    </ndxf>
  </rcc>
  <rcc rId="42347" sId="5" odxf="1" dxf="1">
    <nc r="CB208">
      <f>CA208-BR208</f>
    </nc>
    <odxf>
      <numFmt numFmtId="0" formatCode="General"/>
    </odxf>
    <ndxf>
      <numFmt numFmtId="165" formatCode="&quot;$&quot;#,##0"/>
    </ndxf>
  </rcc>
  <rcc rId="42348" sId="5" odxf="1" dxf="1">
    <nc r="CB209">
      <f>CA209-BR209</f>
    </nc>
    <odxf>
      <numFmt numFmtId="0" formatCode="General"/>
    </odxf>
    <ndxf>
      <numFmt numFmtId="165" formatCode="&quot;$&quot;#,##0"/>
    </ndxf>
  </rcc>
  <rcc rId="42349" sId="5" odxf="1" dxf="1">
    <nc r="CB210">
      <f>CA210-BR210</f>
    </nc>
    <odxf>
      <numFmt numFmtId="0" formatCode="General"/>
    </odxf>
    <ndxf>
      <numFmt numFmtId="165" formatCode="&quot;$&quot;#,##0"/>
    </ndxf>
  </rcc>
  <rcc rId="42350" sId="5" odxf="1" dxf="1">
    <nc r="CB211">
      <f>CA211-BR211</f>
    </nc>
    <odxf>
      <numFmt numFmtId="0" formatCode="General"/>
    </odxf>
    <ndxf>
      <numFmt numFmtId="165" formatCode="&quot;$&quot;#,##0"/>
    </ndxf>
  </rcc>
  <rcc rId="42351" sId="5" odxf="1" dxf="1">
    <nc r="CB212">
      <f>CA212-BR212</f>
    </nc>
    <odxf>
      <numFmt numFmtId="0" formatCode="General"/>
    </odxf>
    <ndxf>
      <numFmt numFmtId="165" formatCode="&quot;$&quot;#,##0"/>
    </ndxf>
  </rcc>
  <rcc rId="42352" sId="5" odxf="1" dxf="1">
    <nc r="CB213">
      <f>CA213-BR213</f>
    </nc>
    <odxf>
      <numFmt numFmtId="0" formatCode="General"/>
    </odxf>
    <ndxf>
      <numFmt numFmtId="165" formatCode="&quot;$&quot;#,##0"/>
    </ndxf>
  </rcc>
  <rcc rId="42353" sId="5" odxf="1" dxf="1">
    <nc r="CB214">
      <f>CA214-BR214</f>
    </nc>
    <odxf>
      <numFmt numFmtId="0" formatCode="General"/>
    </odxf>
    <ndxf>
      <numFmt numFmtId="165" formatCode="&quot;$&quot;#,##0"/>
    </ndxf>
  </rcc>
  <rcc rId="42354" sId="5" odxf="1" dxf="1">
    <nc r="CB215">
      <f>CA215-BR215</f>
    </nc>
    <odxf>
      <numFmt numFmtId="0" formatCode="General"/>
    </odxf>
    <ndxf>
      <numFmt numFmtId="165" formatCode="&quot;$&quot;#,##0"/>
    </ndxf>
  </rcc>
  <rcc rId="42355" sId="5" odxf="1" dxf="1">
    <nc r="CB216">
      <f>CA216-BR216</f>
    </nc>
    <odxf>
      <numFmt numFmtId="0" formatCode="General"/>
    </odxf>
    <ndxf>
      <numFmt numFmtId="165" formatCode="&quot;$&quot;#,##0"/>
    </ndxf>
  </rcc>
  <rcc rId="42356" sId="5" odxf="1" dxf="1">
    <nc r="CB217">
      <f>CA217-BR217</f>
    </nc>
    <odxf>
      <numFmt numFmtId="0" formatCode="General"/>
    </odxf>
    <ndxf>
      <numFmt numFmtId="165" formatCode="&quot;$&quot;#,##0"/>
    </ndxf>
  </rcc>
  <rcc rId="42357" sId="5" odxf="1" dxf="1">
    <nc r="CB218">
      <f>CA218-BR218</f>
    </nc>
    <odxf>
      <numFmt numFmtId="0" formatCode="General"/>
    </odxf>
    <ndxf>
      <numFmt numFmtId="165" formatCode="&quot;$&quot;#,##0"/>
    </ndxf>
  </rcc>
  <rcc rId="42358" sId="5" odxf="1" dxf="1">
    <nc r="CB219">
      <f>CA219-BR219</f>
    </nc>
    <odxf>
      <numFmt numFmtId="0" formatCode="General"/>
    </odxf>
    <ndxf>
      <numFmt numFmtId="165" formatCode="&quot;$&quot;#,##0"/>
    </ndxf>
  </rcc>
  <rcc rId="42359" sId="5" odxf="1" dxf="1">
    <nc r="CB220">
      <f>CA220-BR220</f>
    </nc>
    <odxf>
      <numFmt numFmtId="0" formatCode="General"/>
    </odxf>
    <ndxf>
      <numFmt numFmtId="165" formatCode="&quot;$&quot;#,##0"/>
    </ndxf>
  </rcc>
  <rcc rId="42360" sId="5" odxf="1" dxf="1">
    <nc r="CB221">
      <f>CA221-BR221</f>
    </nc>
    <odxf>
      <numFmt numFmtId="0" formatCode="General"/>
      <border outline="0">
        <bottom style="thin">
          <color indexed="64"/>
        </bottom>
      </border>
    </odxf>
    <ndxf>
      <numFmt numFmtId="165" formatCode="&quot;$&quot;#,##0"/>
      <border outline="0">
        <bottom/>
      </border>
    </ndxf>
  </rcc>
  <rcc rId="42361" sId="5" odxf="1" dxf="1">
    <nc r="CB222">
      <f>CA222-BR222</f>
    </nc>
    <odxf>
      <font>
        <b/>
      </font>
      <numFmt numFmtId="0" formatCode="General"/>
    </odxf>
    <ndxf>
      <font>
        <b val="0"/>
      </font>
      <numFmt numFmtId="165" formatCode="&quot;$&quot;#,##0"/>
    </ndxf>
  </rcc>
  <rcc rId="42362" sId="5" odxf="1" dxf="1">
    <nc r="CB223">
      <f>CA223-BR223</f>
    </nc>
    <odxf>
      <font>
        <b/>
      </font>
      <numFmt numFmtId="0" formatCode="General"/>
    </odxf>
    <ndxf>
      <font>
        <b val="0"/>
      </font>
      <numFmt numFmtId="165" formatCode="&quot;$&quot;#,##0"/>
    </ndxf>
  </rcc>
  <rcc rId="42363" sId="5" odxf="1" dxf="1">
    <nc r="CB224">
      <f>CA224-BR224</f>
    </nc>
    <odxf>
      <numFmt numFmtId="0" formatCode="General"/>
    </odxf>
    <ndxf>
      <numFmt numFmtId="165" formatCode="&quot;$&quot;#,##0"/>
    </ndxf>
  </rcc>
  <rcc rId="42364" sId="5" odxf="1" dxf="1">
    <nc r="CB225">
      <f>CA225-BR225</f>
    </nc>
    <odxf>
      <numFmt numFmtId="0" formatCode="General"/>
    </odxf>
    <ndxf>
      <numFmt numFmtId="165" formatCode="&quot;$&quot;#,##0"/>
    </ndxf>
  </rcc>
  <rcc rId="42365" sId="5" odxf="1" dxf="1">
    <nc r="CB226">
      <f>CA226-BR226</f>
    </nc>
    <odxf>
      <numFmt numFmtId="0" formatCode="General"/>
    </odxf>
    <ndxf>
      <numFmt numFmtId="165" formatCode="&quot;$&quot;#,##0"/>
    </ndxf>
  </rcc>
  <rcc rId="42366" sId="5" odxf="1" dxf="1">
    <nc r="CB227">
      <f>CA227-BR227</f>
    </nc>
    <odxf>
      <numFmt numFmtId="0" formatCode="General"/>
      <border outline="0">
        <bottom style="medium">
          <color indexed="64"/>
        </bottom>
      </border>
    </odxf>
    <ndxf>
      <numFmt numFmtId="165" formatCode="&quot;$&quot;#,##0"/>
      <border outline="0">
        <bottom/>
      </border>
    </ndxf>
  </rcc>
  <rcc rId="42367" sId="5" odxf="1" dxf="1">
    <nc r="CB228">
      <f>CA228-BR228</f>
    </nc>
    <odxf>
      <numFmt numFmtId="0" formatCode="General"/>
    </odxf>
    <ndxf>
      <numFmt numFmtId="165" formatCode="&quot;$&quot;#,##0"/>
    </ndxf>
  </rcc>
  <rcc rId="42368" sId="5" odxf="1" dxf="1">
    <nc r="CB229">
      <f>CA229-BR229</f>
    </nc>
    <odxf>
      <numFmt numFmtId="0" formatCode="General"/>
    </odxf>
    <ndxf>
      <numFmt numFmtId="165" formatCode="&quot;$&quot;#,##0"/>
    </ndxf>
  </rcc>
  <rcc rId="42369" sId="5" odxf="1" dxf="1">
    <nc r="CB230">
      <f>CA230-BR230</f>
    </nc>
    <odxf>
      <numFmt numFmtId="0" formatCode="General"/>
    </odxf>
    <ndxf>
      <numFmt numFmtId="165" formatCode="&quot;$&quot;#,##0"/>
    </ndxf>
  </rcc>
  <rcc rId="42370" sId="5" odxf="1" dxf="1">
    <nc r="CB231">
      <f>CA231-BR231</f>
    </nc>
    <odxf>
      <numFmt numFmtId="0" formatCode="General"/>
    </odxf>
    <ndxf>
      <numFmt numFmtId="165" formatCode="&quot;$&quot;#,##0"/>
    </ndxf>
  </rcc>
  <rcc rId="42371" sId="5" odxf="1" dxf="1">
    <nc r="CB232">
      <f>CA232-BR232</f>
    </nc>
    <odxf>
      <numFmt numFmtId="0" formatCode="General"/>
    </odxf>
    <ndxf>
      <numFmt numFmtId="165" formatCode="&quot;$&quot;#,##0"/>
    </ndxf>
  </rcc>
  <rcc rId="42372" sId="5" odxf="1" dxf="1">
    <nc r="CB233">
      <f>CA233-BR233</f>
    </nc>
    <odxf>
      <numFmt numFmtId="0" formatCode="General"/>
    </odxf>
    <ndxf>
      <numFmt numFmtId="165" formatCode="&quot;$&quot;#,##0"/>
    </ndxf>
  </rcc>
  <rcc rId="42373" sId="5" odxf="1" dxf="1">
    <nc r="CB234">
      <f>CA234-BR234</f>
    </nc>
    <odxf>
      <numFmt numFmtId="0" formatCode="General"/>
    </odxf>
    <ndxf>
      <numFmt numFmtId="165" formatCode="&quot;$&quot;#,##0"/>
    </ndxf>
  </rcc>
  <rcc rId="42374" sId="5" odxf="1" dxf="1">
    <nc r="CB235">
      <f>CA235-BR235</f>
    </nc>
    <odxf>
      <numFmt numFmtId="0" formatCode="General"/>
    </odxf>
    <ndxf>
      <numFmt numFmtId="165" formatCode="&quot;$&quot;#,##0"/>
    </ndxf>
  </rcc>
  <rcc rId="42375" sId="5" odxf="1" dxf="1">
    <nc r="CB236">
      <f>CA236-BR236</f>
    </nc>
    <odxf>
      <numFmt numFmtId="0" formatCode="General"/>
    </odxf>
    <ndxf>
      <numFmt numFmtId="165" formatCode="&quot;$&quot;#,##0"/>
    </ndxf>
  </rcc>
  <rcc rId="42376" sId="5" odxf="1" dxf="1">
    <nc r="CB237">
      <f>CA237-BR237</f>
    </nc>
    <odxf>
      <numFmt numFmtId="0" formatCode="General"/>
    </odxf>
    <ndxf>
      <numFmt numFmtId="165" formatCode="&quot;$&quot;#,##0"/>
    </ndxf>
  </rcc>
  <rcc rId="42377" sId="5" odxf="1" dxf="1">
    <nc r="CB238">
      <f>CA238-BR238</f>
    </nc>
    <odxf>
      <numFmt numFmtId="0" formatCode="General"/>
    </odxf>
    <ndxf>
      <numFmt numFmtId="165" formatCode="&quot;$&quot;#,##0"/>
    </ndxf>
  </rcc>
  <rcc rId="42378" sId="5" odxf="1" dxf="1">
    <nc r="CB239">
      <f>CA239-BR239</f>
    </nc>
    <odxf>
      <numFmt numFmtId="0" formatCode="General"/>
    </odxf>
    <ndxf>
      <numFmt numFmtId="165" formatCode="&quot;$&quot;#,##0"/>
    </ndxf>
  </rcc>
  <rcc rId="42379" sId="5" odxf="1" dxf="1">
    <nc r="CB240">
      <f>CA240-BR240</f>
    </nc>
    <odxf>
      <numFmt numFmtId="0" formatCode="General"/>
    </odxf>
    <ndxf>
      <numFmt numFmtId="165" formatCode="&quot;$&quot;#,##0"/>
    </ndxf>
  </rcc>
  <rcc rId="42380" sId="5" odxf="1" dxf="1">
    <nc r="CB241">
      <f>CA241-BR241</f>
    </nc>
    <odxf>
      <numFmt numFmtId="0" formatCode="General"/>
    </odxf>
    <ndxf>
      <numFmt numFmtId="165" formatCode="&quot;$&quot;#,##0"/>
    </ndxf>
  </rcc>
  <rcc rId="42381" sId="5" odxf="1" dxf="1">
    <nc r="CB242">
      <f>CA242-BR242</f>
    </nc>
    <odxf>
      <numFmt numFmtId="0" formatCode="General"/>
    </odxf>
    <ndxf>
      <numFmt numFmtId="165" formatCode="&quot;$&quot;#,##0"/>
    </ndxf>
  </rcc>
  <rcc rId="42382" sId="5" odxf="1" dxf="1">
    <nc r="CB243">
      <f>CA243-BR243</f>
    </nc>
    <odxf>
      <numFmt numFmtId="0" formatCode="General"/>
    </odxf>
    <ndxf>
      <numFmt numFmtId="165" formatCode="&quot;$&quot;#,##0"/>
    </ndxf>
  </rcc>
  <rcc rId="42383" sId="5" odxf="1" dxf="1">
    <oc r="CB244">
      <f>CA244-BR244</f>
    </oc>
    <nc r="CB244">
      <f>CA244-BR244</f>
    </nc>
    <odxf>
      <font>
        <b/>
      </font>
      <fill>
        <patternFill patternType="solid">
          <bgColor theme="0" tint="-0.249977111117893"/>
        </patternFill>
      </fill>
      <border outline="0">
        <top style="medium">
          <color indexed="64"/>
        </top>
      </border>
    </odxf>
    <ndxf>
      <font>
        <b val="0"/>
      </font>
      <fill>
        <patternFill patternType="none">
          <bgColor indexed="65"/>
        </patternFill>
      </fill>
      <border outline="0">
        <top/>
      </border>
    </ndxf>
  </rcc>
  <rcv guid="{567C3053-2D8E-4705-8DC7-18896C5303CA}" action="delete"/>
  <rdn rId="0" localSheetId="2" customView="1" name="Z_567C3053_2D8E_4705_8DC7_18896C5303CA_.wvu.Cols" hidden="1" oldHidden="1">
    <formula>'FY2013 by Approp Title'!$AA:$AA</formula>
    <oldFormula>'FY2013 by Approp Title'!$AA:$AA</oldFormula>
  </rdn>
  <rdn rId="0" localSheetId="3" customView="1" name="Z_567C3053_2D8E_4705_8DC7_18896C5303CA_.wvu.Cols" hidden="1" oldHidden="1">
    <formula>'FY2013 By Approp Title-Adj'!$AA:$AA</formula>
    <oldFormula>'FY2013 By Approp Title-Adj'!$AA:$AA</oldFormula>
  </rdn>
  <rdn rId="0" localSheetId="4" customView="1" name="Z_567C3053_2D8E_4705_8DC7_18896C5303CA_.wvu.Rows" hidden="1" oldHidden="1">
    <formula>'FY 2013 by Agency'!$1:$3,'FY 2013 by Agency'!$227:$241</formula>
    <oldFormula>'FY 2013 by Agency'!$1:$3,'FY 2013 by Agency'!$227:$241</oldFormula>
  </rdn>
  <rdn rId="0" localSheetId="5" customView="1" name="Z_567C3053_2D8E_4705_8DC7_18896C5303CA_.wvu.Rows" hidden="1" oldHidden="1">
    <formula>'FY 2013 by Agency-Adj'!$1:$3,'FY 2013 by Agency-Adj'!$228:$242</formula>
    <oldFormula>'FY 2013 by Agency-Adj'!$1:$3,'FY 2013 by Agency-Adj'!$228:$242</oldFormula>
  </rdn>
  <rdn rId="0" localSheetId="5" customView="1" name="Z_567C3053_2D8E_4705_8DC7_18896C5303CA_.wvu.Cols" hidden="1" oldHidden="1">
    <formula>'FY 2013 by Agency-Adj'!$V:$AB,'FY 2013 by Agency-Adj'!$AJ:$AM,'FY 2013 by Agency-Adj'!$AP:$AS,'FY 2013 by Agency-Adj'!$BS:$BZ</formula>
    <oldFormula>'FY 2013 by Agency-Adj'!$V:$AB,'FY 2013 by Agency-Adj'!$AJ:$AM,'FY 2013 by Agency-Adj'!$AP:$AS,'FY 2013 by Agency-Adj'!$BS:$BZ</oldFormula>
  </rdn>
  <rdn rId="0" localSheetId="8" customView="1" name="Z_567C3053_2D8E_4705_8DC7_18896C5303CA_.wvu.Rows" hidden="1" oldHidden="1">
    <formula>'Sheet 4'!$1:$6</formula>
    <oldFormula>'Sheet 4'!$1:$6</oldFormula>
  </rdn>
  <rcv guid="{567C3053-2D8E-4705-8DC7-18896C5303CA}" action="add"/>
</revisions>
</file>

<file path=xl/revisions/revisionLog16311.xml><?xml version="1.0" encoding="utf-8"?>
<revisions xmlns="http://schemas.openxmlformats.org/spreadsheetml/2006/main" xmlns:r="http://schemas.openxmlformats.org/officeDocument/2006/relationships">
  <rcc rId="42122" sId="4">
    <oc r="AS56">
      <f>BB56+AR56</f>
    </oc>
    <nc r="AS56">
      <f>BB56+AR56</f>
    </nc>
  </rcc>
  <rcv guid="{78CA186D-B240-44D5-8A24-D241DE0B0FD9}" action="delete"/>
  <rdn rId="0" localSheetId="2" customView="1" name="Z_78CA186D_B240_44D5_8A24_D241DE0B0FD9_.wvu.Cols" hidden="1" oldHidden="1">
    <formula>'FY2013 by Approp Title'!$AA:$AA</formula>
    <oldFormula>'FY2013 by Approp Title'!$AA:$AA</oldFormula>
  </rdn>
  <rdn rId="0" localSheetId="3" customView="1" name="Z_78CA186D_B240_44D5_8A24_D241DE0B0FD9_.wvu.Cols" hidden="1" oldHidden="1">
    <formula>'FY2013 By Approp Title-Adj'!$AA:$AA</formula>
    <oldFormula>'FY2013 By Approp Title-Adj'!$AA:$AA</oldFormula>
  </rdn>
  <rdn rId="0" localSheetId="4" customView="1" name="Z_78CA186D_B240_44D5_8A24_D241DE0B0FD9_.wvu.Rows" hidden="1" oldHidden="1">
    <formula>'FY 2013 by Agency'!$1:$3,'FY 2013 by Agency'!$227:$241</formula>
    <oldFormula>'FY 2013 by Agency'!$1:$3,'FY 2013 by Agency'!$227:$241</oldFormula>
  </rdn>
  <rdn rId="0" localSheetId="4" customView="1" name="Z_78CA186D_B240_44D5_8A24_D241DE0B0FD9_.wvu.Cols" hidden="1" oldHidden="1">
    <formula>'FY 2013 by Agency'!$D:$E,'FY 2013 by Agency'!$G:$H,'FY 2013 by Agency'!$J:$K,'FY 2013 by Agency'!$M:$N,'FY 2013 by Agency'!$P:$Q,'FY 2013 by Agency'!$S:$T,'FY 2013 by Agency'!$V:$W,'FY 2013 by Agency'!$Y:$Z,'FY 2013 by Agency'!$AB:$AE,'FY 2013 by Agency'!$AV:$AW,'FY 2013 by Agency'!$AY:$AZ,'FY 2013 by Agency'!$BF:$BG,'FY 2013 by Agency'!$BM:$BN</formula>
    <oldFormula>'FY 2013 by Agency'!$D:$E,'FY 2013 by Agency'!$G:$H,'FY 2013 by Agency'!$J:$K,'FY 2013 by Agency'!$M:$N,'FY 2013 by Agency'!$P:$Q,'FY 2013 by Agency'!$S:$T,'FY 2013 by Agency'!$V:$W,'FY 2013 by Agency'!$Y:$Z,'FY 2013 by Agency'!$AB:$AE,'FY 2013 by Agency'!$AV:$AW,'FY 2013 by Agency'!$AY:$AZ,'FY 2013 by Agency'!$BF:$BG,'FY 2013 by Agency'!$BM:$BN</oldFormula>
  </rdn>
  <rdn rId="0" localSheetId="5" customView="1" name="Z_78CA186D_B240_44D5_8A24_D241DE0B0FD9_.wvu.Rows" hidden="1" oldHidden="1">
    <formula>'FY 2013 by Agency-Adj'!$1:$3,'FY 2013 by Agency-Adj'!$14:$14,'FY 2013 by Agency-Adj'!$19:$19,'FY 2013 by Agency-Adj'!$157:$157,'FY 2013 by Agency-Adj'!$164:$164,'FY 2013 by Agency-Adj'!$228:$242</formula>
    <oldFormula>'FY 2013 by Agency-Adj'!$1:$3,'FY 2013 by Agency-Adj'!$14:$14,'FY 2013 by Agency-Adj'!$19:$19,'FY 2013 by Agency-Adj'!$157:$157,'FY 2013 by Agency-Adj'!$164:$164,'FY 2013 by Agency-Adj'!$228:$242</oldFormula>
  </rdn>
  <rdn rId="0" localSheetId="5" customView="1" name="Z_78CA186D_B240_44D5_8A24_D241DE0B0FD9_.wvu.Cols" hidden="1" oldHidden="1">
    <formula>'FY 2013 by Agency-Adj'!$AD:$AE,'FY 2013 by Agency-Adj'!$AI:$BK,'FY 2013 by Agency-Adj'!$BO:$BT</formula>
    <oldFormula>'FY 2013 by Agency-Adj'!$AD:$AE,'FY 2013 by Agency-Adj'!$AI:$BK,'FY 2013 by Agency-Adj'!$BO:$BT</oldFormula>
  </rdn>
  <rdn rId="0" localSheetId="8" customView="1" name="Z_78CA186D_B240_44D5_8A24_D241DE0B0FD9_.wvu.Rows" hidden="1" oldHidden="1">
    <formula>'Sheet 4'!$1:$6</formula>
    <oldFormula>'Sheet 4'!$1:$6</oldFormula>
  </rdn>
  <rcv guid="{78CA186D-B240-44D5-8A24-D241DE0B0FD9}" action="add"/>
</revisions>
</file>

<file path=xl/revisions/revisionLog163111.xml><?xml version="1.0" encoding="utf-8"?>
<revisions xmlns="http://schemas.openxmlformats.org/spreadsheetml/2006/main" xmlns:r="http://schemas.openxmlformats.org/officeDocument/2006/relationships">
  <rcc rId="41880" sId="4" numFmtId="11">
    <oc r="BP179">
      <v>6305</v>
    </oc>
    <nc r="BP179"/>
  </rcc>
  <rcc rId="41881" sId="4" numFmtId="4">
    <oc r="BS179">
      <v>2</v>
    </oc>
    <nc r="BS179"/>
  </rcc>
  <rcc rId="41882" sId="4" numFmtId="11">
    <oc r="BP180">
      <v>12750</v>
    </oc>
    <nc r="BP180"/>
  </rcc>
  <rcc rId="41883" sId="4" numFmtId="4">
    <oc r="BS180">
      <v>8</v>
    </oc>
    <nc r="BS180"/>
  </rcc>
  <rcc rId="41884" sId="4" numFmtId="11">
    <oc r="BP181">
      <v>4167</v>
    </oc>
    <nc r="BP181"/>
  </rcc>
  <rcc rId="41885" sId="4" numFmtId="4">
    <oc r="BS181">
      <v>1612</v>
    </oc>
    <nc r="BS181"/>
  </rcc>
  <rcc rId="41886" sId="4" numFmtId="11">
    <oc r="BP182">
      <v>4139</v>
    </oc>
    <nc r="BP182"/>
  </rcc>
  <rcc rId="41887" sId="4" numFmtId="4">
    <oc r="BS182">
      <v>20</v>
    </oc>
    <nc r="BS182"/>
  </rcc>
  <rcc rId="41888" sId="4" numFmtId="11">
    <oc r="BP183">
      <v>454</v>
    </oc>
    <nc r="BP183"/>
  </rcc>
  <rcc rId="41889" sId="4" numFmtId="4">
    <oc r="BH179">
      <v>6030</v>
    </oc>
    <nc r="BH179"/>
  </rcc>
  <rcc rId="41890" sId="4" numFmtId="4">
    <oc r="BK179">
      <v>397</v>
    </oc>
    <nc r="BK179"/>
  </rcc>
  <rcc rId="41891" sId="4" numFmtId="4">
    <oc r="BH180">
      <v>7950</v>
    </oc>
    <nc r="BH180"/>
  </rcc>
  <rcc rId="41892" sId="4" numFmtId="4">
    <oc r="BK180">
      <v>291</v>
    </oc>
    <nc r="BK180"/>
  </rcc>
  <rcc rId="41893" sId="4" numFmtId="4">
    <oc r="BH181">
      <v>5735</v>
    </oc>
    <nc r="BH181"/>
  </rcc>
  <rcc rId="41894" sId="4" numFmtId="4">
    <oc r="BK181">
      <v>606</v>
    </oc>
    <nc r="BK181"/>
  </rcc>
  <rcc rId="41895" sId="4" numFmtId="4">
    <oc r="BH182">
      <v>4343</v>
    </oc>
    <nc r="BH182"/>
  </rcc>
  <rcc rId="41896" sId="4" numFmtId="4">
    <oc r="BK182">
      <v>24</v>
    </oc>
    <nc r="BK182"/>
  </rcc>
  <rcc rId="41897" sId="4" numFmtId="4">
    <oc r="BH183">
      <v>210</v>
    </oc>
    <nc r="BH183"/>
  </rcc>
  <rcc rId="41898" sId="4" numFmtId="4">
    <oc r="BK183">
      <v>9</v>
    </oc>
    <nc r="BK183"/>
  </rcc>
  <rcc rId="41899" sId="4" numFmtId="4">
    <oc r="AP179">
      <v>6993</v>
    </oc>
    <nc r="AP179"/>
  </rcc>
  <rcc rId="41900" sId="4" numFmtId="4">
    <oc r="AQ179">
      <v>1038</v>
    </oc>
    <nc r="AQ179"/>
  </rcc>
  <rcc rId="41901" sId="4">
    <oc r="AR179">
      <f>AP179+AQ179</f>
    </oc>
    <nc r="AR179"/>
  </rcc>
  <rcc rId="41902" sId="4" numFmtId="4">
    <oc r="AP180">
      <v>8062</v>
    </oc>
    <nc r="AP180"/>
  </rcc>
  <rcc rId="41903" sId="4" numFmtId="4">
    <oc r="AQ180">
      <v>863</v>
    </oc>
    <nc r="AQ180"/>
  </rcc>
  <rcc rId="41904" sId="4">
    <oc r="AR180">
      <f>AP180+AQ180</f>
    </oc>
    <nc r="AR180"/>
  </rcc>
  <rcc rId="41905" sId="4" numFmtId="4">
    <oc r="AP181">
      <v>5180</v>
    </oc>
    <nc r="AP181"/>
  </rcc>
  <rcc rId="41906" sId="4">
    <oc r="AQ181">
      <f>125+114</f>
    </oc>
    <nc r="AQ181"/>
  </rcc>
  <rcc rId="41907" sId="4">
    <oc r="AR181">
      <f>AP181+AQ181</f>
    </oc>
    <nc r="AR181"/>
  </rcc>
  <rcc rId="41908" sId="4" numFmtId="4">
    <oc r="AP182">
      <v>3141</v>
    </oc>
    <nc r="AP182"/>
  </rcc>
  <rcc rId="41909" sId="4">
    <oc r="AQ182">
      <f>147+113</f>
    </oc>
    <nc r="AQ182"/>
  </rcc>
  <rcc rId="41910" sId="4">
    <oc r="AR182">
      <f>AP182+AQ182</f>
    </oc>
    <nc r="AR182"/>
  </rcc>
  <rcc rId="41911" sId="4" numFmtId="4">
    <oc r="AP183">
      <v>154</v>
    </oc>
    <nc r="AP183"/>
  </rcc>
  <rcc rId="41912" sId="4" numFmtId="4">
    <oc r="AQ183">
      <v>0</v>
    </oc>
    <nc r="AQ183"/>
  </rcc>
  <rcc rId="41913" sId="4">
    <oc r="AR183">
      <f>AP183+AQ183</f>
    </oc>
    <nc r="AR183"/>
  </rcc>
  <rcc rId="41914" sId="10" odxf="1" dxf="1">
    <nc r="A24" t="inlineStr">
      <is>
        <t>DDOT</t>
      </is>
    </nc>
    <odxf>
      <font>
        <b val="0"/>
        <sz val="10"/>
        <color auto="1"/>
        <name val="Arial"/>
        <scheme val="none"/>
      </font>
    </odxf>
    <ndxf>
      <font>
        <b/>
        <sz val="10"/>
        <color auto="1"/>
        <name val="Arial"/>
        <scheme val="none"/>
      </font>
    </ndxf>
  </rcc>
  <rfmt sheetId="10" sqref="A25" start="0" length="0">
    <dxf>
      <font>
        <sz val="10"/>
        <color auto="1"/>
        <name val="Arial"/>
        <scheme val="none"/>
      </font>
    </dxf>
  </rfmt>
  <rcc rId="41915" sId="10" odxf="1" dxf="1">
    <nc r="A26" t="inlineStr">
      <is>
        <t>$50.6 million was trasferred from DDOT to WMATA for certain services.  In prior years had been done via intra-district.  Kept $50.6 in DDOT, removed from WMATA.</t>
      </is>
    </nc>
    <odxf>
      <font>
        <sz val="10"/>
        <color auto="1"/>
        <name val="Arial"/>
        <scheme val="none"/>
      </font>
    </odxf>
    <ndxf>
      <font>
        <sz val="10"/>
        <color auto="1"/>
        <name val="Arial"/>
        <scheme val="none"/>
      </font>
    </ndxf>
  </rcc>
  <rcc rId="41916" sId="10" odxf="1" dxf="1">
    <nc r="A28" t="inlineStr">
      <is>
        <t>DMV</t>
      </is>
    </nc>
    <odxf>
      <font>
        <sz val="10"/>
        <color auto="1"/>
        <name val="Arial"/>
        <scheme val="none"/>
      </font>
    </odxf>
    <ndxf>
      <font>
        <sz val="10"/>
        <color auto="1"/>
        <name val="Arial"/>
        <scheme val="none"/>
      </font>
    </ndxf>
  </rcc>
  <rfmt sheetId="10" sqref="A29" start="0" length="0">
    <dxf>
      <font>
        <sz val="10"/>
        <color auto="1"/>
        <name val="Arial"/>
        <scheme val="none"/>
      </font>
    </dxf>
  </rfmt>
  <rcc rId="41917" sId="10">
    <nc r="A29" t="inlineStr">
      <is>
        <t>$2.2 million was shifted to Office of Finance and Treasury for collections.  Added back in in FY 2013, removed from OCFO</t>
      </is>
    </nc>
  </rcc>
  <rcc rId="41918" sId="10">
    <nc r="A25" t="inlineStr">
      <is>
        <t>$1.36 million was shifted to OFRM for telecom services.  Kept in DDOT, removed from OFRM</t>
      </is>
    </nc>
  </rcc>
  <rcc rId="41919" sId="4" numFmtId="11">
    <oc r="BO180">
      <v>70684</v>
    </oc>
    <nc r="BO180">
      <f>70684+1360+50600</f>
    </nc>
  </rcc>
  <rcc rId="41920" sId="4" numFmtId="11">
    <oc r="BO181">
      <v>34060</v>
    </oc>
    <nc r="BO181">
      <f>34060+2200</f>
    </nc>
  </rcc>
  <rfmt sheetId="4" sqref="BO185" start="0" length="0">
    <dxf>
      <font/>
    </dxf>
  </rfmt>
  <rcc rId="41921" sId="4">
    <oc r="BO185">
      <v>288224</v>
    </oc>
    <nc r="BO185">
      <f>288224-50600</f>
    </nc>
  </rcc>
  <rcc rId="41922" sId="4" numFmtId="11">
    <oc r="BO21">
      <v>19667</v>
    </oc>
    <nc r="BO21">
      <f>19667-1360</f>
    </nc>
  </rcc>
  <rcc rId="41923" sId="4" numFmtId="11">
    <oc r="BO34">
      <v>128292</v>
    </oc>
    <nc r="BO34">
      <f>128292-2200</f>
    </nc>
  </rcc>
  <rcmt sheetId="4" cell="BO21" guid="{76D8F8FF-89E7-45DD-8796-48AC0D410C90}" author="Jenny Reed" newLength="62"/>
  <rcmt sheetId="4" cell="BO34" guid="{55E8F8DF-BAA8-4E55-8B7F-BF02914EEB09}" author="Jenny Reed" newLength="71"/>
  <rcv guid="{78CA186D-B240-44D5-8A24-D241DE0B0FD9}" action="delete"/>
  <rdn rId="0" localSheetId="2" customView="1" name="Z_78CA186D_B240_44D5_8A24_D241DE0B0FD9_.wvu.Cols" hidden="1" oldHidden="1">
    <formula>'FY2013 by Approp Title'!$AA:$AA</formula>
    <oldFormula>'FY2013 by Approp Title'!$AA:$AA</oldFormula>
  </rdn>
  <rdn rId="0" localSheetId="3" customView="1" name="Z_78CA186D_B240_44D5_8A24_D241DE0B0FD9_.wvu.Cols" hidden="1" oldHidden="1">
    <formula>'FY2013 By Approp Title-Adj'!$AA:$AA</formula>
    <oldFormula>'FY2013 By Approp Title-Adj'!$AA:$AA</oldFormula>
  </rdn>
  <rdn rId="0" localSheetId="4" customView="1" name="Z_78CA186D_B240_44D5_8A24_D241DE0B0FD9_.wvu.Rows" hidden="1" oldHidden="1">
    <formula>'FY 2013 by Agency'!$1:$3,'FY 2013 by Agency'!$227:$241</formula>
    <oldFormula>'FY 2013 by Agency'!$1:$3,'FY 2013 by Agency'!$227:$241</oldFormula>
  </rdn>
  <rdn rId="0" localSheetId="4" customView="1" name="Z_78CA186D_B240_44D5_8A24_D241DE0B0FD9_.wvu.Cols" hidden="1" oldHidden="1">
    <formula>'FY 2013 by Agency'!$D:$E,'FY 2013 by Agency'!$G:$H,'FY 2013 by Agency'!$J:$K,'FY 2013 by Agency'!$M:$N,'FY 2013 by Agency'!$P:$Q,'FY 2013 by Agency'!$S:$T,'FY 2013 by Agency'!$V:$W,'FY 2013 by Agency'!$Y:$Z,'FY 2013 by Agency'!$AB:$AE,'FY 2013 by Agency'!$AV:$AW,'FY 2013 by Agency'!$AY:$AZ,'FY 2013 by Agency'!$BF:$BG,'FY 2013 by Agency'!$BM:$BN</formula>
    <oldFormula>'FY 2013 by Agency'!$D:$E,'FY 2013 by Agency'!$G:$H,'FY 2013 by Agency'!$J:$K,'FY 2013 by Agency'!$M:$N,'FY 2013 by Agency'!$P:$Q,'FY 2013 by Agency'!$S:$T,'FY 2013 by Agency'!$V:$W,'FY 2013 by Agency'!$Y:$Z,'FY 2013 by Agency'!$AB:$AE,'FY 2013 by Agency'!$AV:$AW,'FY 2013 by Agency'!$AY:$AZ,'FY 2013 by Agency'!$BF:$BG,'FY 2013 by Agency'!$BM:$BN</oldFormula>
  </rdn>
  <rdn rId="0" localSheetId="5" customView="1" name="Z_78CA186D_B240_44D5_8A24_D241DE0B0FD9_.wvu.Rows" hidden="1" oldHidden="1">
    <formula>'FY 2013 by Agency-Adj'!$1:$3,'FY 2013 by Agency-Adj'!$14:$14,'FY 2013 by Agency-Adj'!$19:$19,'FY 2013 by Agency-Adj'!$157:$157,'FY 2013 by Agency-Adj'!$164:$164,'FY 2013 by Agency-Adj'!$228:$242</formula>
    <oldFormula>'FY 2013 by Agency-Adj'!$1:$3,'FY 2013 by Agency-Adj'!$14:$14,'FY 2013 by Agency-Adj'!$19:$19,'FY 2013 by Agency-Adj'!$157:$157,'FY 2013 by Agency-Adj'!$164:$164,'FY 2013 by Agency-Adj'!$228:$242</oldFormula>
  </rdn>
  <rdn rId="0" localSheetId="5" customView="1" name="Z_78CA186D_B240_44D5_8A24_D241DE0B0FD9_.wvu.Cols" hidden="1" oldHidden="1">
    <formula>'FY 2013 by Agency-Adj'!$AD:$AE,'FY 2013 by Agency-Adj'!$AI:$BK,'FY 2013 by Agency-Adj'!$BO:$BT</formula>
    <oldFormula>'FY 2013 by Agency-Adj'!$AD:$AE,'FY 2013 by Agency-Adj'!$AI:$BK,'FY 2013 by Agency-Adj'!$BO:$BT</oldFormula>
  </rdn>
  <rdn rId="0" localSheetId="8" customView="1" name="Z_78CA186D_B240_44D5_8A24_D241DE0B0FD9_.wvu.Rows" hidden="1" oldHidden="1">
    <formula>'Sheet 4'!$1:$6</formula>
    <oldFormula>'Sheet 4'!$1:$6</oldFormula>
  </rdn>
  <rcv guid="{78CA186D-B240-44D5-8A24-D241DE0B0FD9}" action="add"/>
</revisions>
</file>

<file path=xl/revisions/revisionLog17.xml><?xml version="1.0" encoding="utf-8"?>
<revisions xmlns="http://schemas.openxmlformats.org/spreadsheetml/2006/main" xmlns:r="http://schemas.openxmlformats.org/officeDocument/2006/relationships">
  <rcc rId="41947" sId="4" numFmtId="11">
    <oc r="BO71">
      <v>0</v>
    </oc>
    <nc r="BO71">
      <f>45360-19900</f>
    </nc>
  </rcc>
  <rcc rId="41948" sId="4">
    <oc r="BE71">
      <f>32302+2808</f>
    </oc>
    <nc r="BE71">
      <f>(23533+19378)-18000</f>
    </nc>
  </rcc>
  <rcc rId="41949" sId="4" numFmtId="11">
    <oc r="BE57">
      <v>4000</v>
    </oc>
    <nc r="BE57">
      <f>4000+18000</f>
    </nc>
  </rcc>
  <rcc rId="41950" sId="4">
    <oc r="AX71">
      <f>34020</f>
    </oc>
    <nc r="AX71">
      <f>24686+15691</f>
    </nc>
  </rcc>
  <rcc rId="41951" sId="4">
    <oc r="BE166">
      <v>43</v>
    </oc>
    <nc r="BE166">
      <f>SUM(BE146:BE165)</f>
    </nc>
  </rcc>
  <rcv guid="{78CA186D-B240-44D5-8A24-D241DE0B0FD9}" action="delete"/>
  <rdn rId="0" localSheetId="2" customView="1" name="Z_78CA186D_B240_44D5_8A24_D241DE0B0FD9_.wvu.Cols" hidden="1" oldHidden="1">
    <formula>'FY2013 by Approp Title'!$AA:$AA</formula>
    <oldFormula>'FY2013 by Approp Title'!$AA:$AA</oldFormula>
  </rdn>
  <rdn rId="0" localSheetId="3" customView="1" name="Z_78CA186D_B240_44D5_8A24_D241DE0B0FD9_.wvu.Cols" hidden="1" oldHidden="1">
    <formula>'FY2013 By Approp Title-Adj'!$AA:$AA</formula>
    <oldFormula>'FY2013 By Approp Title-Adj'!$AA:$AA</oldFormula>
  </rdn>
  <rdn rId="0" localSheetId="4" customView="1" name="Z_78CA186D_B240_44D5_8A24_D241DE0B0FD9_.wvu.Rows" hidden="1" oldHidden="1">
    <formula>'FY 2013 by Agency'!$1:$3,'FY 2013 by Agency'!$227:$241</formula>
    <oldFormula>'FY 2013 by Agency'!$1:$3,'FY 2013 by Agency'!$227:$241</oldFormula>
  </rdn>
  <rdn rId="0" localSheetId="4" customView="1" name="Z_78CA186D_B240_44D5_8A24_D241DE0B0FD9_.wvu.Cols" hidden="1" oldHidden="1">
    <formula>'FY 2013 by Agency'!$D:$E,'FY 2013 by Agency'!$G:$H,'FY 2013 by Agency'!$J:$K,'FY 2013 by Agency'!$M:$N,'FY 2013 by Agency'!$P:$Q,'FY 2013 by Agency'!$S:$T,'FY 2013 by Agency'!$V:$W,'FY 2013 by Agency'!$Y:$Z,'FY 2013 by Agency'!$AB:$AE,'FY 2013 by Agency'!$AV:$AW,'FY 2013 by Agency'!$AY:$AZ,'FY 2013 by Agency'!$BF:$BG,'FY 2013 by Agency'!$BM:$BN</formula>
    <oldFormula>'FY 2013 by Agency'!$D:$E,'FY 2013 by Agency'!$G:$H,'FY 2013 by Agency'!$J:$K,'FY 2013 by Agency'!$M:$N,'FY 2013 by Agency'!$P:$Q,'FY 2013 by Agency'!$S:$T,'FY 2013 by Agency'!$V:$W,'FY 2013 by Agency'!$Y:$Z,'FY 2013 by Agency'!$AB:$AE,'FY 2013 by Agency'!$AV:$AW,'FY 2013 by Agency'!$AY:$AZ,'FY 2013 by Agency'!$BF:$BG,'FY 2013 by Agency'!$BM:$BN</oldFormula>
  </rdn>
  <rdn rId="0" localSheetId="5" customView="1" name="Z_78CA186D_B240_44D5_8A24_D241DE0B0FD9_.wvu.Rows" hidden="1" oldHidden="1">
    <formula>'FY 2013 by Agency-Adj'!$1:$3,'FY 2013 by Agency-Adj'!$14:$14,'FY 2013 by Agency-Adj'!$19:$19,'FY 2013 by Agency-Adj'!$157:$157,'FY 2013 by Agency-Adj'!$164:$164,'FY 2013 by Agency-Adj'!$228:$242</formula>
    <oldFormula>'FY 2013 by Agency-Adj'!$1:$3,'FY 2013 by Agency-Adj'!$14:$14,'FY 2013 by Agency-Adj'!$19:$19,'FY 2013 by Agency-Adj'!$157:$157,'FY 2013 by Agency-Adj'!$164:$164,'FY 2013 by Agency-Adj'!$228:$242</oldFormula>
  </rdn>
  <rdn rId="0" localSheetId="5" customView="1" name="Z_78CA186D_B240_44D5_8A24_D241DE0B0FD9_.wvu.Cols" hidden="1" oldHidden="1">
    <formula>'FY 2013 by Agency-Adj'!$AD:$AE,'FY 2013 by Agency-Adj'!$AI:$BK,'FY 2013 by Agency-Adj'!$BO:$BT</formula>
    <oldFormula>'FY 2013 by Agency-Adj'!$AD:$AE,'FY 2013 by Agency-Adj'!$AI:$BK,'FY 2013 by Agency-Adj'!$BO:$BT</oldFormula>
  </rdn>
  <rdn rId="0" localSheetId="8" customView="1" name="Z_78CA186D_B240_44D5_8A24_D241DE0B0FD9_.wvu.Rows" hidden="1" oldHidden="1">
    <formula>'Sheet 4'!$1:$6</formula>
    <oldFormula>'Sheet 4'!$1:$6</oldFormula>
  </rdn>
  <rcv guid="{78CA186D-B240-44D5-8A24-D241DE0B0FD9}" action="add"/>
</revisions>
</file>

<file path=xl/revisions/revisionLog171.xml><?xml version="1.0" encoding="utf-8"?>
<revisions xmlns="http://schemas.openxmlformats.org/spreadsheetml/2006/main" xmlns:r="http://schemas.openxmlformats.org/officeDocument/2006/relationships">
  <rcc rId="41146" sId="4" numFmtId="11">
    <nc r="BO145">
      <v>167135</v>
    </nc>
  </rcc>
  <rcc rId="41147" sId="4" numFmtId="11">
    <nc r="BO146">
      <v>192439</v>
    </nc>
  </rcc>
  <rcc rId="41148" sId="4" numFmtId="11">
    <nc r="BO147">
      <v>170917</v>
    </nc>
  </rcc>
  <rcc rId="41149" sId="4" numFmtId="11">
    <nc r="BO148">
      <v>700</v>
    </nc>
  </rcc>
  <rcc rId="41150" sId="4" numFmtId="11">
    <nc r="BO149">
      <v>99377</v>
    </nc>
  </rcc>
  <rcc rId="41151" sId="4" numFmtId="11">
    <nc r="BO150">
      <v>35866</v>
    </nc>
  </rcc>
  <rcc rId="41152" sId="4" numFmtId="11">
    <nc r="BO151">
      <v>16153</v>
    </nc>
  </rcc>
  <rcc rId="41153" sId="4" numFmtId="11">
    <nc r="BO152">
      <v>6512</v>
    </nc>
  </rcc>
  <rcc rId="41154" sId="4" numFmtId="11">
    <nc r="BO154">
      <v>2193</v>
    </nc>
  </rcc>
  <rcc rId="41155" sId="4" numFmtId="11">
    <nc r="BO153">
      <v>19822</v>
    </nc>
  </rcc>
  <rcc rId="41156" sId="4" numFmtId="11">
    <nc r="BO155">
      <v>2685</v>
    </nc>
  </rcc>
  <rcc rId="41157" sId="4" numFmtId="11">
    <nc r="BO156">
      <v>3000</v>
    </nc>
  </rcc>
  <rm rId="41158" sheetId="4" source="BO156" destination="BO157" sourceSheetId="4">
    <undo index="0" exp="ref" v="1" dr="BO157" r="BT157" sId="4"/>
    <rfmt sheetId="4" sqref="BO157" start="0" length="0">
      <dxf>
        <font>
          <sz val="10"/>
          <color auto="1"/>
          <name val="Arial"/>
          <scheme val="none"/>
        </font>
        <numFmt numFmtId="165" formatCode="&quot;$&quot;#,##0"/>
      </dxf>
    </rfmt>
  </rm>
  <rcc rId="41159" sId="4" numFmtId="11">
    <nc r="BO158">
      <v>780</v>
    </nc>
  </rcc>
  <rcc rId="41160" sId="4" numFmtId="11">
    <nc r="BO159">
      <v>394</v>
    </nc>
  </rcc>
  <rcc rId="41161" sId="4" numFmtId="11">
    <nc r="BO160">
      <v>106384</v>
    </nc>
  </rcc>
  <rcc rId="41162" sId="4" numFmtId="11">
    <nc r="BO161">
      <v>61276</v>
    </nc>
  </rcc>
  <rcc rId="41163" sId="4" numFmtId="11">
    <nc r="BO162">
      <v>750612</v>
    </nc>
  </rcc>
  <rdn rId="0" localSheetId="2" customView="1" name="Z_A2518DB3_3A80_4035_9307_EC50A7C923F2_.wvu.Cols" hidden="1" oldHidden="1">
    <formula>'FY2013 by Approp Title'!$AA:$AA</formula>
  </rdn>
  <rdn rId="0" localSheetId="3" customView="1" name="Z_A2518DB3_3A80_4035_9307_EC50A7C923F2_.wvu.Cols" hidden="1" oldHidden="1">
    <formula>'FY2013 By Approp Title-Adj'!$AA:$AA</formula>
  </rdn>
  <rdn rId="0" localSheetId="4" customView="1" name="Z_A2518DB3_3A80_4035_9307_EC50A7C923F2_.wvu.Rows" hidden="1" oldHidden="1">
    <formula>'FY 2013 by Agency'!$1:$3,'FY 2013 by Agency'!$226:$240</formula>
  </rdn>
  <rdn rId="0" localSheetId="4" customView="1" name="Z_A2518DB3_3A80_4035_9307_EC50A7C923F2_.wvu.Cols" hidden="1" oldHidden="1">
    <formula>'FY 2013 by Agency'!$D:$E,'FY 2013 by Agency'!$G:$H,'FY 2013 by Agency'!$J:$K,'FY 2013 by Agency'!$M:$N,'FY 2013 by Agency'!$P:$Q,'FY 2013 by Agency'!$S:$T,'FY 2013 by Agency'!$V:$W,'FY 2013 by Agency'!$Y:$Z,'FY 2013 by Agency'!$AB:$AE,'FY 2013 by Agency'!$AG:$AO,'FY 2013 by Agency'!$AV:$AW,'FY 2013 by Agency'!$AY:$AZ,'FY 2013 by Agency'!$BF:$BG</formula>
  </rdn>
  <rdn rId="0" localSheetId="5" customView="1" name="Z_A2518DB3_3A80_4035_9307_EC50A7C923F2_.wvu.Rows" hidden="1" oldHidden="1">
    <formula>'FY 2013 by Agency-Adj'!$1:$3,'FY 2013 by Agency-Adj'!$14:$14,'FY 2013 by Agency-Adj'!$19:$19,'FY 2013 by Agency-Adj'!$156:$156,'FY 2013 by Agency-Adj'!$163:$163,'FY 2013 by Agency-Adj'!$227:$241</formula>
  </rdn>
  <rdn rId="0" localSheetId="5" customView="1" name="Z_A2518DB3_3A80_4035_9307_EC50A7C923F2_.wvu.Cols" hidden="1" oldHidden="1">
    <formula>'FY 2013 by Agency-Adj'!$AD:$AE,'FY 2013 by Agency-Adj'!$AI:$BK,'FY 2013 by Agency-Adj'!$BO:$BT</formula>
  </rdn>
  <rdn rId="0" localSheetId="8" customView="1" name="Z_A2518DB3_3A80_4035_9307_EC50A7C923F2_.wvu.Rows" hidden="1" oldHidden="1">
    <formula>'Sheet 4'!$1:$6</formula>
  </rdn>
  <rcv guid="{A2518DB3-3A80-4035-9307-EC50A7C923F2}" action="add"/>
</revisions>
</file>

<file path=xl/revisions/revisionLog1711.xml><?xml version="1.0" encoding="utf-8"?>
<revisions xmlns="http://schemas.openxmlformats.org/spreadsheetml/2006/main" xmlns:r="http://schemas.openxmlformats.org/officeDocument/2006/relationships">
  <rcv guid="{455630F5-40FC-47DB-8AD4-712C20B8FB91}" action="delete"/>
  <rdn rId="0" localSheetId="2" customView="1" name="Z_455630F5_40FC_47DB_8AD4_712C20B8FB91_.wvu.Cols" hidden="1" oldHidden="1">
    <formula>'FY2013 by Approp Title'!$AA:$AA</formula>
    <oldFormula>'FY2013 by Approp Title'!$AA:$AA</oldFormula>
  </rdn>
  <rdn rId="0" localSheetId="3" customView="1" name="Z_455630F5_40FC_47DB_8AD4_712C20B8FB91_.wvu.Cols" hidden="1" oldHidden="1">
    <formula>'FY2013 By Approp Title-Adj'!$AA:$AA</formula>
    <oldFormula>'FY2013 By Approp Title-Adj'!$AA:$AA</oldFormula>
  </rdn>
  <rdn rId="0" localSheetId="4" customView="1" name="Z_455630F5_40FC_47DB_8AD4_712C20B8FB91_.wvu.Rows" hidden="1" oldHidden="1">
    <formula>'FY 2013 by Agency'!$1:$3,'FY 2013 by Agency'!$226:$240</formula>
    <oldFormula>'FY 2013 by Agency'!$1:$3,'FY 2013 by Agency'!$226:$240</oldFormula>
  </rdn>
  <rdn rId="0" localSheetId="4" customView="1" name="Z_455630F5_40FC_47DB_8AD4_712C20B8FB91_.wvu.Cols" hidden="1" oldHidden="1">
    <formula>'FY 2013 by Agency'!$D:$E,'FY 2013 by Agency'!$G:$H,'FY 2013 by Agency'!$J:$K,'FY 2013 by Agency'!$M:$N,'FY 2013 by Agency'!$P:$Q,'FY 2013 by Agency'!$S:$T,'FY 2013 by Agency'!$V:$W,'FY 2013 by Agency'!$Y:$Z,'FY 2013 by Agency'!$AB:$AE,'FY 2013 by Agency'!$AG:$AO,'FY 2013 by Agency'!$AV:$AW,'FY 2013 by Agency'!$AY:$AZ,'FY 2013 by Agency'!$BF:$BG</formula>
    <oldFormula>'FY 2013 by Agency'!$D:$E,'FY 2013 by Agency'!$G:$H,'FY 2013 by Agency'!$J:$K,'FY 2013 by Agency'!$M:$N,'FY 2013 by Agency'!$P:$Q,'FY 2013 by Agency'!$S:$T,'FY 2013 by Agency'!$V:$W,'FY 2013 by Agency'!$Y:$Z,'FY 2013 by Agency'!$AB:$AE,'FY 2013 by Agency'!$AG:$AO,'FY 2013 by Agency'!$AV:$AW,'FY 2013 by Agency'!$AY:$AZ,'FY 2013 by Agency'!$BF:$BG</oldFormula>
  </rdn>
  <rdn rId="0" localSheetId="5" customView="1" name="Z_455630F5_40FC_47DB_8AD4_712C20B8FB91_.wvu.Rows" hidden="1" oldHidden="1">
    <formula>'FY 2013 by Agency-Adj'!$1:$3,'FY 2013 by Agency-Adj'!$14:$14,'FY 2013 by Agency-Adj'!$19:$19,'FY 2013 by Agency-Adj'!$156:$156,'FY 2013 by Agency-Adj'!$163:$163,'FY 2013 by Agency-Adj'!$227:$241</formula>
    <oldFormula>'FY 2013 by Agency-Adj'!$1:$3,'FY 2013 by Agency-Adj'!$14:$14,'FY 2013 by Agency-Adj'!$19:$19,'FY 2013 by Agency-Adj'!$156:$156,'FY 2013 by Agency-Adj'!$163:$163,'FY 2013 by Agency-Adj'!$227:$241</oldFormula>
  </rdn>
  <rdn rId="0" localSheetId="5" customView="1" name="Z_455630F5_40FC_47DB_8AD4_712C20B8FB91_.wvu.Cols" hidden="1" oldHidden="1">
    <formula>'FY 2013 by Agency-Adj'!$AD:$AE,'FY 2013 by Agency-Adj'!$AI:$BK,'FY 2013 by Agency-Adj'!$BO:$BT</formula>
    <oldFormula>'FY 2013 by Agency-Adj'!$AD:$AE,'FY 2013 by Agency-Adj'!$AI:$BK,'FY 2013 by Agency-Adj'!$BO:$BT</oldFormula>
  </rdn>
  <rdn rId="0" localSheetId="8" customView="1" name="Z_455630F5_40FC_47DB_8AD4_712C20B8FB91_.wvu.Rows" hidden="1" oldHidden="1">
    <formula>'Sheet 4'!$1:$6</formula>
    <oldFormula>'Sheet 4'!$1:$6</oldFormula>
  </rdn>
  <rcv guid="{455630F5-40FC-47DB-8AD4-712C20B8FB91}" action="add"/>
</revisions>
</file>

<file path=xl/revisions/revisionLog17111.xml><?xml version="1.0" encoding="utf-8"?>
<revisions xmlns="http://schemas.openxmlformats.org/spreadsheetml/2006/main" xmlns:r="http://schemas.openxmlformats.org/officeDocument/2006/relationships">
  <rcv guid="{78CA186D-B240-44D5-8A24-D241DE0B0FD9}" action="delete"/>
  <rdn rId="0" localSheetId="2" customView="1" name="Z_78CA186D_B240_44D5_8A24_D241DE0B0FD9_.wvu.Cols" hidden="1" oldHidden="1">
    <formula>'FY2013 by Approp Title'!$AA:$AA</formula>
    <oldFormula>'FY2013 by Approp Title'!$AA:$AA</oldFormula>
  </rdn>
  <rdn rId="0" localSheetId="3" customView="1" name="Z_78CA186D_B240_44D5_8A24_D241DE0B0FD9_.wvu.Cols" hidden="1" oldHidden="1">
    <formula>'FY2013 By Approp Title-Adj'!$AA:$AA</formula>
    <oldFormula>'FY2013 By Approp Title-Adj'!$AA:$AA</oldFormula>
  </rdn>
  <rdn rId="0" localSheetId="4" customView="1" name="Z_78CA186D_B240_44D5_8A24_D241DE0B0FD9_.wvu.Rows" hidden="1" oldHidden="1">
    <formula>'FY 2013 by Agency'!$1:$3,'FY 2013 by Agency'!$226:$240</formula>
    <oldFormula>'FY 2013 by Agency'!$1:$3,'FY 2013 by Agency'!$226:$240</oldFormula>
  </rdn>
  <rdn rId="0" localSheetId="4" customView="1" name="Z_78CA186D_B240_44D5_8A24_D241DE0B0FD9_.wvu.Cols" hidden="1" oldHidden="1">
    <formula>'FY 2013 by Agency'!$D:$E,'FY 2013 by Agency'!$G:$H,'FY 2013 by Agency'!$J:$K,'FY 2013 by Agency'!$M:$N,'FY 2013 by Agency'!$P:$Q,'FY 2013 by Agency'!$S:$T,'FY 2013 by Agency'!$V:$W,'FY 2013 by Agency'!$Y:$Z,'FY 2013 by Agency'!$AB:$AE,'FY 2013 by Agency'!$AV:$AW,'FY 2013 by Agency'!$AY:$AZ,'FY 2013 by Agency'!$BF:$BG,'FY 2013 by Agency'!$BM:$BN</formula>
    <oldFormula>'FY 2013 by Agency'!$D:$E,'FY 2013 by Agency'!$G:$H,'FY 2013 by Agency'!$J:$K,'FY 2013 by Agency'!$M:$N,'FY 2013 by Agency'!$P:$Q,'FY 2013 by Agency'!$S:$T,'FY 2013 by Agency'!$V:$W,'FY 2013 by Agency'!$Y:$Z,'FY 2013 by Agency'!$AB:$AE,'FY 2013 by Agency'!$AV:$AW,'FY 2013 by Agency'!$AY:$AZ,'FY 2013 by Agency'!$BF:$BG,'FY 2013 by Agency'!$BM:$BN</oldFormula>
  </rdn>
  <rdn rId="0" localSheetId="5" customView="1" name="Z_78CA186D_B240_44D5_8A24_D241DE0B0FD9_.wvu.Rows" hidden="1" oldHidden="1">
    <formula>'FY 2013 by Agency-Adj'!$1:$3,'FY 2013 by Agency-Adj'!$14:$14,'FY 2013 by Agency-Adj'!$19:$19,'FY 2013 by Agency-Adj'!$156:$156,'FY 2013 by Agency-Adj'!$163:$163,'FY 2013 by Agency-Adj'!$227:$241</formula>
    <oldFormula>'FY 2013 by Agency-Adj'!$1:$3,'FY 2013 by Agency-Adj'!$14:$14,'FY 2013 by Agency-Adj'!$19:$19,'FY 2013 by Agency-Adj'!$156:$156,'FY 2013 by Agency-Adj'!$163:$163,'FY 2013 by Agency-Adj'!$227:$241</oldFormula>
  </rdn>
  <rdn rId="0" localSheetId="5" customView="1" name="Z_78CA186D_B240_44D5_8A24_D241DE0B0FD9_.wvu.Cols" hidden="1" oldHidden="1">
    <formula>'FY 2013 by Agency-Adj'!$AD:$AE,'FY 2013 by Agency-Adj'!$AI:$BK,'FY 2013 by Agency-Adj'!$BO:$BT</formula>
    <oldFormula>'FY 2013 by Agency-Adj'!$AD:$AE,'FY 2013 by Agency-Adj'!$AI:$BK,'FY 2013 by Agency-Adj'!$BO:$BT</oldFormula>
  </rdn>
  <rdn rId="0" localSheetId="8" customView="1" name="Z_78CA186D_B240_44D5_8A24_D241DE0B0FD9_.wvu.Rows" hidden="1" oldHidden="1">
    <formula>'Sheet 4'!$1:$6</formula>
    <oldFormula>'Sheet 4'!$1:$6</oldFormula>
  </rdn>
  <rcv guid="{78CA186D-B240-44D5-8A24-D241DE0B0FD9}" action="add"/>
</revisions>
</file>

<file path=xl/revisions/revisionLog171111.xml><?xml version="1.0" encoding="utf-8"?>
<revisions xmlns="http://schemas.openxmlformats.org/spreadsheetml/2006/main" xmlns:r="http://schemas.openxmlformats.org/officeDocument/2006/relationships">
  <rcc rId="41068" sId="4" numFmtId="11">
    <nc r="BO186">
      <v>0</v>
    </nc>
  </rcc>
  <rcc rId="41069" sId="4">
    <nc r="BO187">
      <f>SUM(BO178:BO186)</f>
    </nc>
  </rcc>
  <rcv guid="{78CA186D-B240-44D5-8A24-D241DE0B0FD9}" action="delete"/>
  <rdn rId="0" localSheetId="2" customView="1" name="Z_78CA186D_B240_44D5_8A24_D241DE0B0FD9_.wvu.Cols" hidden="1" oldHidden="1">
    <formula>'FY2013 by Approp Title'!$AA:$AA</formula>
    <oldFormula>'FY2013 by Approp Title'!$AA:$AA</oldFormula>
  </rdn>
  <rdn rId="0" localSheetId="3" customView="1" name="Z_78CA186D_B240_44D5_8A24_D241DE0B0FD9_.wvu.Cols" hidden="1" oldHidden="1">
    <formula>'FY2013 By Approp Title-Adj'!$AA:$AA</formula>
    <oldFormula>'FY2013 By Approp Title-Adj'!$AA:$AA</oldFormula>
  </rdn>
  <rdn rId="0" localSheetId="4" customView="1" name="Z_78CA186D_B240_44D5_8A24_D241DE0B0FD9_.wvu.Rows" hidden="1" oldHidden="1">
    <formula>'FY 2013 by Agency'!$1:$3,'FY 2013 by Agency'!$226:$240</formula>
    <oldFormula>'FY 2013 by Agency'!$1:$3,'FY 2013 by Agency'!$226:$240</oldFormula>
  </rdn>
  <rdn rId="0" localSheetId="4" customView="1" name="Z_78CA186D_B240_44D5_8A24_D241DE0B0FD9_.wvu.Cols" hidden="1" oldHidden="1">
    <formula>'FY 2013 by Agency'!$D:$E,'FY 2013 by Agency'!$G:$H,'FY 2013 by Agency'!$J:$K,'FY 2013 by Agency'!$M:$N,'FY 2013 by Agency'!$P:$Q,'FY 2013 by Agency'!$S:$T,'FY 2013 by Agency'!$V:$W,'FY 2013 by Agency'!$Y:$Z,'FY 2013 by Agency'!$AB:$AE,'FY 2013 by Agency'!$AV:$AW,'FY 2013 by Agency'!$AY:$AZ,'FY 2013 by Agency'!$BF:$BG,'FY 2013 by Agency'!$BM:$BN</formula>
    <oldFormula>'FY 2013 by Agency'!$D:$E,'FY 2013 by Agency'!$G:$H,'FY 2013 by Agency'!$J:$K,'FY 2013 by Agency'!$M:$N,'FY 2013 by Agency'!$P:$Q,'FY 2013 by Agency'!$S:$T,'FY 2013 by Agency'!$V:$W,'FY 2013 by Agency'!$Y:$Z,'FY 2013 by Agency'!$AB:$AE,'FY 2013 by Agency'!$AV:$AW,'FY 2013 by Agency'!$AY:$AZ,'FY 2013 by Agency'!$BF:$BG,'FY 2013 by Agency'!$BM:$BN</oldFormula>
  </rdn>
  <rdn rId="0" localSheetId="5" customView="1" name="Z_78CA186D_B240_44D5_8A24_D241DE0B0FD9_.wvu.Rows" hidden="1" oldHidden="1">
    <formula>'FY 2013 by Agency-Adj'!$1:$3,'FY 2013 by Agency-Adj'!$14:$14,'FY 2013 by Agency-Adj'!$19:$19,'FY 2013 by Agency-Adj'!$156:$156,'FY 2013 by Agency-Adj'!$163:$163,'FY 2013 by Agency-Adj'!$227:$241</formula>
    <oldFormula>'FY 2013 by Agency-Adj'!$1:$3,'FY 2013 by Agency-Adj'!$14:$14,'FY 2013 by Agency-Adj'!$19:$19,'FY 2013 by Agency-Adj'!$156:$156,'FY 2013 by Agency-Adj'!$163:$163,'FY 2013 by Agency-Adj'!$227:$241</oldFormula>
  </rdn>
  <rdn rId="0" localSheetId="5" customView="1" name="Z_78CA186D_B240_44D5_8A24_D241DE0B0FD9_.wvu.Cols" hidden="1" oldHidden="1">
    <formula>'FY 2013 by Agency-Adj'!$AD:$AE,'FY 2013 by Agency-Adj'!$AI:$BK,'FY 2013 by Agency-Adj'!$BO:$BT</formula>
    <oldFormula>'FY 2013 by Agency-Adj'!$AD:$AE,'FY 2013 by Agency-Adj'!$AI:$BK,'FY 2013 by Agency-Adj'!$BO:$BT</oldFormula>
  </rdn>
  <rdn rId="0" localSheetId="8" customView="1" name="Z_78CA186D_B240_44D5_8A24_D241DE0B0FD9_.wvu.Rows" hidden="1" oldHidden="1">
    <formula>'Sheet 4'!$1:$6</formula>
    <oldFormula>'Sheet 4'!$1:$6</oldFormula>
  </rdn>
  <rcv guid="{78CA186D-B240-44D5-8A24-D241DE0B0FD9}" action="add"/>
</revisions>
</file>

<file path=xl/revisions/revisionLog1711111.xml><?xml version="1.0" encoding="utf-8"?>
<revisions xmlns="http://schemas.openxmlformats.org/spreadsheetml/2006/main" xmlns:r="http://schemas.openxmlformats.org/officeDocument/2006/relationships">
  <rcv guid="{78CA186D-B240-44D5-8A24-D241DE0B0FD9}" action="delete"/>
  <rdn rId="0" localSheetId="2" customView="1" name="Z_78CA186D_B240_44D5_8A24_D241DE0B0FD9_.wvu.Cols" hidden="1" oldHidden="1">
    <formula>'FY2013 by Approp Title'!$AA:$AA</formula>
    <oldFormula>'FY2013 by Approp Title'!$AA:$AA</oldFormula>
  </rdn>
  <rdn rId="0" localSheetId="3" customView="1" name="Z_78CA186D_B240_44D5_8A24_D241DE0B0FD9_.wvu.Cols" hidden="1" oldHidden="1">
    <formula>'FY2013 By Approp Title-Adj'!$AA:$AA</formula>
    <oldFormula>'FY2013 By Approp Title-Adj'!$AA:$AA</oldFormula>
  </rdn>
  <rdn rId="0" localSheetId="4" customView="1" name="Z_78CA186D_B240_44D5_8A24_D241DE0B0FD9_.wvu.Rows" hidden="1" oldHidden="1">
    <formula>'FY 2013 by Agency'!$1:$3,'FY 2013 by Agency'!$226:$240</formula>
    <oldFormula>'FY 2013 by Agency'!$1:$3,'FY 2013 by Agency'!$226:$240</oldFormula>
  </rdn>
  <rdn rId="0" localSheetId="4" customView="1" name="Z_78CA186D_B240_44D5_8A24_D241DE0B0FD9_.wvu.Cols" hidden="1" oldHidden="1">
    <formula>'FY 2013 by Agency'!$D:$E,'FY 2013 by Agency'!$G:$H,'FY 2013 by Agency'!$J:$K,'FY 2013 by Agency'!$M:$N,'FY 2013 by Agency'!$P:$Q,'FY 2013 by Agency'!$S:$T,'FY 2013 by Agency'!$V:$W,'FY 2013 by Agency'!$Y:$Z,'FY 2013 by Agency'!$AB:$AE,'FY 2013 by Agency'!$AG:$AO,'FY 2013 by Agency'!$AV:$AW,'FY 2013 by Agency'!$AY:$AZ,'FY 2013 by Agency'!$BF:$BG</formula>
    <oldFormula>'FY 2013 by Agency'!$D:$E,'FY 2013 by Agency'!$G:$H,'FY 2013 by Agency'!$J:$K,'FY 2013 by Agency'!$M:$N,'FY 2013 by Agency'!$P:$Q,'FY 2013 by Agency'!$S:$T,'FY 2013 by Agency'!$V:$W,'FY 2013 by Agency'!$Y:$Z,'FY 2013 by Agency'!$AB:$AE,'FY 2013 by Agency'!$AG:$AO,'FY 2013 by Agency'!$AV:$AW,'FY 2013 by Agency'!$AY:$AZ,'FY 2013 by Agency'!$BF:$BG</oldFormula>
  </rdn>
  <rdn rId="0" localSheetId="5" customView="1" name="Z_78CA186D_B240_44D5_8A24_D241DE0B0FD9_.wvu.Rows" hidden="1" oldHidden="1">
    <formula>'FY 2013 by Agency-Adj'!$1:$3,'FY 2013 by Agency-Adj'!$14:$14,'FY 2013 by Agency-Adj'!$19:$19,'FY 2013 by Agency-Adj'!$156:$156,'FY 2013 by Agency-Adj'!$163:$163,'FY 2013 by Agency-Adj'!$227:$241</formula>
    <oldFormula>'FY 2013 by Agency-Adj'!$1:$3,'FY 2013 by Agency-Adj'!$14:$14,'FY 2013 by Agency-Adj'!$19:$19,'FY 2013 by Agency-Adj'!$156:$156,'FY 2013 by Agency-Adj'!$163:$163,'FY 2013 by Agency-Adj'!$227:$241</oldFormula>
  </rdn>
  <rdn rId="0" localSheetId="5" customView="1" name="Z_78CA186D_B240_44D5_8A24_D241DE0B0FD9_.wvu.Cols" hidden="1" oldHidden="1">
    <formula>'FY 2013 by Agency-Adj'!$AD:$AE,'FY 2013 by Agency-Adj'!$AI:$BK,'FY 2013 by Agency-Adj'!$BO:$BT</formula>
    <oldFormula>'FY 2013 by Agency-Adj'!$AD:$AE,'FY 2013 by Agency-Adj'!$AI:$BK,'FY 2013 by Agency-Adj'!$BO:$BT</oldFormula>
  </rdn>
  <rdn rId="0" localSheetId="8" customView="1" name="Z_78CA186D_B240_44D5_8A24_D241DE0B0FD9_.wvu.Rows" hidden="1" oldHidden="1">
    <formula>'Sheet 4'!$1:$6</formula>
    <oldFormula>'Sheet 4'!$1:$6</oldFormula>
  </rdn>
  <rcv guid="{78CA186D-B240-44D5-8A24-D241DE0B0FD9}" action="add"/>
</revisions>
</file>

<file path=xl/revisions/revisionLog17111111.xml><?xml version="1.0" encoding="utf-8"?>
<revisions xmlns="http://schemas.openxmlformats.org/spreadsheetml/2006/main" xmlns:r="http://schemas.openxmlformats.org/officeDocument/2006/relationships">
  <rfmt sheetId="4" sqref="BE25">
    <dxf>
      <fill>
        <patternFill patternType="solid">
          <bgColor rgb="FF009999"/>
        </patternFill>
      </fill>
    </dxf>
  </rfmt>
  <rfmt sheetId="4" sqref="BE32">
    <dxf>
      <fill>
        <patternFill patternType="solid">
          <bgColor rgb="FF009999"/>
        </patternFill>
      </fill>
    </dxf>
  </rfmt>
  <rfmt sheetId="4" sqref="BE37">
    <dxf>
      <fill>
        <patternFill patternType="solid">
          <bgColor rgb="FF009999"/>
        </patternFill>
      </fill>
    </dxf>
  </rfmt>
  <rcv guid="{455630F5-40FC-47DB-8AD4-712C20B8FB91}" action="delete"/>
  <rdn rId="0" localSheetId="2" customView="1" name="Z_455630F5_40FC_47DB_8AD4_712C20B8FB91_.wvu.Cols" hidden="1" oldHidden="1">
    <formula>'FY2013 by Approp Title'!$AA:$AA</formula>
    <oldFormula>'FY2013 by Approp Title'!$AA:$AA</oldFormula>
  </rdn>
  <rdn rId="0" localSheetId="3" customView="1" name="Z_455630F5_40FC_47DB_8AD4_712C20B8FB91_.wvu.Cols" hidden="1" oldHidden="1">
    <formula>'FY2013 By Approp Title-Adj'!$AA:$AA</formula>
    <oldFormula>'FY2013 By Approp Title-Adj'!$AA:$AA</oldFormula>
  </rdn>
  <rdn rId="0" localSheetId="4" customView="1" name="Z_455630F5_40FC_47DB_8AD4_712C20B8FB91_.wvu.Rows" hidden="1" oldHidden="1">
    <formula>'FY 2013 by Agency'!$1:$3,'FY 2013 by Agency'!$226:$240</formula>
    <oldFormula>'FY 2013 by Agency'!$1:$3,'FY 2013 by Agency'!$226:$240</oldFormula>
  </rdn>
  <rdn rId="0" localSheetId="4" customView="1" name="Z_455630F5_40FC_47DB_8AD4_712C20B8FB91_.wvu.Cols" hidden="1" oldHidden="1">
    <formula>'FY 2013 by Agency'!$D:$E,'FY 2013 by Agency'!$G:$H,'FY 2013 by Agency'!$J:$K,'FY 2013 by Agency'!$M:$N,'FY 2013 by Agency'!$P:$Q,'FY 2013 by Agency'!$S:$T,'FY 2013 by Agency'!$V:$W,'FY 2013 by Agency'!$Y:$Z,'FY 2013 by Agency'!$AB:$AE,'FY 2013 by Agency'!$AG:$AO,'FY 2013 by Agency'!$AV:$AW,'FY 2013 by Agency'!$AY:$AZ,'FY 2013 by Agency'!$BF:$BG</formula>
    <oldFormula>'FY 2013 by Agency'!$D:$E,'FY 2013 by Agency'!$G:$H,'FY 2013 by Agency'!$J:$K,'FY 2013 by Agency'!$M:$N,'FY 2013 by Agency'!$P:$Q,'FY 2013 by Agency'!$S:$T,'FY 2013 by Agency'!$V:$W,'FY 2013 by Agency'!$Y:$Z,'FY 2013 by Agency'!$AB:$AE,'FY 2013 by Agency'!$AG:$AO,'FY 2013 by Agency'!$AV:$AW,'FY 2013 by Agency'!$AY:$AZ,'FY 2013 by Agency'!$BF:$BG</oldFormula>
  </rdn>
  <rdn rId="0" localSheetId="5" customView="1" name="Z_455630F5_40FC_47DB_8AD4_712C20B8FB91_.wvu.Rows" hidden="1" oldHidden="1">
    <formula>'FY 2013 by Agency-Adj'!$1:$3,'FY 2013 by Agency-Adj'!$14:$14,'FY 2013 by Agency-Adj'!$19:$19,'FY 2013 by Agency-Adj'!$156:$156,'FY 2013 by Agency-Adj'!$163:$163,'FY 2013 by Agency-Adj'!$227:$241</formula>
    <oldFormula>'FY 2013 by Agency-Adj'!$1:$3,'FY 2013 by Agency-Adj'!$14:$14,'FY 2013 by Agency-Adj'!$19:$19,'FY 2013 by Agency-Adj'!$156:$156,'FY 2013 by Agency-Adj'!$163:$163,'FY 2013 by Agency-Adj'!$227:$241</oldFormula>
  </rdn>
  <rdn rId="0" localSheetId="5" customView="1" name="Z_455630F5_40FC_47DB_8AD4_712C20B8FB91_.wvu.Cols" hidden="1" oldHidden="1">
    <formula>'FY 2013 by Agency-Adj'!$AD:$AE,'FY 2013 by Agency-Adj'!$AI:$BK,'FY 2013 by Agency-Adj'!$BO:$BT</formula>
    <oldFormula>'FY 2013 by Agency-Adj'!$AD:$AE,'FY 2013 by Agency-Adj'!$AI:$BK,'FY 2013 by Agency-Adj'!$BO:$BT</oldFormula>
  </rdn>
  <rdn rId="0" localSheetId="8" customView="1" name="Z_455630F5_40FC_47DB_8AD4_712C20B8FB91_.wvu.Rows" hidden="1" oldHidden="1">
    <formula>'Sheet 4'!$1:$6</formula>
    <oldFormula>'Sheet 4'!$1:$6</oldFormula>
  </rdn>
  <rcv guid="{455630F5-40FC-47DB-8AD4-712C20B8FB91}" action="add"/>
</revisions>
</file>

<file path=xl/revisions/revisionLog172.xml><?xml version="1.0" encoding="utf-8"?>
<revisions xmlns="http://schemas.openxmlformats.org/spreadsheetml/2006/main" xmlns:r="http://schemas.openxmlformats.org/officeDocument/2006/relationships">
  <rcc rId="41715" sId="4">
    <nc r="BS11">
      <v>0</v>
    </nc>
  </rcc>
  <rfmt sheetId="4" sqref="BS11">
    <dxf>
      <font>
        <b val="0"/>
        <i val="0"/>
        <strike val="0"/>
        <condense val="0"/>
        <extend val="0"/>
        <outline val="0"/>
        <shadow val="0"/>
        <u val="none"/>
        <vertAlign val="baseline"/>
        <sz val="10"/>
        <color auto="1"/>
        <name val="Arial"/>
        <scheme val="none"/>
      </font>
      <border diagonalUp="0" diagonalDown="0" outline="0">
        <left/>
        <right/>
        <top/>
        <bottom/>
      </border>
    </dxf>
  </rfmt>
  <rcc rId="41716" sId="4">
    <nc r="BS16">
      <v>2</v>
    </nc>
  </rcc>
  <rfmt sheetId="4" sqref="BS16">
    <dxf>
      <font>
        <b val="0"/>
        <i val="0"/>
        <strike val="0"/>
        <condense val="0"/>
        <extend val="0"/>
        <outline val="0"/>
        <shadow val="0"/>
        <u val="none"/>
        <vertAlign val="baseline"/>
        <sz val="10"/>
        <color auto="1"/>
        <name val="Arial"/>
        <scheme val="none"/>
      </font>
      <fill>
        <patternFill patternType="none">
          <fgColor indexed="64"/>
          <bgColor indexed="65"/>
        </patternFill>
      </fill>
    </dxf>
  </rfmt>
  <rcc rId="41717" sId="4">
    <nc r="BS18">
      <v>137.94499999999999</v>
    </nc>
  </rcc>
  <rfmt sheetId="4" sqref="BS18">
    <dxf>
      <font>
        <b val="0"/>
        <i val="0"/>
        <strike val="0"/>
        <condense val="0"/>
        <extend val="0"/>
        <outline val="0"/>
        <shadow val="0"/>
        <u val="none"/>
        <vertAlign val="baseline"/>
        <sz val="10"/>
        <color auto="1"/>
        <name val="Arial"/>
        <scheme val="none"/>
      </font>
    </dxf>
  </rfmt>
  <rcc rId="41718" sId="4">
    <nc r="BS20">
      <v>0</v>
    </nc>
  </rcc>
  <rfmt sheetId="4" sqref="BS20">
    <dxf>
      <font>
        <b val="0"/>
        <i val="0"/>
        <strike val="0"/>
        <condense val="0"/>
        <extend val="0"/>
        <outline val="0"/>
        <shadow val="0"/>
        <u val="none"/>
        <vertAlign val="baseline"/>
        <sz val="10"/>
        <color auto="1"/>
        <name val="Arial"/>
        <scheme val="none"/>
      </font>
    </dxf>
  </rfmt>
  <rcc rId="41719" sId="4">
    <nc r="BS22">
      <v>0</v>
    </nc>
  </rcc>
  <rfmt sheetId="4" sqref="BS22">
    <dxf>
      <font>
        <b val="0"/>
        <i val="0"/>
        <strike val="0"/>
        <condense val="0"/>
        <extend val="0"/>
        <outline val="0"/>
        <shadow val="0"/>
        <u val="none"/>
        <vertAlign val="baseline"/>
        <sz val="10"/>
        <color auto="1"/>
        <name val="Arial"/>
        <scheme val="none"/>
      </font>
      <fill>
        <patternFill patternType="none">
          <fgColor indexed="64"/>
          <bgColor indexed="65"/>
        </patternFill>
      </fill>
    </dxf>
  </rfmt>
  <rcc rId="41720" sId="4">
    <nc r="BS23">
      <v>0.69</v>
    </nc>
  </rcc>
  <rfmt sheetId="4" sqref="BS23">
    <dxf>
      <font>
        <b val="0"/>
        <i val="0"/>
        <strike val="0"/>
        <condense val="0"/>
        <extend val="0"/>
        <outline val="0"/>
        <shadow val="0"/>
        <u val="none"/>
        <vertAlign val="baseline"/>
        <sz val="10"/>
        <color auto="1"/>
        <name val="Arial"/>
        <scheme val="none"/>
      </font>
      <fill>
        <patternFill patternType="none">
          <fgColor indexed="64"/>
          <bgColor indexed="65"/>
        </patternFill>
      </fill>
    </dxf>
  </rfmt>
  <rcc rId="41721" sId="4">
    <nc r="BS24">
      <v>63.7</v>
    </nc>
  </rcc>
  <rfmt sheetId="4" sqref="BS24">
    <dxf>
      <font>
        <b val="0"/>
        <i val="0"/>
        <strike val="0"/>
        <condense val="0"/>
        <extend val="0"/>
        <outline val="0"/>
        <shadow val="0"/>
        <u val="none"/>
        <vertAlign val="baseline"/>
        <sz val="10"/>
        <color auto="1"/>
        <name val="Arial"/>
        <scheme val="none"/>
      </font>
      <fill>
        <patternFill patternType="none">
          <fgColor indexed="64"/>
          <bgColor indexed="65"/>
        </patternFill>
      </fill>
    </dxf>
  </rfmt>
  <rcc rId="41722" sId="4">
    <nc r="BS26">
      <v>0.25</v>
    </nc>
  </rcc>
  <rfmt sheetId="4" sqref="BS26">
    <dxf>
      <font>
        <b val="0"/>
        <i val="0"/>
        <strike val="0"/>
        <condense val="0"/>
        <extend val="0"/>
        <outline val="0"/>
        <shadow val="0"/>
        <u val="none"/>
        <vertAlign val="baseline"/>
        <sz val="10"/>
        <color auto="1"/>
        <name val="Arial"/>
        <scheme val="none"/>
      </font>
      <fill>
        <patternFill patternType="none">
          <fgColor indexed="64"/>
          <bgColor indexed="65"/>
        </patternFill>
      </fill>
    </dxf>
  </rfmt>
  <rcc rId="41723" sId="4">
    <nc r="BS27">
      <v>0</v>
    </nc>
  </rcc>
  <rfmt sheetId="4" sqref="BS27">
    <dxf>
      <font>
        <b val="0"/>
        <i val="0"/>
        <strike val="0"/>
        <condense val="0"/>
        <extend val="0"/>
        <outline val="0"/>
        <shadow val="0"/>
        <u val="none"/>
        <vertAlign val="baseline"/>
        <sz val="10"/>
        <color auto="1"/>
        <name val="Arial"/>
        <scheme val="none"/>
      </font>
      <fill>
        <patternFill patternType="none">
          <fgColor indexed="64"/>
          <bgColor indexed="65"/>
        </patternFill>
      </fill>
    </dxf>
  </rfmt>
  <rcc rId="41724" sId="4">
    <nc r="BS29">
      <v>0.25</v>
    </nc>
  </rcc>
  <rfmt sheetId="4" sqref="BS29">
    <dxf>
      <font>
        <b val="0"/>
        <i val="0"/>
        <strike val="0"/>
        <condense val="0"/>
        <extend val="0"/>
        <outline val="0"/>
        <shadow val="0"/>
        <u val="none"/>
        <vertAlign val="baseline"/>
        <sz val="10"/>
        <color auto="1"/>
        <name val="Arial"/>
        <scheme val="none"/>
      </font>
      <fill>
        <patternFill patternType="none">
          <fgColor indexed="64"/>
          <bgColor indexed="65"/>
        </patternFill>
      </fill>
    </dxf>
  </rfmt>
  <rcc rId="41725" sId="4">
    <nc r="BS30">
      <v>0.25</v>
    </nc>
  </rcc>
  <rfmt sheetId="4" sqref="BS30">
    <dxf>
      <font>
        <b val="0"/>
        <i val="0"/>
        <strike val="0"/>
        <condense val="0"/>
        <extend val="0"/>
        <outline val="0"/>
        <shadow val="0"/>
        <u val="none"/>
        <vertAlign val="baseline"/>
        <sz val="10"/>
        <color auto="1"/>
        <name val="Arial"/>
        <scheme val="none"/>
      </font>
      <fill>
        <patternFill patternType="none">
          <fgColor indexed="64"/>
          <bgColor indexed="65"/>
        </patternFill>
      </fill>
    </dxf>
  </rfmt>
  <rcc rId="41726" sId="4">
    <nc r="BS34">
      <v>14.404999999999999</v>
    </nc>
  </rcc>
  <rfmt sheetId="4" sqref="BS34">
    <dxf>
      <font>
        <b val="0"/>
        <i val="0"/>
        <strike val="0"/>
        <condense val="0"/>
        <extend val="0"/>
        <outline val="0"/>
        <shadow val="0"/>
        <u val="none"/>
        <vertAlign val="baseline"/>
        <sz val="10"/>
        <color auto="1"/>
        <name val="Arial"/>
        <scheme val="none"/>
      </font>
      <fill>
        <patternFill patternType="none">
          <fgColor indexed="64"/>
          <bgColor indexed="65"/>
        </patternFill>
      </fill>
      <border diagonalUp="0" diagonalDown="0" outline="0">
        <left/>
        <right/>
        <top/>
        <bottom/>
      </border>
    </dxf>
  </rfmt>
  <rfmt sheetId="4" sqref="BS7:BS40">
    <dxf>
      <numFmt numFmtId="165" formatCode="&quot;$&quot;#,##0"/>
    </dxf>
  </rfmt>
  <rcv guid="{455630F5-40FC-47DB-8AD4-712C20B8FB91}" action="delete"/>
  <rdn rId="0" localSheetId="2" customView="1" name="Z_455630F5_40FC_47DB_8AD4_712C20B8FB91_.wvu.Cols" hidden="1" oldHidden="1">
    <formula>'FY2013 by Approp Title'!$AA:$AA</formula>
    <oldFormula>'FY2013 by Approp Title'!$AA:$AA</oldFormula>
  </rdn>
  <rdn rId="0" localSheetId="3" customView="1" name="Z_455630F5_40FC_47DB_8AD4_712C20B8FB91_.wvu.Cols" hidden="1" oldHidden="1">
    <formula>'FY2013 By Approp Title-Adj'!$AA:$AA</formula>
    <oldFormula>'FY2013 By Approp Title-Adj'!$AA:$AA</oldFormula>
  </rdn>
  <rdn rId="0" localSheetId="4" customView="1" name="Z_455630F5_40FC_47DB_8AD4_712C20B8FB91_.wvu.Rows" hidden="1" oldHidden="1">
    <formula>'FY 2013 by Agency'!$1:$3,'FY 2013 by Agency'!$226:$240</formula>
    <oldFormula>'FY 2013 by Agency'!$1:$3,'FY 2013 by Agency'!$226:$240</oldFormula>
  </rdn>
  <rdn rId="0" localSheetId="4" customView="1" name="Z_455630F5_40FC_47DB_8AD4_712C20B8FB91_.wvu.Cols" hidden="1" oldHidden="1">
    <formula>'FY 2013 by Agency'!$D:$E,'FY 2013 by Agency'!$G:$H,'FY 2013 by Agency'!$J:$K,'FY 2013 by Agency'!$M:$N,'FY 2013 by Agency'!$P:$Q,'FY 2013 by Agency'!$S:$T,'FY 2013 by Agency'!$V:$W,'FY 2013 by Agency'!$Y:$Z,'FY 2013 by Agency'!$AB:$AE,'FY 2013 by Agency'!$AG:$AO,'FY 2013 by Agency'!$AV:$AW,'FY 2013 by Agency'!$AY:$AZ,'FY 2013 by Agency'!$BF:$BG</formula>
    <oldFormula>'FY 2013 by Agency'!$D:$E,'FY 2013 by Agency'!$G:$H,'FY 2013 by Agency'!$J:$K,'FY 2013 by Agency'!$M:$N,'FY 2013 by Agency'!$P:$Q,'FY 2013 by Agency'!$S:$T,'FY 2013 by Agency'!$V:$W,'FY 2013 by Agency'!$Y:$Z,'FY 2013 by Agency'!$AB:$AE,'FY 2013 by Agency'!$AG:$AO,'FY 2013 by Agency'!$AV:$AW,'FY 2013 by Agency'!$AY:$AZ,'FY 2013 by Agency'!$BF:$BG</oldFormula>
  </rdn>
  <rdn rId="0" localSheetId="5" customView="1" name="Z_455630F5_40FC_47DB_8AD4_712C20B8FB91_.wvu.Rows" hidden="1" oldHidden="1">
    <formula>'FY 2013 by Agency-Adj'!$1:$3,'FY 2013 by Agency-Adj'!$14:$14,'FY 2013 by Agency-Adj'!$19:$19,'FY 2013 by Agency-Adj'!$156:$156,'FY 2013 by Agency-Adj'!$163:$163,'FY 2013 by Agency-Adj'!$227:$241</formula>
    <oldFormula>'FY 2013 by Agency-Adj'!$1:$3,'FY 2013 by Agency-Adj'!$14:$14,'FY 2013 by Agency-Adj'!$19:$19,'FY 2013 by Agency-Adj'!$156:$156,'FY 2013 by Agency-Adj'!$163:$163,'FY 2013 by Agency-Adj'!$227:$241</oldFormula>
  </rdn>
  <rdn rId="0" localSheetId="5" customView="1" name="Z_455630F5_40FC_47DB_8AD4_712C20B8FB91_.wvu.Cols" hidden="1" oldHidden="1">
    <formula>'FY 2013 by Agency-Adj'!$AD:$AE,'FY 2013 by Agency-Adj'!$AI:$BK,'FY 2013 by Agency-Adj'!$BO:$BT</formula>
    <oldFormula>'FY 2013 by Agency-Adj'!$AD:$AE,'FY 2013 by Agency-Adj'!$AI:$BK,'FY 2013 by Agency-Adj'!$BO:$BT</oldFormula>
  </rdn>
  <rdn rId="0" localSheetId="8" customView="1" name="Z_455630F5_40FC_47DB_8AD4_712C20B8FB91_.wvu.Rows" hidden="1" oldHidden="1">
    <formula>'Sheet 4'!$1:$6</formula>
    <oldFormula>'Sheet 4'!$1:$6</oldFormula>
  </rdn>
  <rcv guid="{455630F5-40FC-47DB-8AD4-712C20B8FB91}" action="add"/>
</revisions>
</file>

<file path=xl/revisions/revisionLog1721.xml><?xml version="1.0" encoding="utf-8"?>
<revisions xmlns="http://schemas.openxmlformats.org/spreadsheetml/2006/main" xmlns:r="http://schemas.openxmlformats.org/officeDocument/2006/relationships">
  <rfmt sheetId="10" sqref="A17" start="0" length="2147483647">
    <dxf>
      <font>
        <b/>
      </font>
    </dxf>
  </rfmt>
  <rcc rId="41538" sId="10">
    <nc r="A17" t="inlineStr">
      <is>
        <t>OPEFM</t>
      </is>
    </nc>
  </rcc>
  <rfmt sheetId="10" sqref="A18" start="0" length="0">
    <dxf>
      <font>
        <sz val="10"/>
        <color auto="1"/>
        <name val="Arial"/>
        <scheme val="none"/>
      </font>
    </dxf>
  </rfmt>
  <rfmt sheetId="10" sqref="A18">
    <dxf>
      <font>
        <b val="0"/>
        <i val="0"/>
        <strike val="0"/>
        <condense val="0"/>
        <extend val="0"/>
        <outline val="0"/>
        <shadow val="0"/>
        <u val="none"/>
        <vertAlign val="baseline"/>
        <sz val="10"/>
        <color auto="1"/>
        <name val="Arial"/>
        <scheme val="none"/>
      </font>
      <fill>
        <patternFill patternType="none">
          <fgColor indexed="64"/>
          <bgColor indexed="65"/>
        </patternFill>
      </fill>
      <border diagonalUp="0" diagonalDown="0" outline="0">
        <left/>
        <right/>
        <top/>
        <bottom/>
      </border>
    </dxf>
  </rfmt>
  <rrc rId="41539" sId="10" ref="A16:XFD16" action="deleteRow">
    <rfmt sheetId="10" xfDxf="1" sqref="A16:XFD16" start="0" length="0"/>
    <rfmt sheetId="10" sqref="A16" start="0" length="0">
      <dxf/>
    </rfmt>
    <rfmt sheetId="10" sqref="B16" start="0" length="0">
      <dxf/>
    </rfmt>
    <rfmt sheetId="10" sqref="C16" start="0" length="0">
      <dxf/>
    </rfmt>
  </rrc>
  <rcc rId="41540" sId="10" odxf="1" dxf="1">
    <nc r="A17" t="inlineStr">
      <is>
        <t>This was moved from its own line in Educ in 2011 to being part of DGS in 2012.  because this is so associated with education, we have</t>
      </is>
    </nc>
    <ndxf>
      <font>
        <sz val="10"/>
        <color auto="1"/>
        <name val="Arial"/>
        <scheme val="none"/>
      </font>
    </ndxf>
  </rcc>
  <rcc rId="41541" sId="10" odxf="1" dxf="1">
    <nc r="A18" t="inlineStr">
      <is>
        <t>taken the DGS lines that refer to Pub Education starting in 2012 and kept it in OPEFM</t>
      </is>
    </nc>
    <odxf>
      <font>
        <sz val="10"/>
        <color auto="1"/>
        <name val="Arial"/>
        <scheme val="none"/>
      </font>
    </odxf>
    <ndxf>
      <font>
        <sz val="10"/>
        <color auto="1"/>
        <name val="Arial"/>
        <scheme val="none"/>
      </font>
    </ndxf>
  </rcc>
  <rfmt sheetId="10" sqref="A18">
    <dxf>
      <font>
        <b val="0"/>
        <i val="0"/>
        <strike val="0"/>
        <condense val="0"/>
        <extend val="0"/>
        <outline val="0"/>
        <shadow val="0"/>
        <u val="none"/>
        <vertAlign val="baseline"/>
        <sz val="10"/>
        <color auto="1"/>
        <name val="Arial"/>
        <scheme val="none"/>
      </font>
      <fill>
        <patternFill patternType="none">
          <fgColor indexed="64"/>
          <bgColor indexed="65"/>
        </patternFill>
      </fill>
      <border diagonalUp="0" diagonalDown="0" outline="0">
        <left/>
        <right/>
        <top/>
        <bottom/>
      </border>
    </dxf>
  </rfmt>
  <rcc rId="41542" sId="12">
    <oc r="A9" t="inlineStr">
      <is>
        <t xml:space="preserve">Recommendation: </t>
      </is>
    </oc>
    <nc r="A9" t="inlineStr">
      <is>
        <t>How this is treated in spreadsheet</t>
      </is>
    </nc>
  </rcc>
  <rrc rId="41543" sId="12" eol="1" ref="A13:XFD13" action="insertRow"/>
  <rcc rId="41544" sId="12" odxf="1" dxf="1">
    <nc r="A13" t="inlineStr">
      <is>
        <t>OPEFM</t>
      </is>
    </nc>
    <odxf>
      <font>
        <sz val="10"/>
        <color auto="1"/>
        <name val="Arial"/>
        <scheme val="none"/>
      </font>
    </odxf>
    <ndxf>
      <font>
        <sz val="10"/>
        <color auto="1"/>
        <name val="Arial"/>
        <scheme val="none"/>
      </font>
    </ndxf>
  </rcc>
  <rfmt sheetId="12" sqref="A13" start="0" length="2147483647">
    <dxf>
      <font>
        <b/>
      </font>
    </dxf>
  </rfmt>
  <rrc rId="41545" sId="12" eol="1" ref="A14:XFD14" action="insertRow"/>
  <rcc rId="41546" sId="12" odxf="1" dxf="1">
    <nc r="A14" t="inlineStr">
      <is>
        <t>This was its own line, under Educ, through 2011.  It was moved to DGS in 2012</t>
      </is>
    </nc>
    <odxf>
      <font>
        <sz val="10"/>
        <color auto="1"/>
        <name val="Arial"/>
        <scheme val="none"/>
      </font>
    </odxf>
    <ndxf>
      <font>
        <sz val="10"/>
        <color auto="1"/>
        <name val="Arial"/>
        <scheme val="none"/>
      </font>
    </ndxf>
  </rcc>
  <rfmt sheetId="12" sqref="A16" start="0" length="2147483647">
    <dxf>
      <font>
        <b/>
      </font>
    </dxf>
  </rfmt>
  <rcc rId="41547" sId="12">
    <nc r="A16" t="inlineStr">
      <is>
        <t>How this is treated in our spreadsheet</t>
      </is>
    </nc>
  </rcc>
  <rrc rId="41548" sId="12" eol="1" ref="A17:XFD17" action="insertRow"/>
  <rcc rId="41549" sId="12" odxf="1" dxf="1">
    <nc r="A17" t="inlineStr">
      <is>
        <t>For 2012 and 2013, the DGS amounts listed for Public Ed are deducted from DGS (in govt direction) and moved to the OPEFM line in Educatin</t>
      </is>
    </nc>
    <odxf>
      <font>
        <sz val="10"/>
        <color auto="1"/>
        <name val="Arial"/>
        <scheme val="none"/>
      </font>
    </odxf>
    <ndxf>
      <font>
        <sz val="10"/>
        <color auto="1"/>
        <name val="Arial"/>
        <scheme val="none"/>
      </font>
    </ndxf>
  </rcc>
  <rcc rId="41550" sId="4">
    <oc r="BE25">
      <f>(200178+6506)-500-121876-48890-10016</f>
    </oc>
    <nc r="BE25">
      <f>(200178+6506)-500-121876-45839-10016</f>
    </nc>
  </rcc>
  <rcc rId="41551" sId="4" numFmtId="11">
    <oc r="BE128">
      <v>48889.84</v>
    </oc>
    <nc r="BE128">
      <v>45839</v>
    </nc>
  </rcc>
  <rcv guid="{AEFEB150-9213-45F5-A178-7AC71E46DB11}" action="delete"/>
  <rdn rId="0" localSheetId="2" customView="1" name="Z_AEFEB150_9213_45F5_A178_7AC71E46DB11_.wvu.Cols" hidden="1" oldHidden="1">
    <formula>'FY2013 by Approp Title'!$AA:$AA</formula>
    <oldFormula>'FY2013 by Approp Title'!$AA:$AA</oldFormula>
  </rdn>
  <rdn rId="0" localSheetId="3" customView="1" name="Z_AEFEB150_9213_45F5_A178_7AC71E46DB11_.wvu.Cols" hidden="1" oldHidden="1">
    <formula>'FY2013 By Approp Title-Adj'!$AA:$AA</formula>
    <oldFormula>'FY2013 By Approp Title-Adj'!$AA:$AA</oldFormula>
  </rdn>
  <rdn rId="0" localSheetId="4" customView="1" name="Z_AEFEB150_9213_45F5_A178_7AC71E46DB11_.wvu.Rows" hidden="1" oldHidden="1">
    <formula>'FY 2013 by Agency'!$1:$3,'FY 2013 by Agency'!$226:$240</formula>
    <oldFormula>'FY 2013 by Agency'!$1:$3,'FY 2013 by Agency'!$226:$240</oldFormula>
  </rdn>
  <rdn rId="0" localSheetId="5" customView="1" name="Z_AEFEB150_9213_45F5_A178_7AC71E46DB11_.wvu.Rows" hidden="1" oldHidden="1">
    <formula>'FY 2013 by Agency-Adj'!$1:$3,'FY 2013 by Agency-Adj'!$227:$241</formula>
    <oldFormula>'FY 2013 by Agency-Adj'!$1:$3,'FY 2013 by Agency-Adj'!$227:$241</oldFormula>
  </rdn>
  <rdn rId="0" localSheetId="5" customView="1" name="Z_AEFEB150_9213_45F5_A178_7AC71E46DB11_.wvu.Cols" hidden="1" oldHidden="1">
    <formula>'FY 2013 by Agency-Adj'!$AJ:$AM</formula>
    <oldFormula>'FY 2013 by Agency-Adj'!$AJ:$AM</oldFormula>
  </rdn>
  <rdn rId="0" localSheetId="8" customView="1" name="Z_AEFEB150_9213_45F5_A178_7AC71E46DB11_.wvu.Rows" hidden="1" oldHidden="1">
    <formula>'Sheet 4'!$1:$6</formula>
    <oldFormula>'Sheet 4'!$1:$6</oldFormula>
  </rdn>
  <rcv guid="{AEFEB150-9213-45F5-A178-7AC71E46DB11}" action="add"/>
</revisions>
</file>

<file path=xl/revisions/revisionLog17211.xml><?xml version="1.0" encoding="utf-8"?>
<revisions xmlns="http://schemas.openxmlformats.org/spreadsheetml/2006/main" xmlns:r="http://schemas.openxmlformats.org/officeDocument/2006/relationships">
  <rfmt sheetId="4" sqref="BE32">
    <dxf>
      <fill>
        <patternFill patternType="none">
          <bgColor auto="1"/>
        </patternFill>
      </fill>
    </dxf>
  </rfmt>
  <rcc rId="41198" sId="4" numFmtId="11">
    <oc r="BO37">
      <v>0</v>
    </oc>
    <nc r="BO37">
      <v>2951</v>
    </nc>
  </rcc>
  <rfmt sheetId="4" sqref="BO106" start="0" length="0">
    <dxf>
      <font/>
    </dxf>
  </rfmt>
  <rcc rId="41199" sId="4">
    <oc r="BO106">
      <v>11195</v>
    </oc>
    <nc r="BO106">
      <f>11195-2951</f>
    </nc>
  </rcc>
  <rcv guid="{455630F5-40FC-47DB-8AD4-712C20B8FB91}" action="delete"/>
  <rdn rId="0" localSheetId="2" customView="1" name="Z_455630F5_40FC_47DB_8AD4_712C20B8FB91_.wvu.Cols" hidden="1" oldHidden="1">
    <formula>'FY2013 by Approp Title'!$AA:$AA</formula>
    <oldFormula>'FY2013 by Approp Title'!$AA:$AA</oldFormula>
  </rdn>
  <rdn rId="0" localSheetId="3" customView="1" name="Z_455630F5_40FC_47DB_8AD4_712C20B8FB91_.wvu.Cols" hidden="1" oldHidden="1">
    <formula>'FY2013 By Approp Title-Adj'!$AA:$AA</formula>
    <oldFormula>'FY2013 By Approp Title-Adj'!$AA:$AA</oldFormula>
  </rdn>
  <rdn rId="0" localSheetId="4" customView="1" name="Z_455630F5_40FC_47DB_8AD4_712C20B8FB91_.wvu.Rows" hidden="1" oldHidden="1">
    <formula>'FY 2013 by Agency'!$1:$3,'FY 2013 by Agency'!$226:$240</formula>
    <oldFormula>'FY 2013 by Agency'!$1:$3,'FY 2013 by Agency'!$226:$240</oldFormula>
  </rdn>
  <rdn rId="0" localSheetId="4" customView="1" name="Z_455630F5_40FC_47DB_8AD4_712C20B8FB91_.wvu.Cols" hidden="1" oldHidden="1">
    <formula>'FY 2013 by Agency'!$D:$E,'FY 2013 by Agency'!$G:$H,'FY 2013 by Agency'!$J:$K,'FY 2013 by Agency'!$M:$N,'FY 2013 by Agency'!$P:$Q,'FY 2013 by Agency'!$S:$T,'FY 2013 by Agency'!$V:$W,'FY 2013 by Agency'!$Y:$Z,'FY 2013 by Agency'!$AB:$AE,'FY 2013 by Agency'!$AG:$AO,'FY 2013 by Agency'!$AV:$AW,'FY 2013 by Agency'!$AY:$AZ,'FY 2013 by Agency'!$BF:$BG</formula>
    <oldFormula>'FY 2013 by Agency'!$D:$E,'FY 2013 by Agency'!$G:$H,'FY 2013 by Agency'!$J:$K,'FY 2013 by Agency'!$M:$N,'FY 2013 by Agency'!$P:$Q,'FY 2013 by Agency'!$S:$T,'FY 2013 by Agency'!$V:$W,'FY 2013 by Agency'!$Y:$Z,'FY 2013 by Agency'!$AB:$AE,'FY 2013 by Agency'!$AG:$AO,'FY 2013 by Agency'!$AV:$AW,'FY 2013 by Agency'!$AY:$AZ,'FY 2013 by Agency'!$BF:$BG</oldFormula>
  </rdn>
  <rdn rId="0" localSheetId="5" customView="1" name="Z_455630F5_40FC_47DB_8AD4_712C20B8FB91_.wvu.Rows" hidden="1" oldHidden="1">
    <formula>'FY 2013 by Agency-Adj'!$1:$3,'FY 2013 by Agency-Adj'!$14:$14,'FY 2013 by Agency-Adj'!$19:$19,'FY 2013 by Agency-Adj'!$156:$156,'FY 2013 by Agency-Adj'!$163:$163,'FY 2013 by Agency-Adj'!$227:$241</formula>
    <oldFormula>'FY 2013 by Agency-Adj'!$1:$3,'FY 2013 by Agency-Adj'!$14:$14,'FY 2013 by Agency-Adj'!$19:$19,'FY 2013 by Agency-Adj'!$156:$156,'FY 2013 by Agency-Adj'!$163:$163,'FY 2013 by Agency-Adj'!$227:$241</oldFormula>
  </rdn>
  <rdn rId="0" localSheetId="5" customView="1" name="Z_455630F5_40FC_47DB_8AD4_712C20B8FB91_.wvu.Cols" hidden="1" oldHidden="1">
    <formula>'FY 2013 by Agency-Adj'!$AD:$AE,'FY 2013 by Agency-Adj'!$AI:$BK,'FY 2013 by Agency-Adj'!$BO:$BT</formula>
    <oldFormula>'FY 2013 by Agency-Adj'!$AD:$AE,'FY 2013 by Agency-Adj'!$AI:$BK,'FY 2013 by Agency-Adj'!$BO:$BT</oldFormula>
  </rdn>
  <rdn rId="0" localSheetId="8" customView="1" name="Z_455630F5_40FC_47DB_8AD4_712C20B8FB91_.wvu.Rows" hidden="1" oldHidden="1">
    <formula>'Sheet 4'!$1:$6</formula>
    <oldFormula>'Sheet 4'!$1:$6</oldFormula>
  </rdn>
  <rcv guid="{455630F5-40FC-47DB-8AD4-712C20B8FB91}" action="add"/>
</revisions>
</file>

<file path=xl/revisions/revisionLog17212.xml><?xml version="1.0" encoding="utf-8"?>
<revisions xmlns="http://schemas.openxmlformats.org/spreadsheetml/2006/main" xmlns:r="http://schemas.openxmlformats.org/officeDocument/2006/relationships">
  <rfmt sheetId="12" sqref="A13" start="0" length="2147483647">
    <dxf>
      <font>
        <b/>
      </font>
    </dxf>
  </rfmt>
  <rcc rId="41527" sId="12">
    <nc r="A13" t="inlineStr">
      <is>
        <t>ACCESS TO JUSTICE</t>
      </is>
    </nc>
  </rcc>
  <rrc rId="41528" sId="12" eol="1" ref="A14:XFD14" action="insertRow"/>
  <rcc rId="41529" sId="12" odxf="1" dxf="1">
    <nc r="A14" t="inlineStr">
      <is>
        <t>This is reflected in Dep Mayor for Pub Safety and Justice in 2012 and 2013, but had been its own line under Gov Direction in 2011 and before</t>
      </is>
    </nc>
    <odxf>
      <font>
        <sz val="10"/>
        <color auto="1"/>
        <name val="Arial"/>
        <scheme val="none"/>
      </font>
    </odxf>
    <ndxf>
      <font>
        <sz val="10"/>
        <color auto="1"/>
        <name val="Arial"/>
        <scheme val="none"/>
      </font>
    </ndxf>
  </rcc>
  <rrc rId="41530" sId="12" eol="1" ref="A15:XFD15" action="insertRow"/>
  <rfmt sheetId="12" sqref="A15" start="0" length="0">
    <dxf>
      <font>
        <sz val="10"/>
        <color auto="1"/>
        <name val="Arial"/>
        <scheme val="none"/>
      </font>
    </dxf>
  </rfmt>
  <rm rId="41531" sheetId="10" source="A13:G15" destination="A13:G15" sourceSheetId="12">
    <rfmt sheetId="10" sqref="A13" start="0" length="0">
      <dxf/>
    </rfmt>
    <rfmt sheetId="10" sqref="B13" start="0" length="0">
      <dxf/>
    </rfmt>
    <rfmt sheetId="10" sqref="C13" start="0" length="0">
      <dxf/>
    </rfmt>
    <rfmt sheetId="10" sqref="A14" start="0" length="0">
      <dxf/>
    </rfmt>
    <rfmt sheetId="10" sqref="B14" start="0" length="0">
      <dxf/>
    </rfmt>
    <rfmt sheetId="10" sqref="C14" start="0" length="0">
      <dxf/>
    </rfmt>
    <rfmt sheetId="10" sqref="A15" start="0" length="0">
      <dxf/>
    </rfmt>
    <rfmt sheetId="10" sqref="B15" start="0" length="0">
      <dxf/>
    </rfmt>
    <rfmt sheetId="10" sqref="C15" start="0" length="0">
      <dxf/>
    </rfmt>
  </rm>
  <rcv guid="{AEFEB150-9213-45F5-A178-7AC71E46DB11}" action="delete"/>
  <rdn rId="0" localSheetId="2" customView="1" name="Z_AEFEB150_9213_45F5_A178_7AC71E46DB11_.wvu.Cols" hidden="1" oldHidden="1">
    <formula>'FY2013 by Approp Title'!$AA:$AA</formula>
    <oldFormula>'FY2013 by Approp Title'!$AA:$AA</oldFormula>
  </rdn>
  <rdn rId="0" localSheetId="3" customView="1" name="Z_AEFEB150_9213_45F5_A178_7AC71E46DB11_.wvu.Cols" hidden="1" oldHidden="1">
    <formula>'FY2013 By Approp Title-Adj'!$AA:$AA</formula>
    <oldFormula>'FY2013 By Approp Title-Adj'!$AA:$AA</oldFormula>
  </rdn>
  <rdn rId="0" localSheetId="4" customView="1" name="Z_AEFEB150_9213_45F5_A178_7AC71E46DB11_.wvu.Rows" hidden="1" oldHidden="1">
    <formula>'FY 2013 by Agency'!$1:$3,'FY 2013 by Agency'!$226:$240</formula>
    <oldFormula>'FY 2013 by Agency'!$1:$3,'FY 2013 by Agency'!$226:$240</oldFormula>
  </rdn>
  <rdn rId="0" localSheetId="5" customView="1" name="Z_AEFEB150_9213_45F5_A178_7AC71E46DB11_.wvu.Rows" hidden="1" oldHidden="1">
    <formula>'FY 2013 by Agency-Adj'!$1:$3,'FY 2013 by Agency-Adj'!$227:$241</formula>
    <oldFormula>'FY 2013 by Agency-Adj'!$1:$3,'FY 2013 by Agency-Adj'!$227:$241</oldFormula>
  </rdn>
  <rdn rId="0" localSheetId="5" customView="1" name="Z_AEFEB150_9213_45F5_A178_7AC71E46DB11_.wvu.Cols" hidden="1" oldHidden="1">
    <formula>'FY 2013 by Agency-Adj'!$AJ:$AM</formula>
    <oldFormula>'FY 2013 by Agency-Adj'!$AJ:$AM</oldFormula>
  </rdn>
  <rdn rId="0" localSheetId="8" customView="1" name="Z_AEFEB150_9213_45F5_A178_7AC71E46DB11_.wvu.Rows" hidden="1" oldHidden="1">
    <formula>'Sheet 4'!$1:$6</formula>
    <oldFormula>'Sheet 4'!$1:$6</oldFormula>
  </rdn>
  <rcv guid="{AEFEB150-9213-45F5-A178-7AC71E46DB11}" action="add"/>
</revisions>
</file>

<file path=xl/revisions/revisionLog18.xml><?xml version="1.0" encoding="utf-8"?>
<revisions xmlns="http://schemas.openxmlformats.org/spreadsheetml/2006/main" xmlns:r="http://schemas.openxmlformats.org/officeDocument/2006/relationships">
  <rcc rId="41763" sId="5">
    <oc r="BX41">
      <f>SUM(BX7:BX40)</f>
    </oc>
    <nc r="BX41">
      <f>SUM(BX7:BX40)</f>
    </nc>
  </rcc>
  <rfmt sheetId="5" sqref="BX42" start="0" length="0">
    <dxf>
      <numFmt numFmtId="10" formatCode="&quot;$&quot;#,##0_);[Red]\(&quot;$&quot;#,##0\)"/>
    </dxf>
  </rfmt>
  <rcc rId="41764" sId="5">
    <oc r="BX15">
      <f>'FY 2013 by Agency'!BT15*Inflator!E15</f>
    </oc>
    <nc r="BX15">
      <f>'FY 2013 by Agency'!BT15*Inflator!E15</f>
    </nc>
  </rcc>
  <rcc rId="41765" sId="4">
    <oc r="BT15">
      <f>BO15+#REF!+BQ15+BR15+BS15</f>
    </oc>
    <nc r="BT15">
      <f>BO15+BP15+BQ15+BR15+BS15</f>
    </nc>
  </rcc>
  <rcc rId="41766" sId="4">
    <oc r="BT40">
      <f>#REF!+BP40+BQ40+BR40+BS40</f>
    </oc>
    <nc r="BT40">
      <f>BO40+BP40+BQ40+BR40+BS40</f>
    </nc>
  </rcc>
  <rcc rId="41767" sId="5">
    <oc r="BX40">
      <f>'FY 2013 by Agency'!BT41*Inflator!E15</f>
    </oc>
    <nc r="BX40">
      <f>'FY 2013 by Agency'!BT40*Inflator!E15</f>
    </nc>
  </rcc>
  <rfmt sheetId="3" sqref="AP11:AP18">
    <dxf>
      <numFmt numFmtId="14" formatCode="0.00%"/>
    </dxf>
  </rfmt>
  <rcv guid="{455630F5-40FC-47DB-8AD4-712C20B8FB91}" action="delete"/>
  <rdn rId="0" localSheetId="2" customView="1" name="Z_455630F5_40FC_47DB_8AD4_712C20B8FB91_.wvu.Cols" hidden="1" oldHidden="1">
    <formula>'FY2013 by Approp Title'!$AA:$AA</formula>
    <oldFormula>'FY2013 by Approp Title'!$AA:$AA</oldFormula>
  </rdn>
  <rdn rId="0" localSheetId="3" customView="1" name="Z_455630F5_40FC_47DB_8AD4_712C20B8FB91_.wvu.Cols" hidden="1" oldHidden="1">
    <formula>'FY2013 By Approp Title-Adj'!$AA:$AA</formula>
    <oldFormula>'FY2013 By Approp Title-Adj'!$AA:$AA</oldFormula>
  </rdn>
  <rdn rId="0" localSheetId="4" customView="1" name="Z_455630F5_40FC_47DB_8AD4_712C20B8FB91_.wvu.Rows" hidden="1" oldHidden="1">
    <formula>'FY 2013 by Agency'!$1:$3,'FY 2013 by Agency'!$227:$241</formula>
    <oldFormula>'FY 2013 by Agency'!$1:$3,'FY 2013 by Agency'!$227:$241</oldFormula>
  </rdn>
  <rdn rId="0" localSheetId="4" customView="1" name="Z_455630F5_40FC_47DB_8AD4_712C20B8FB91_.wvu.Cols" hidden="1" oldHidden="1">
    <formula>'FY 2013 by Agency'!$D:$E,'FY 2013 by Agency'!$G:$H,'FY 2013 by Agency'!$J:$K,'FY 2013 by Agency'!$M:$N,'FY 2013 by Agency'!$P:$Q,'FY 2013 by Agency'!$S:$T,'FY 2013 by Agency'!$V:$W,'FY 2013 by Agency'!$Y:$Z,'FY 2013 by Agency'!$AB:$AE,'FY 2013 by Agency'!$AG:$AO,'FY 2013 by Agency'!$AV:$AW,'FY 2013 by Agency'!$AY:$AZ,'FY 2013 by Agency'!$BF:$BG</formula>
    <oldFormula>'FY 2013 by Agency'!$D:$E,'FY 2013 by Agency'!$G:$H,'FY 2013 by Agency'!$J:$K,'FY 2013 by Agency'!$M:$N,'FY 2013 by Agency'!$P:$Q,'FY 2013 by Agency'!$S:$T,'FY 2013 by Agency'!$V:$W,'FY 2013 by Agency'!$Y:$Z,'FY 2013 by Agency'!$AB:$AE,'FY 2013 by Agency'!$AG:$AO,'FY 2013 by Agency'!$AV:$AW,'FY 2013 by Agency'!$AY:$AZ,'FY 2013 by Agency'!$BF:$BG</oldFormula>
  </rdn>
  <rdn rId="0" localSheetId="5" customView="1" name="Z_455630F5_40FC_47DB_8AD4_712C20B8FB91_.wvu.Rows" hidden="1" oldHidden="1">
    <formula>'FY 2013 by Agency-Adj'!$1:$3,'FY 2013 by Agency-Adj'!$14:$14,'FY 2013 by Agency-Adj'!$19:$19,'FY 2013 by Agency-Adj'!$157:$157,'FY 2013 by Agency-Adj'!$164:$164,'FY 2013 by Agency-Adj'!$228:$242</formula>
    <oldFormula>'FY 2013 by Agency-Adj'!$1:$3,'FY 2013 by Agency-Adj'!$14:$14,'FY 2013 by Agency-Adj'!$19:$19,'FY 2013 by Agency-Adj'!$157:$157,'FY 2013 by Agency-Adj'!$164:$164,'FY 2013 by Agency-Adj'!$228:$242</oldFormula>
  </rdn>
  <rdn rId="0" localSheetId="5" customView="1" name="Z_455630F5_40FC_47DB_8AD4_712C20B8FB91_.wvu.Cols" hidden="1" oldHidden="1">
    <formula>'FY 2013 by Agency-Adj'!$AD:$AE,'FY 2013 by Agency-Adj'!$AI:$BK</formula>
    <oldFormula>'FY 2013 by Agency-Adj'!$AD:$AE,'FY 2013 by Agency-Adj'!$AI:$BK,'FY 2013 by Agency-Adj'!$BO:$BT</oldFormula>
  </rdn>
  <rdn rId="0" localSheetId="8" customView="1" name="Z_455630F5_40FC_47DB_8AD4_712C20B8FB91_.wvu.Rows" hidden="1" oldHidden="1">
    <formula>'Sheet 4'!$1:$6</formula>
    <oldFormula>'Sheet 4'!$1:$6</oldFormula>
  </rdn>
  <rcv guid="{455630F5-40FC-47DB-8AD4-712C20B8FB91}" action="add"/>
</revisions>
</file>

<file path=xl/revisions/revisionLog181.xml><?xml version="1.0" encoding="utf-8"?>
<revisions xmlns="http://schemas.openxmlformats.org/spreadsheetml/2006/main" xmlns:r="http://schemas.openxmlformats.org/officeDocument/2006/relationships">
  <rcc rId="41599" sId="5">
    <oc r="BX107">
      <f>'FY 2013 by Agency'!BT107*Inflator!E15</f>
    </oc>
    <nc r="BX107">
      <f>'FY 2013 by Agency'!BT107*Inflator!E$15</f>
    </nc>
  </rcc>
  <rfmt sheetId="5" sqref="BX109" start="0" length="0">
    <dxf>
      <font>
        <b/>
      </font>
      <numFmt numFmtId="10" formatCode="&quot;$&quot;#,##0_);[Red]\(&quot;$&quot;#,##0\)"/>
    </dxf>
  </rfmt>
  <rfmt sheetId="5" sqref="BX110" start="0" length="0">
    <dxf>
      <font>
        <b/>
      </font>
      <numFmt numFmtId="10" formatCode="&quot;$&quot;#,##0_);[Red]\(&quot;$&quot;#,##0\)"/>
    </dxf>
  </rfmt>
  <rcc rId="41600" sId="5" odxf="1" dxf="1">
    <oc r="BX109">
      <f>'FY 2013 by Agency'!BT109*Inflator!E17</f>
    </oc>
    <nc r="BX109">
      <f>'FY 2013 by Agency'!BT109*Inflator!E$15</f>
    </nc>
    <ndxf>
      <font>
        <b val="0"/>
      </font>
      <numFmt numFmtId="165" formatCode="&quot;$&quot;#,##0"/>
    </ndxf>
  </rcc>
  <rcc rId="41601" sId="5" odxf="1" dxf="1">
    <oc r="BX110">
      <f>'FY 2013 by Agency'!BT110*Inflator!E18</f>
    </oc>
    <nc r="BX110">
      <f>'FY 2013 by Agency'!BT110*Inflator!E$15</f>
    </nc>
    <ndxf>
      <font>
        <b val="0"/>
      </font>
      <numFmt numFmtId="165" formatCode="&quot;$&quot;#,##0"/>
    </ndxf>
  </rcc>
  <rcc rId="41602" sId="5">
    <oc r="A166" t="inlineStr">
      <is>
        <t>adjustments</t>
      </is>
    </oc>
    <nc r="A166" t="inlineStr">
      <is>
        <t>Adjusted for 2012-2013 comparisons (see Fy2013 notes tab)</t>
      </is>
    </nc>
  </rcc>
  <rcc rId="41603" sId="5">
    <oc r="A167" t="inlineStr">
      <is>
        <t>net of adjustments</t>
      </is>
    </oc>
    <nc r="A167" t="inlineStr">
      <is>
        <t>Adjusted for 2008-2013 comparisons (see Fy2013 notes tab)</t>
      </is>
    </nc>
  </rcc>
  <rcc rId="41604" sId="5">
    <oc r="BX165">
      <f>SUM(BX145:BX163)</f>
    </oc>
    <nc r="BX165">
      <f>SUM(BX145:BX163)</f>
    </nc>
  </rcc>
  <rcc rId="41605" sId="5">
    <oc r="BX157">
      <f>'FY 2013 by Agency'!BT157*Inflator!E15</f>
    </oc>
    <nc r="BX157"/>
  </rcc>
  <rcc rId="41606" sId="5">
    <oc r="BX164">
      <f>'FY 2013 by Agency'!BT164*Inflator!E15</f>
    </oc>
    <nc r="BX164">
      <f>'FY 2013 by Agency'!BT164*Inflator!E$15</f>
    </nc>
  </rcc>
  <rcc rId="41607" sId="5" odxf="1" dxf="1">
    <nc r="BX166">
      <f>'FY 2013 by Agency'!BT166*Inflator!E$15</f>
    </nc>
    <odxf>
      <font>
        <b/>
      </font>
      <numFmt numFmtId="0" formatCode="General"/>
    </odxf>
    <ndxf>
      <font>
        <b val="0"/>
      </font>
      <numFmt numFmtId="165" formatCode="&quot;$&quot;#,##0"/>
    </ndxf>
  </rcc>
  <rcc rId="41608" sId="5" odxf="1" dxf="1">
    <nc r="BX167">
      <f>'FY 2013 by Agency'!BT167*Inflator!E$15</f>
    </nc>
    <odxf>
      <font>
        <b/>
      </font>
      <numFmt numFmtId="0" formatCode="General"/>
    </odxf>
    <ndxf>
      <font>
        <b val="0"/>
      </font>
      <numFmt numFmtId="165" formatCode="&quot;$&quot;#,##0"/>
    </ndxf>
  </rcc>
  <rcv guid="{AEFEB150-9213-45F5-A178-7AC71E46DB11}" action="delete"/>
  <rdn rId="0" localSheetId="2" customView="1" name="Z_AEFEB150_9213_45F5_A178_7AC71E46DB11_.wvu.Cols" hidden="1" oldHidden="1">
    <formula>'FY2013 by Approp Title'!$AA:$AA</formula>
    <oldFormula>'FY2013 by Approp Title'!$AA:$AA</oldFormula>
  </rdn>
  <rdn rId="0" localSheetId="3" customView="1" name="Z_AEFEB150_9213_45F5_A178_7AC71E46DB11_.wvu.Cols" hidden="1" oldHidden="1">
    <formula>'FY2013 By Approp Title-Adj'!$AA:$AA</formula>
    <oldFormula>'FY2013 By Approp Title-Adj'!$AA:$AA</oldFormula>
  </rdn>
  <rdn rId="0" localSheetId="4" customView="1" name="Z_AEFEB150_9213_45F5_A178_7AC71E46DB11_.wvu.Rows" hidden="1" oldHidden="1">
    <formula>'FY 2013 by Agency'!$1:$3,'FY 2013 by Agency'!$226:$240</formula>
    <oldFormula>'FY 2013 by Agency'!$1:$3,'FY 2013 by Agency'!$226:$240</oldFormula>
  </rdn>
  <rdn rId="0" localSheetId="5" customView="1" name="Z_AEFEB150_9213_45F5_A178_7AC71E46DB11_.wvu.Rows" hidden="1" oldHidden="1">
    <formula>'FY 2013 by Agency-Adj'!$1:$3,'FY 2013 by Agency-Adj'!$227:$241</formula>
    <oldFormula>'FY 2013 by Agency-Adj'!$1:$3,'FY 2013 by Agency-Adj'!$227:$241</oldFormula>
  </rdn>
  <rdn rId="0" localSheetId="5" customView="1" name="Z_AEFEB150_9213_45F5_A178_7AC71E46DB11_.wvu.Cols" hidden="1" oldHidden="1">
    <formula>'FY 2013 by Agency-Adj'!$AJ:$AM</formula>
    <oldFormula>'FY 2013 by Agency-Adj'!$AJ:$AM</oldFormula>
  </rdn>
  <rdn rId="0" localSheetId="8" customView="1" name="Z_AEFEB150_9213_45F5_A178_7AC71E46DB11_.wvu.Rows" hidden="1" oldHidden="1">
    <formula>'Sheet 4'!$1:$6</formula>
    <oldFormula>'Sheet 4'!$1:$6</oldFormula>
  </rdn>
  <rcv guid="{AEFEB150-9213-45F5-A178-7AC71E46DB11}" action="add"/>
</revisions>
</file>

<file path=xl/revisions/revisionLog1811.xml><?xml version="1.0" encoding="utf-8"?>
<revisions xmlns="http://schemas.openxmlformats.org/spreadsheetml/2006/main" xmlns:r="http://schemas.openxmlformats.org/officeDocument/2006/relationships">
  <rcc rId="41058" sId="4" numFmtId="11">
    <nc r="BO182">
      <v>1607</v>
    </nc>
  </rcc>
  <rcc rId="41059" sId="4" numFmtId="11">
    <nc r="BO183">
      <v>126</v>
    </nc>
  </rcc>
  <rcc rId="41060" sId="4" numFmtId="11">
    <nc r="BO184">
      <v>288224</v>
    </nc>
  </rcc>
  <rcmt sheetId="4" cell="BO184" guid="{579DD3E3-1B0C-44C1-90D1-FB2C937630FC}" author="Jenny Reed" newLength="96"/>
  <rcv guid="{78CA186D-B240-44D5-8A24-D241DE0B0FD9}" action="delete"/>
  <rdn rId="0" localSheetId="2" customView="1" name="Z_78CA186D_B240_44D5_8A24_D241DE0B0FD9_.wvu.Cols" hidden="1" oldHidden="1">
    <formula>'FY2013 by Approp Title'!$AA:$AA</formula>
    <oldFormula>'FY2013 by Approp Title'!$AA:$AA</oldFormula>
  </rdn>
  <rdn rId="0" localSheetId="3" customView="1" name="Z_78CA186D_B240_44D5_8A24_D241DE0B0FD9_.wvu.Cols" hidden="1" oldHidden="1">
    <formula>'FY2013 By Approp Title-Adj'!$AA:$AA</formula>
    <oldFormula>'FY2013 By Approp Title-Adj'!$AA:$AA</oldFormula>
  </rdn>
  <rdn rId="0" localSheetId="4" customView="1" name="Z_78CA186D_B240_44D5_8A24_D241DE0B0FD9_.wvu.Rows" hidden="1" oldHidden="1">
    <formula>'FY 2013 by Agency'!$1:$3,'FY 2013 by Agency'!$226:$240</formula>
    <oldFormula>'FY 2013 by Agency'!$1:$3,'FY 2013 by Agency'!$226:$240</oldFormula>
  </rdn>
  <rdn rId="0" localSheetId="4" customView="1" name="Z_78CA186D_B240_44D5_8A24_D241DE0B0FD9_.wvu.Cols" hidden="1" oldHidden="1">
    <formula>'FY 2013 by Agency'!$D:$E,'FY 2013 by Agency'!$G:$H,'FY 2013 by Agency'!$J:$K,'FY 2013 by Agency'!$M:$N,'FY 2013 by Agency'!$P:$Q,'FY 2013 by Agency'!$S:$T,'FY 2013 by Agency'!$V:$W,'FY 2013 by Agency'!$Y:$Z,'FY 2013 by Agency'!$AB:$AE,'FY 2013 by Agency'!$AV:$AW,'FY 2013 by Agency'!$AY:$AZ,'FY 2013 by Agency'!$BF:$BG,'FY 2013 by Agency'!$BM:$BN</formula>
    <oldFormula>'FY 2013 by Agency'!$D:$E,'FY 2013 by Agency'!$G:$H,'FY 2013 by Agency'!$J:$K,'FY 2013 by Agency'!$M:$N,'FY 2013 by Agency'!$P:$Q,'FY 2013 by Agency'!$S:$T,'FY 2013 by Agency'!$V:$W,'FY 2013 by Agency'!$Y:$Z,'FY 2013 by Agency'!$AB:$AE,'FY 2013 by Agency'!$AV:$AW,'FY 2013 by Agency'!$AY:$AZ,'FY 2013 by Agency'!$BF:$BG,'FY 2013 by Agency'!$BM:$BN</oldFormula>
  </rdn>
  <rdn rId="0" localSheetId="5" customView="1" name="Z_78CA186D_B240_44D5_8A24_D241DE0B0FD9_.wvu.Rows" hidden="1" oldHidden="1">
    <formula>'FY 2013 by Agency-Adj'!$1:$3,'FY 2013 by Agency-Adj'!$14:$14,'FY 2013 by Agency-Adj'!$19:$19,'FY 2013 by Agency-Adj'!$156:$156,'FY 2013 by Agency-Adj'!$163:$163,'FY 2013 by Agency-Adj'!$227:$241</formula>
    <oldFormula>'FY 2013 by Agency-Adj'!$1:$3,'FY 2013 by Agency-Adj'!$14:$14,'FY 2013 by Agency-Adj'!$19:$19,'FY 2013 by Agency-Adj'!$156:$156,'FY 2013 by Agency-Adj'!$163:$163,'FY 2013 by Agency-Adj'!$227:$241</oldFormula>
  </rdn>
  <rdn rId="0" localSheetId="5" customView="1" name="Z_78CA186D_B240_44D5_8A24_D241DE0B0FD9_.wvu.Cols" hidden="1" oldHidden="1">
    <formula>'FY 2013 by Agency-Adj'!$AD:$AE,'FY 2013 by Agency-Adj'!$AI:$BK,'FY 2013 by Agency-Adj'!$BO:$BT</formula>
    <oldFormula>'FY 2013 by Agency-Adj'!$AD:$AE,'FY 2013 by Agency-Adj'!$AI:$BK,'FY 2013 by Agency-Adj'!$BO:$BT</oldFormula>
  </rdn>
  <rdn rId="0" localSheetId="8" customView="1" name="Z_78CA186D_B240_44D5_8A24_D241DE0B0FD9_.wvu.Rows" hidden="1" oldHidden="1">
    <formula>'Sheet 4'!$1:$6</formula>
    <oldFormula>'Sheet 4'!$1:$6</oldFormula>
  </rdn>
  <rcv guid="{78CA186D-B240-44D5-8A24-D241DE0B0FD9}" action="add"/>
</revisions>
</file>

<file path=xl/revisions/revisionLog182.xml><?xml version="1.0" encoding="utf-8"?>
<revisions xmlns="http://schemas.openxmlformats.org/spreadsheetml/2006/main" xmlns:r="http://schemas.openxmlformats.org/officeDocument/2006/relationships">
  <rcc rId="41570" sId="12" odxf="1" dxf="1">
    <nc r="A19" t="inlineStr">
      <is>
        <t>PARKS AND RECREATION</t>
      </is>
    </nc>
    <odxf>
      <font>
        <sz val="10"/>
        <color auto="1"/>
        <name val="Arial"/>
        <scheme val="none"/>
      </font>
    </odxf>
    <ndxf>
      <font>
        <sz val="10"/>
        <color auto="1"/>
        <name val="Arial"/>
        <scheme val="none"/>
      </font>
    </ndxf>
  </rcc>
  <rfmt sheetId="12" sqref="A19" start="0" length="2147483647">
    <dxf>
      <font>
        <b/>
      </font>
    </dxf>
  </rfmt>
  <rfmt sheetId="12" sqref="A20" start="0" length="2147483647">
    <dxf>
      <font>
        <b/>
      </font>
    </dxf>
  </rfmt>
  <rfmt sheetId="12" sqref="A20" start="0" length="0">
    <dxf>
      <font>
        <b val="0"/>
      </font>
    </dxf>
  </rfmt>
  <rfmt sheetId="12" sqref="A21" start="0" length="0">
    <dxf>
      <font>
        <sz val="10"/>
        <color auto="1"/>
        <name val="Arial"/>
        <scheme val="none"/>
      </font>
    </dxf>
  </rfmt>
  <rcc rId="41571" sId="12">
    <nc r="A20" t="inlineStr">
      <is>
        <t xml:space="preserve">The facilities (non-capital) portion of the DPR budget was n the DPR budget  in 2011 but was moved to being part of DGS in 2012.  </t>
      </is>
    </nc>
  </rcc>
  <rfmt sheetId="12" xfDxf="1" sqref="A23" start="0" length="0"/>
  <rcc rId="41572" sId="12" odxf="1" dxf="1">
    <nc r="A23" t="inlineStr">
      <is>
        <t>We have taken the DGS lines that refer to DPR starting in 2012 and added it back  to  the DPR budget</t>
      </is>
    </nc>
    <ndxf>
      <font>
        <sz val="10"/>
        <color auto="1"/>
        <name val="Arial"/>
        <scheme val="none"/>
      </font>
    </ndxf>
  </rcc>
  <rcc rId="41573" sId="12" odxf="1" dxf="1">
    <nc r="A22" t="inlineStr">
      <is>
        <t>How this is treated in our spreadsheet</t>
      </is>
    </nc>
    <odxf>
      <font>
        <b val="0"/>
        <sz val="10"/>
        <color auto="1"/>
        <name val="Arial"/>
        <scheme val="none"/>
      </font>
    </odxf>
    <ndxf>
      <font>
        <b/>
        <sz val="10"/>
        <color auto="1"/>
        <name val="Arial"/>
        <scheme val="none"/>
      </font>
    </ndxf>
  </rcc>
  <rrc rId="41574" sId="12" ref="A8:XFD8" action="deleteRow">
    <rfmt sheetId="12" xfDxf="1" sqref="A8:XFD8" start="0" length="0"/>
    <rfmt sheetId="12" sqref="A8" start="0" length="0">
      <dxf>
        <font>
          <sz val="11"/>
          <color auto="1"/>
          <name val="Calibri"/>
          <scheme val="none"/>
        </font>
      </dxf>
    </rfmt>
  </rrc>
  <rrc rId="41575" sId="12" ref="A14:XFD14" action="deleteRow">
    <rfmt sheetId="12" xfDxf="1" sqref="A14:XFD14" start="0" length="0"/>
  </rrc>
  <rrc rId="41576" sId="12" ref="A19:XFD19" action="deleteRow">
    <rfmt sheetId="12" xfDxf="1" sqref="A19:XFD19" start="0" length="0"/>
    <rfmt sheetId="12" sqref="A19" start="0" length="0">
      <dxf>
        <font>
          <sz val="10"/>
          <color auto="1"/>
          <name val="Arial"/>
          <scheme val="none"/>
        </font>
      </dxf>
    </rfmt>
  </rrc>
  <rcc rId="41577" sId="4">
    <oc r="BE25">
      <f>(200178+6506)-500-121876-45839-10016</f>
    </oc>
    <nc r="BE25">
      <f>(200178+6506)-500-121876-45839-9821</f>
    </nc>
  </rcc>
  <rcc rId="41578" sId="4">
    <oc r="BO25">
      <f>251379-47782</f>
    </oc>
    <nc r="BO25">
      <f>251379-47782-9794</f>
    </nc>
  </rcc>
  <rcc rId="41579" sId="4">
    <oc r="BE150">
      <f>33573</f>
    </oc>
    <nc r="BE150">
      <f>33573+9821</f>
    </nc>
  </rcc>
  <rcc rId="41580" sId="4" numFmtId="11">
    <oc r="BO150">
      <v>35866</v>
    </oc>
    <nc r="BO150">
      <f>35866+9794</f>
    </nc>
  </rcc>
  <rcmt sheetId="4" cell="BE150" guid="{56A3623A-7501-4370-9D7C-65DF1A37E31B}" author="Ed Lazere" newLength="33"/>
  <rcmt sheetId="4" cell="BO150" guid="{DF15E7EF-990B-4A2C-9D02-F9285B3AB174}" author="Ed Lazere" newLength="33"/>
  <rcv guid="{AEFEB150-9213-45F5-A178-7AC71E46DB11}" action="delete"/>
  <rdn rId="0" localSheetId="2" customView="1" name="Z_AEFEB150_9213_45F5_A178_7AC71E46DB11_.wvu.Cols" hidden="1" oldHidden="1">
    <formula>'FY2013 by Approp Title'!$AA:$AA</formula>
    <oldFormula>'FY2013 by Approp Title'!$AA:$AA</oldFormula>
  </rdn>
  <rdn rId="0" localSheetId="3" customView="1" name="Z_AEFEB150_9213_45F5_A178_7AC71E46DB11_.wvu.Cols" hidden="1" oldHidden="1">
    <formula>'FY2013 By Approp Title-Adj'!$AA:$AA</formula>
    <oldFormula>'FY2013 By Approp Title-Adj'!$AA:$AA</oldFormula>
  </rdn>
  <rdn rId="0" localSheetId="4" customView="1" name="Z_AEFEB150_9213_45F5_A178_7AC71E46DB11_.wvu.Rows" hidden="1" oldHidden="1">
    <formula>'FY 2013 by Agency'!$1:$3,'FY 2013 by Agency'!$226:$240</formula>
    <oldFormula>'FY 2013 by Agency'!$1:$3,'FY 2013 by Agency'!$226:$240</oldFormula>
  </rdn>
  <rdn rId="0" localSheetId="5" customView="1" name="Z_AEFEB150_9213_45F5_A178_7AC71E46DB11_.wvu.Rows" hidden="1" oldHidden="1">
    <formula>'FY 2013 by Agency-Adj'!$1:$3,'FY 2013 by Agency-Adj'!$227:$241</formula>
    <oldFormula>'FY 2013 by Agency-Adj'!$1:$3,'FY 2013 by Agency-Adj'!$227:$241</oldFormula>
  </rdn>
  <rdn rId="0" localSheetId="5" customView="1" name="Z_AEFEB150_9213_45F5_A178_7AC71E46DB11_.wvu.Cols" hidden="1" oldHidden="1">
    <formula>'FY 2013 by Agency-Adj'!$AJ:$AM</formula>
    <oldFormula>'FY 2013 by Agency-Adj'!$AJ:$AM</oldFormula>
  </rdn>
  <rdn rId="0" localSheetId="8" customView="1" name="Z_AEFEB150_9213_45F5_A178_7AC71E46DB11_.wvu.Rows" hidden="1" oldHidden="1">
    <formula>'Sheet 4'!$1:$6</formula>
    <oldFormula>'Sheet 4'!$1:$6</oldFormula>
  </rdn>
  <rcv guid="{AEFEB150-9213-45F5-A178-7AC71E46DB11}" action="add"/>
</revisions>
</file>

<file path=xl/revisions/revisionLog1821.xml><?xml version="1.0" encoding="utf-8"?>
<revisions xmlns="http://schemas.openxmlformats.org/spreadsheetml/2006/main" xmlns:r="http://schemas.openxmlformats.org/officeDocument/2006/relationships">
  <rcv guid="{78CA186D-B240-44D5-8A24-D241DE0B0FD9}" action="delete"/>
  <rdn rId="0" localSheetId="2" customView="1" name="Z_78CA186D_B240_44D5_8A24_D241DE0B0FD9_.wvu.Cols" hidden="1" oldHidden="1">
    <formula>'FY2013 by Approp Title'!$AA:$AA</formula>
    <oldFormula>'FY2013 by Approp Title'!$AA:$AA</oldFormula>
  </rdn>
  <rdn rId="0" localSheetId="3" customView="1" name="Z_78CA186D_B240_44D5_8A24_D241DE0B0FD9_.wvu.Cols" hidden="1" oldHidden="1">
    <formula>'FY2013 By Approp Title-Adj'!$AA:$AA</formula>
    <oldFormula>'FY2013 By Approp Title-Adj'!$AA:$AA</oldFormula>
  </rdn>
  <rdn rId="0" localSheetId="4" customView="1" name="Z_78CA186D_B240_44D5_8A24_D241DE0B0FD9_.wvu.Rows" hidden="1" oldHidden="1">
    <formula>'FY 2013 by Agency'!$1:$3,'FY 2013 by Agency'!$226:$240</formula>
    <oldFormula>'FY 2013 by Agency'!$1:$3,'FY 2013 by Agency'!$226:$240</oldFormula>
  </rdn>
  <rdn rId="0" localSheetId="4" customView="1" name="Z_78CA186D_B240_44D5_8A24_D241DE0B0FD9_.wvu.Cols" hidden="1" oldHidden="1">
    <formula>'FY 2013 by Agency'!$D:$E,'FY 2013 by Agency'!$G:$H,'FY 2013 by Agency'!$J:$K,'FY 2013 by Agency'!$M:$N,'FY 2013 by Agency'!$P:$Q,'FY 2013 by Agency'!$S:$T,'FY 2013 by Agency'!$V:$W,'FY 2013 by Agency'!$Y:$Z,'FY 2013 by Agency'!$AB:$AE,'FY 2013 by Agency'!$AV:$AW,'FY 2013 by Agency'!$AY:$AZ,'FY 2013 by Agency'!$BF:$BG,'FY 2013 by Agency'!$BM:$BN</formula>
    <oldFormula>'FY 2013 by Agency'!$D:$E,'FY 2013 by Agency'!$G:$H,'FY 2013 by Agency'!$J:$K,'FY 2013 by Agency'!$M:$N,'FY 2013 by Agency'!$P:$Q,'FY 2013 by Agency'!$S:$T,'FY 2013 by Agency'!$V:$W,'FY 2013 by Agency'!$Y:$Z,'FY 2013 by Agency'!$AB:$AE,'FY 2013 by Agency'!$AV:$AW,'FY 2013 by Agency'!$AY:$AZ,'FY 2013 by Agency'!$BF:$BG,'FY 2013 by Agency'!$BM:$BN</oldFormula>
  </rdn>
  <rdn rId="0" localSheetId="5" customView="1" name="Z_78CA186D_B240_44D5_8A24_D241DE0B0FD9_.wvu.Rows" hidden="1" oldHidden="1">
    <formula>'FY 2013 by Agency-Adj'!$1:$3,'FY 2013 by Agency-Adj'!$14:$14,'FY 2013 by Agency-Adj'!$19:$19,'FY 2013 by Agency-Adj'!$156:$156,'FY 2013 by Agency-Adj'!$163:$163,'FY 2013 by Agency-Adj'!$227:$241</formula>
    <oldFormula>'FY 2013 by Agency-Adj'!$1:$3,'FY 2013 by Agency-Adj'!$14:$14,'FY 2013 by Agency-Adj'!$19:$19,'FY 2013 by Agency-Adj'!$156:$156,'FY 2013 by Agency-Adj'!$163:$163,'FY 2013 by Agency-Adj'!$227:$241</oldFormula>
  </rdn>
  <rdn rId="0" localSheetId="5" customView="1" name="Z_78CA186D_B240_44D5_8A24_D241DE0B0FD9_.wvu.Cols" hidden="1" oldHidden="1">
    <formula>'FY 2013 by Agency-Adj'!$AD:$AE,'FY 2013 by Agency-Adj'!$AI:$BK,'FY 2013 by Agency-Adj'!$BO:$BT</formula>
    <oldFormula>'FY 2013 by Agency-Adj'!$AD:$AE,'FY 2013 by Agency-Adj'!$AI:$BK,'FY 2013 by Agency-Adj'!$BO:$BT</oldFormula>
  </rdn>
  <rdn rId="0" localSheetId="8" customView="1" name="Z_78CA186D_B240_44D5_8A24_D241DE0B0FD9_.wvu.Rows" hidden="1" oldHidden="1">
    <formula>'Sheet 4'!$1:$6</formula>
    <oldFormula>'Sheet 4'!$1:$6</oldFormula>
  </rdn>
  <rcv guid="{78CA186D-B240-44D5-8A24-D241DE0B0FD9}" action="add"/>
</revisions>
</file>

<file path=xl/revisions/revisionLog19.xml><?xml version="1.0" encoding="utf-8"?>
<revisions xmlns="http://schemas.openxmlformats.org/spreadsheetml/2006/main" xmlns:r="http://schemas.openxmlformats.org/officeDocument/2006/relationships">
  <rcc rId="41852" sId="4" xfDxf="1" dxf="1">
    <oc r="BS85">
      <v>30</v>
    </oc>
    <nc r="BS85">
      <v>618</v>
    </nc>
    <ndxf>
      <font/>
    </ndxf>
  </rcc>
  <rcc rId="41853" sId="4" xfDxf="1" dxf="1">
    <oc r="BS86">
      <v>4</v>
    </oc>
    <nc r="BS86">
      <v>247</v>
    </nc>
    <ndxf>
      <font/>
    </ndxf>
  </rcc>
  <rfmt sheetId="4" xfDxf="1" sqref="BS87" start="0" length="0">
    <dxf>
      <font/>
    </dxf>
  </rfmt>
  <rcc rId="41854" sId="4" xfDxf="1" dxf="1">
    <oc r="BS88">
      <v>1</v>
    </oc>
    <nc r="BS88">
      <v>39</v>
    </nc>
    <ndxf>
      <font/>
    </ndxf>
  </rcc>
  <rcc rId="41855" sId="4" xfDxf="1" dxf="1">
    <oc r="BS89">
      <v>0</v>
    </oc>
    <nc r="BS89">
      <v>7</v>
    </nc>
    <ndxf>
      <font/>
    </ndxf>
  </rcc>
  <rcc rId="41856" sId="4" xfDxf="1" dxf="1">
    <oc r="BS90">
      <v>1</v>
    </oc>
    <nc r="BS90">
      <v>51</v>
    </nc>
    <ndxf>
      <font/>
    </ndxf>
  </rcc>
  <rfmt sheetId="4" xfDxf="1" sqref="BS91" start="0" length="0">
    <dxf>
      <font/>
    </dxf>
  </rfmt>
  <rfmt sheetId="4" xfDxf="1" sqref="BS92" start="0" length="0">
    <dxf>
      <font/>
    </dxf>
  </rfmt>
  <rcc rId="41857" sId="4" xfDxf="1" dxf="1">
    <nc r="BS93">
      <v>7</v>
    </nc>
    <ndxf>
      <font/>
    </ndxf>
  </rcc>
  <rcc rId="41858" sId="4" xfDxf="1" dxf="1">
    <oc r="BS94">
      <v>0</v>
    </oc>
    <nc r="BS94">
      <v>11</v>
    </nc>
    <ndxf>
      <font/>
    </ndxf>
  </rcc>
  <rcc rId="41859" sId="4" xfDxf="1" dxf="1">
    <oc r="BS95">
      <v>0</v>
    </oc>
    <nc r="BS95">
      <v>16</v>
    </nc>
    <ndxf>
      <font/>
    </ndxf>
  </rcc>
  <rcc rId="41860" sId="4" xfDxf="1" dxf="1">
    <oc r="BS96">
      <v>0</v>
    </oc>
    <nc r="BS96">
      <v>12</v>
    </nc>
    <ndxf>
      <font/>
    </ndxf>
  </rcc>
  <rcc rId="41861" sId="4" xfDxf="1" dxf="1">
    <oc r="BS97">
      <v>0</v>
    </oc>
    <nc r="BS97">
      <v>60</v>
    </nc>
    <ndxf>
      <font/>
    </ndxf>
  </rcc>
  <rfmt sheetId="4" xfDxf="1" sqref="BS98" start="0" length="0">
    <dxf>
      <font/>
    </dxf>
  </rfmt>
  <rcc rId="41862" sId="4" xfDxf="1" dxf="1">
    <oc r="BS99">
      <v>0</v>
    </oc>
    <nc r="BS99">
      <v>12</v>
    </nc>
    <ndxf>
      <font/>
    </ndxf>
  </rcc>
  <rfmt sheetId="4" xfDxf="1" sqref="BS100" start="0" length="0">
    <dxf>
      <font/>
    </dxf>
  </rfmt>
  <rfmt sheetId="4" xfDxf="1" sqref="BS101" start="0" length="0">
    <dxf>
      <font/>
    </dxf>
  </rfmt>
  <rcc rId="41863" sId="4" xfDxf="1" dxf="1">
    <oc r="BS102">
      <v>0</v>
    </oc>
    <nc r="BS102">
      <v>5</v>
    </nc>
    <ndxf>
      <font/>
    </ndxf>
  </rcc>
  <rcc rId="41864" sId="4" xfDxf="1" dxf="1">
    <oc r="BS103">
      <v>0</v>
    </oc>
    <nc r="BS103">
      <v>9</v>
    </nc>
    <ndxf>
      <font/>
    </ndxf>
  </rcc>
  <rfmt sheetId="4" xfDxf="1" sqref="BS104" start="0" length="0">
    <dxf/>
  </rfmt>
  <rfmt sheetId="4" xfDxf="1" sqref="BS105" start="0" length="0">
    <dxf>
      <font/>
    </dxf>
  </rfmt>
  <rfmt sheetId="4" xfDxf="1" sqref="BS106" start="0" length="0">
    <dxf>
      <font/>
    </dxf>
  </rfmt>
  <rfmt sheetId="4" xfDxf="1" sqref="BS107" start="0" length="0">
    <dxf>
      <font/>
    </dxf>
  </rfmt>
  <rfmt sheetId="4" xfDxf="1" sqref="BS108" start="0" length="0">
    <dxf>
      <font/>
      <border outline="0">
        <bottom style="medium">
          <color indexed="64"/>
        </bottom>
      </border>
    </dxf>
  </rfmt>
  <rcc rId="41865" sId="4">
    <oc r="A107" t="inlineStr">
      <is>
        <t>Office of Forensic</t>
      </is>
    </oc>
    <nc r="A107" t="inlineStr">
      <is>
        <t>Department of Forensic Sciences</t>
      </is>
    </nc>
  </rcc>
  <rcc rId="41866" sId="5">
    <oc r="A107" t="inlineStr">
      <is>
        <t>Office of Forensic Technology</t>
      </is>
    </oc>
    <nc r="A107" t="inlineStr">
      <is>
        <t>Department of Forensic Sciences</t>
      </is>
    </nc>
  </rcc>
  <rcv guid="{E81D05A4-5B21-42D3-A8D3-906ABCABC0F4}" action="delete"/>
  <rdn rId="0" localSheetId="2" customView="1" name="Z_E81D05A4_5B21_42D3_A8D3_906ABCABC0F4_.wvu.Cols" hidden="1" oldHidden="1">
    <formula>'FY2013 by Approp Title'!$AA:$AA</formula>
    <oldFormula>'FY2013 by Approp Title'!$AA:$AA</oldFormula>
  </rdn>
  <rdn rId="0" localSheetId="3" customView="1" name="Z_E81D05A4_5B21_42D3_A8D3_906ABCABC0F4_.wvu.Cols" hidden="1" oldHidden="1">
    <formula>'FY2013 By Approp Title-Adj'!$AA:$AA</formula>
    <oldFormula>'FY2013 By Approp Title-Adj'!$AA:$AA</oldFormula>
  </rdn>
  <rdn rId="0" localSheetId="4" customView="1" name="Z_E81D05A4_5B21_42D3_A8D3_906ABCABC0F4_.wvu.Rows" hidden="1" oldHidden="1">
    <formula>'FY 2013 by Agency'!$1:$3,'FY 2013 by Agency'!$227:$241</formula>
    <oldFormula>'FY 2013 by Agency'!$1:$3,'FY 2013 by Agency'!$227:$241</oldFormula>
  </rdn>
  <rdn rId="0" localSheetId="4" customView="1" name="Z_E81D05A4_5B21_42D3_A8D3_906ABCABC0F4_.wvu.Cols" hidden="1" oldHidden="1">
    <formula>'FY 2013 by Agency'!$D:$E,'FY 2013 by Agency'!$G:$H,'FY 2013 by Agency'!$J:$K,'FY 2013 by Agency'!$M:$N,'FY 2013 by Agency'!$P:$Q,'FY 2013 by Agency'!$S:$T,'FY 2013 by Agency'!$V:$W,'FY 2013 by Agency'!$Y:$Z,'FY 2013 by Agency'!$AB:$AE,'FY 2013 by Agency'!$AV:$AW,'FY 2013 by Agency'!$AY:$AZ,'FY 2013 by Agency'!$BF:$BG,'FY 2013 by Agency'!$BM:$BN</formula>
    <oldFormula>'FY 2013 by Agency'!$D:$E,'FY 2013 by Agency'!$G:$H,'FY 2013 by Agency'!$J:$K,'FY 2013 by Agency'!$M:$N,'FY 2013 by Agency'!$P:$Q,'FY 2013 by Agency'!$S:$T,'FY 2013 by Agency'!$V:$W,'FY 2013 by Agency'!$Y:$Z,'FY 2013 by Agency'!$AB:$AE,'FY 2013 by Agency'!$AV:$AW,'FY 2013 by Agency'!$AY:$AZ,'FY 2013 by Agency'!$BF:$BG,'FY 2013 by Agency'!$BM:$BN</oldFormula>
  </rdn>
  <rdn rId="0" localSheetId="5" customView="1" name="Z_E81D05A4_5B21_42D3_A8D3_906ABCABC0F4_.wvu.Rows" hidden="1" oldHidden="1">
    <formula>'FY 2013 by Agency-Adj'!$1:$3,'FY 2013 by Agency-Adj'!$14:$14,'FY 2013 by Agency-Adj'!$19:$19,'FY 2013 by Agency-Adj'!$157:$157,'FY 2013 by Agency-Adj'!$164:$164,'FY 2013 by Agency-Adj'!$228:$242</formula>
    <oldFormula>'FY 2013 by Agency-Adj'!$1:$3,'FY 2013 by Agency-Adj'!$14:$14,'FY 2013 by Agency-Adj'!$19:$19,'FY 2013 by Agency-Adj'!$157:$157,'FY 2013 by Agency-Adj'!$164:$164,'FY 2013 by Agency-Adj'!$228:$242</oldFormula>
  </rdn>
  <rdn rId="0" localSheetId="5" customView="1" name="Z_E81D05A4_5B21_42D3_A8D3_906ABCABC0F4_.wvu.Cols" hidden="1" oldHidden="1">
    <formula>'FY 2013 by Agency-Adj'!$AD:$AE,'FY 2013 by Agency-Adj'!$AI:$BK,'FY 2013 by Agency-Adj'!$BO:$BT</formula>
    <oldFormula>'FY 2013 by Agency-Adj'!$AD:$AE,'FY 2013 by Agency-Adj'!$AI:$BK,'FY 2013 by Agency-Adj'!$BO:$BT</oldFormula>
  </rdn>
  <rdn rId="0" localSheetId="8" customView="1" name="Z_E81D05A4_5B21_42D3_A8D3_906ABCABC0F4_.wvu.Rows" hidden="1" oldHidden="1">
    <formula>'Sheet 4'!$1:$6</formula>
    <oldFormula>'Sheet 4'!$1:$6</oldFormula>
  </rdn>
  <rcv guid="{E81D05A4-5B21-42D3-A8D3-906ABCABC0F4}" action="add"/>
</revisions>
</file>

<file path=xl/revisions/revisionLog191.xml><?xml version="1.0" encoding="utf-8"?>
<revisions xmlns="http://schemas.openxmlformats.org/spreadsheetml/2006/main" xmlns:r="http://schemas.openxmlformats.org/officeDocument/2006/relationships">
  <rcc rId="41141" sId="4" numFmtId="11">
    <nc r="BO129">
      <v>109941</v>
    </nc>
  </rcc>
  <rcc rId="41142" sId="4" numFmtId="11">
    <nc r="BO130">
      <v>91190</v>
    </nc>
  </rcc>
  <rcc rId="41143" sId="4" numFmtId="11">
    <nc r="BO121">
      <v>6407</v>
    </nc>
  </rcc>
</revisions>
</file>

<file path=xl/revisions/revisionLog1911.xml><?xml version="1.0" encoding="utf-8"?>
<revisions xmlns="http://schemas.openxmlformats.org/spreadsheetml/2006/main" xmlns:r="http://schemas.openxmlformats.org/officeDocument/2006/relationships">
  <rcc rId="41139" sId="4" numFmtId="11">
    <nc r="BO119">
      <v>1803</v>
    </nc>
  </rcc>
  <rcc rId="41140" sId="4" numFmtId="11">
    <nc r="BO128">
      <v>0</v>
    </nc>
  </rcc>
</revisions>
</file>

<file path=xl/revisions/revisionLog192.xml><?xml version="1.0" encoding="utf-8"?>
<revisions xmlns="http://schemas.openxmlformats.org/spreadsheetml/2006/main" xmlns:r="http://schemas.openxmlformats.org/officeDocument/2006/relationships">
  <rfmt sheetId="4" sqref="BS10" start="0" length="0">
    <dxf>
      <font>
        <color indexed="8"/>
      </font>
      <numFmt numFmtId="172" formatCode="&quot;$&quot;#,##0.00"/>
      <alignment horizontal="right" vertical="center" wrapText="1" readingOrder="0"/>
      <border outline="0">
        <left style="thin">
          <color indexed="64"/>
        </left>
        <right style="thin">
          <color auto="1"/>
        </right>
        <top style="thin">
          <color auto="1"/>
        </top>
        <bottom style="thin">
          <color auto="1"/>
        </bottom>
      </border>
    </dxf>
  </rfmt>
  <rcc rId="41665" sId="4" numFmtId="11">
    <nc r="BS10">
      <v>85.35</v>
    </nc>
  </rcc>
  <rcc rId="41666" sId="4">
    <nc r="BS7">
      <v>0</v>
    </nc>
  </rcc>
  <rcc rId="41667" sId="4">
    <nc r="BS8">
      <v>0</v>
    </nc>
  </rcc>
  <rcc rId="41668" sId="4">
    <nc r="BS33">
      <v>0.25</v>
    </nc>
  </rcc>
  <rcc rId="41669" sId="4">
    <nc r="BS15">
      <v>0.25</v>
    </nc>
  </rcc>
  <rcc rId="41670" sId="4">
    <nc r="BS39">
      <v>3.415</v>
    </nc>
  </rcc>
  <rcc rId="41671" sId="4">
    <nc r="BS21">
      <v>0.76</v>
    </nc>
  </rcc>
  <rcc rId="41672" sId="4">
    <nc r="BS13">
      <v>0</v>
    </nc>
  </rcc>
  <rcc rId="41673" sId="4">
    <nc r="BS32">
      <v>3.8149999999999999</v>
    </nc>
  </rcc>
  <rcc rId="41674" sId="4">
    <nc r="BS28">
      <v>0.25</v>
    </nc>
  </rcc>
  <rcc rId="41675" sId="4">
    <nc r="BS12">
      <v>0</v>
    </nc>
  </rcc>
  <rfmt sheetId="4" sqref="BS12">
    <dxf>
      <font>
        <b val="0"/>
        <i val="0"/>
        <strike val="0"/>
        <condense val="0"/>
        <extend val="0"/>
        <outline val="0"/>
        <shadow val="0"/>
        <u val="none"/>
        <vertAlign val="baseline"/>
        <sz val="10"/>
        <color auto="1"/>
        <name val="Arial"/>
        <scheme val="none"/>
      </font>
      <fill>
        <patternFill patternType="none">
          <fgColor indexed="64"/>
          <bgColor indexed="65"/>
        </patternFill>
      </fill>
      <border diagonalUp="0" diagonalDown="0" outline="0">
        <left/>
        <right/>
        <top/>
        <bottom/>
      </border>
    </dxf>
  </rfmt>
  <rcc rId="41676" sId="4">
    <nc r="BS9">
      <v>0.25</v>
    </nc>
  </rcc>
  <rcc rId="41677" sId="4" numFmtId="11">
    <nc r="BP7">
      <v>5.5339999999999998</v>
    </nc>
  </rcc>
  <rcc rId="41678" sId="4" numFmtId="11">
    <nc r="BP8">
      <v>569.24900000000002</v>
    </nc>
  </rcc>
  <rcc rId="41679" sId="4" numFmtId="11">
    <nc r="BP10">
      <v>5.4809999999999999</v>
    </nc>
  </rcc>
  <rcc rId="41680" sId="4" numFmtId="11">
    <nc r="BP11">
      <v>90.355000000000004</v>
    </nc>
  </rcc>
  <rcc rId="41681" sId="4" numFmtId="11">
    <nc r="BP12">
      <v>103.727</v>
    </nc>
  </rcc>
  <rcc rId="41682" sId="4" numFmtId="11">
    <nc r="BP13">
      <v>239.78700000000001</v>
    </nc>
  </rcc>
  <rcc rId="41683" sId="4" numFmtId="11">
    <nc r="BP14">
      <v>3.343</v>
    </nc>
  </rcc>
  <rm rId="41684" sheetId="4" source="BP14" destination="BP15" sourceSheetId="4">
    <undo index="1" exp="ref" v="1" dr="BP15" r="BT15" sId="4"/>
    <rfmt sheetId="4" sqref="BP15" start="0" length="0">
      <dxf>
        <font>
          <sz val="10"/>
          <color auto="1"/>
          <name val="Arial"/>
          <scheme val="none"/>
        </font>
        <numFmt numFmtId="165" formatCode="&quot;$&quot;#,##0"/>
      </dxf>
    </rfmt>
  </rm>
  <rcc rId="41685" sId="4" numFmtId="11">
    <nc r="BP16">
      <v>126.34</v>
    </nc>
  </rcc>
  <rcc rId="41686" sId="4" numFmtId="11">
    <nc r="BP18">
      <v>581.07100000000003</v>
    </nc>
  </rcc>
  <rcc rId="41687" sId="4" numFmtId="11">
    <nc r="BP20">
      <v>19.227</v>
    </nc>
  </rcc>
  <rcc rId="41688" sId="4" numFmtId="11">
    <nc r="BP21">
      <v>158.286</v>
    </nc>
  </rcc>
  <rcc rId="41689" sId="4" numFmtId="11">
    <nc r="BP22">
      <v>46.472000000000001</v>
    </nc>
  </rcc>
  <rcc rId="41690" sId="4" numFmtId="11">
    <nc r="BP23">
      <v>673.83100000000002</v>
    </nc>
  </rcc>
  <rcc rId="41691" sId="4" numFmtId="11">
    <nc r="BP24">
      <v>10734.111999999999</v>
    </nc>
  </rcc>
  <rcc rId="41692" sId="4" numFmtId="11">
    <nc r="BP25">
      <v>9462.5709999999999</v>
    </nc>
  </rcc>
  <rcc rId="41693" sId="4" numFmtId="11">
    <nc r="BP26">
      <v>68.522000000000006</v>
    </nc>
  </rcc>
  <rcc rId="41694" sId="4" numFmtId="11">
    <nc r="BP27">
      <v>965.19299999999998</v>
    </nc>
  </rcc>
  <rcc rId="41695" sId="4" numFmtId="11">
    <nc r="BP28">
      <v>157.97800000000001</v>
    </nc>
  </rcc>
  <rcc rId="41696" sId="4" numFmtId="11">
    <nc r="BP29">
      <v>182.339</v>
    </nc>
  </rcc>
  <rcc rId="41697" sId="4" numFmtId="11">
    <nc r="BP30">
      <v>346.43299999999999</v>
    </nc>
  </rcc>
  <rcc rId="41698" sId="4" numFmtId="11">
    <nc r="BP32">
      <v>2455.9690000000001</v>
    </nc>
  </rcc>
  <rcc rId="41699" sId="4" numFmtId="11">
    <nc r="BP33">
      <v>1827.691</v>
    </nc>
  </rcc>
  <rcc rId="41700" sId="4" numFmtId="11">
    <nc r="BP34">
      <v>19082.194</v>
    </nc>
  </rcc>
  <rcv guid="{455630F5-40FC-47DB-8AD4-712C20B8FB91}" action="delete"/>
  <rdn rId="0" localSheetId="2" customView="1" name="Z_455630F5_40FC_47DB_8AD4_712C20B8FB91_.wvu.Cols" hidden="1" oldHidden="1">
    <formula>'FY2013 by Approp Title'!$AA:$AA</formula>
    <oldFormula>'FY2013 by Approp Title'!$AA:$AA</oldFormula>
  </rdn>
  <rdn rId="0" localSheetId="3" customView="1" name="Z_455630F5_40FC_47DB_8AD4_712C20B8FB91_.wvu.Cols" hidden="1" oldHidden="1">
    <formula>'FY2013 By Approp Title-Adj'!$AA:$AA</formula>
    <oldFormula>'FY2013 By Approp Title-Adj'!$AA:$AA</oldFormula>
  </rdn>
  <rdn rId="0" localSheetId="4" customView="1" name="Z_455630F5_40FC_47DB_8AD4_712C20B8FB91_.wvu.Rows" hidden="1" oldHidden="1">
    <formula>'FY 2013 by Agency'!$1:$3,'FY 2013 by Agency'!$226:$240</formula>
    <oldFormula>'FY 2013 by Agency'!$1:$3,'FY 2013 by Agency'!$226:$240</oldFormula>
  </rdn>
  <rdn rId="0" localSheetId="4" customView="1" name="Z_455630F5_40FC_47DB_8AD4_712C20B8FB91_.wvu.Cols" hidden="1" oldHidden="1">
    <formula>'FY 2013 by Agency'!$D:$E,'FY 2013 by Agency'!$G:$H,'FY 2013 by Agency'!$J:$K,'FY 2013 by Agency'!$M:$N,'FY 2013 by Agency'!$P:$Q,'FY 2013 by Agency'!$S:$T,'FY 2013 by Agency'!$V:$W,'FY 2013 by Agency'!$Y:$Z,'FY 2013 by Agency'!$AB:$AE,'FY 2013 by Agency'!$AG:$AO,'FY 2013 by Agency'!$AV:$AW,'FY 2013 by Agency'!$AY:$AZ,'FY 2013 by Agency'!$BF:$BG</formula>
    <oldFormula>'FY 2013 by Agency'!$D:$E,'FY 2013 by Agency'!$G:$H,'FY 2013 by Agency'!$J:$K,'FY 2013 by Agency'!$M:$N,'FY 2013 by Agency'!$P:$Q,'FY 2013 by Agency'!$S:$T,'FY 2013 by Agency'!$V:$W,'FY 2013 by Agency'!$Y:$Z,'FY 2013 by Agency'!$AB:$AE,'FY 2013 by Agency'!$AG:$AO,'FY 2013 by Agency'!$AV:$AW,'FY 2013 by Agency'!$AY:$AZ,'FY 2013 by Agency'!$BF:$BG</oldFormula>
  </rdn>
  <rdn rId="0" localSheetId="5" customView="1" name="Z_455630F5_40FC_47DB_8AD4_712C20B8FB91_.wvu.Rows" hidden="1" oldHidden="1">
    <formula>'FY 2013 by Agency-Adj'!$1:$3,'FY 2013 by Agency-Adj'!$14:$14,'FY 2013 by Agency-Adj'!$19:$19,'FY 2013 by Agency-Adj'!$156:$156,'FY 2013 by Agency-Adj'!$163:$163,'FY 2013 by Agency-Adj'!$227:$241</formula>
    <oldFormula>'FY 2013 by Agency-Adj'!$1:$3,'FY 2013 by Agency-Adj'!$14:$14,'FY 2013 by Agency-Adj'!$19:$19,'FY 2013 by Agency-Adj'!$156:$156,'FY 2013 by Agency-Adj'!$163:$163,'FY 2013 by Agency-Adj'!$227:$241</oldFormula>
  </rdn>
  <rdn rId="0" localSheetId="5" customView="1" name="Z_455630F5_40FC_47DB_8AD4_712C20B8FB91_.wvu.Cols" hidden="1" oldHidden="1">
    <formula>'FY 2013 by Agency-Adj'!$AD:$AE,'FY 2013 by Agency-Adj'!$AI:$BK,'FY 2013 by Agency-Adj'!$BO:$BT</formula>
    <oldFormula>'FY 2013 by Agency-Adj'!$AD:$AE,'FY 2013 by Agency-Adj'!$AI:$BK,'FY 2013 by Agency-Adj'!$BO:$BT</oldFormula>
  </rdn>
  <rdn rId="0" localSheetId="8" customView="1" name="Z_455630F5_40FC_47DB_8AD4_712C20B8FB91_.wvu.Rows" hidden="1" oldHidden="1">
    <formula>'Sheet 4'!$1:$6</formula>
    <oldFormula>'Sheet 4'!$1:$6</oldFormula>
  </rdn>
  <rcv guid="{455630F5-40FC-47DB-8AD4-712C20B8FB91}" action="add"/>
</revisions>
</file>

<file path=xl/revisions/revisionLog1921.xml><?xml version="1.0" encoding="utf-8"?>
<revisions xmlns="http://schemas.openxmlformats.org/spreadsheetml/2006/main" xmlns:r="http://schemas.openxmlformats.org/officeDocument/2006/relationships">
  <rcv guid="{567C3053-2D8E-4705-8DC7-18896C5303CA}" action="delete"/>
  <rdn rId="0" localSheetId="2" customView="1" name="Z_567C3053_2D8E_4705_8DC7_18896C5303CA_.wvu.Cols" hidden="1" oldHidden="1">
    <formula>'FY2013 by Approp Title'!$AA:$AA</formula>
    <oldFormula>'FY2013 by Approp Title'!$AA:$AA</oldFormula>
  </rdn>
  <rdn rId="0" localSheetId="3" customView="1" name="Z_567C3053_2D8E_4705_8DC7_18896C5303CA_.wvu.Cols" hidden="1" oldHidden="1">
    <formula>'FY2013 By Approp Title-Adj'!$AA:$AA</formula>
    <oldFormula>'FY2013 By Approp Title-Adj'!$AA:$AA</oldFormula>
  </rdn>
  <rdn rId="0" localSheetId="4" customView="1" name="Z_567C3053_2D8E_4705_8DC7_18896C5303CA_.wvu.Rows" hidden="1" oldHidden="1">
    <formula>'FY 2013 by Agency'!$1:$3,'FY 2013 by Agency'!$226:$240</formula>
    <oldFormula>'FY 2013 by Agency'!$1:$3,'FY 2013 by Agency'!$226:$240</oldFormula>
  </rdn>
  <rdn rId="0" localSheetId="5" customView="1" name="Z_567C3053_2D8E_4705_8DC7_18896C5303CA_.wvu.Rows" hidden="1" oldHidden="1">
    <formula>'FY 2013 by Agency-Adj'!$1:$3,'FY 2013 by Agency-Adj'!$227:$241</formula>
    <oldFormula>'FY 2013 by Agency-Adj'!$1:$3,'FY 2013 by Agency-Adj'!$227:$241</oldFormula>
  </rdn>
  <rdn rId="0" localSheetId="5" customView="1" name="Z_567C3053_2D8E_4705_8DC7_18896C5303CA_.wvu.Cols" hidden="1" oldHidden="1">
    <formula>'FY 2013 by Agency-Adj'!$V:$AB,'FY 2013 by Agency-Adj'!$AJ:$AM,'FY 2013 by Agency-Adj'!$AP:$AS</formula>
    <oldFormula>'FY 2013 by Agency-Adj'!$V:$AB,'FY 2013 by Agency-Adj'!$AJ:$AM,'FY 2013 by Agency-Adj'!$AP:$AS</oldFormula>
  </rdn>
  <rdn rId="0" localSheetId="8" customView="1" name="Z_567C3053_2D8E_4705_8DC7_18896C5303CA_.wvu.Rows" hidden="1" oldHidden="1">
    <formula>'Sheet 4'!$1:$6</formula>
    <oldFormula>'Sheet 4'!$1:$6</oldFormula>
  </rdn>
  <rcv guid="{567C3053-2D8E-4705-8DC7-18896C5303CA}" action="add"/>
</revisions>
</file>

<file path=xl/revisions/revisionLog19211.xml><?xml version="1.0" encoding="utf-8"?>
<revisions xmlns="http://schemas.openxmlformats.org/spreadsheetml/2006/main" xmlns:r="http://schemas.openxmlformats.org/officeDocument/2006/relationships">
  <rcc rId="41144" sId="4" numFmtId="11">
    <nc r="BO124">
      <v>64955</v>
    </nc>
  </rcc>
  <rcc rId="41145" sId="4" numFmtId="11">
    <nc r="BO125">
      <v>40047</v>
    </nc>
  </rcc>
</revisions>
</file>

<file path=xl/revisions/revisionLog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dn rId="0" localSheetId="6" customView="1" name="Z_AEFEB150_9213_45F5_A178_7AC71E46DB11_.wvu.Rows" hidden="1" oldHidden="1">
    <oldFormula>'Sheet 5'!#REF!,'Sheet 5'!#REF!</oldFormula>
  </rdn>
  <rdn rId="0" localSheetId="7" customView="1" name="Z_AEFEB150_9213_45F5_A178_7AC71E46DB11_.wvu.Rows" hidden="1" oldHidden="1">
    <oldFormula>'Sheet 6'!#REF!</oldFormula>
  </rdn>
  <rcv guid="{AEFEB150-9213-45F5-A178-7AC71E46DB11}" action="delete"/>
  <rdn rId="0" localSheetId="2" customView="1" name="Z_AEFEB150_9213_45F5_A178_7AC71E46DB11_.wvu.Cols" hidden="1" oldHidden="1">
    <formula>'FY2013 by Approp Title'!$AA:$AA</formula>
    <oldFormula>'FY2013 by Approp Title'!$AA:$AA</oldFormula>
  </rdn>
  <rdn rId="0" localSheetId="3" customView="1" name="Z_AEFEB150_9213_45F5_A178_7AC71E46DB11_.wvu.Cols" hidden="1" oldHidden="1">
    <formula>'FY2013 By Approp Title-Adj'!$AA:$AA</formula>
    <oldFormula>'FY2013 By Approp Title-Adj'!$AA:$AA</oldFormula>
  </rdn>
  <rdn rId="0" localSheetId="4" customView="1" name="Z_AEFEB150_9213_45F5_A178_7AC71E46DB11_.wvu.Rows" hidden="1" oldHidden="1">
    <formula>'FY 2013 by Agency'!$1:$3,'FY 2013 by Agency'!$226:$240</formula>
    <oldFormula>'FY 2013 by Agency'!$1:$3,'FY 2013 by Agency'!$226:$240</oldFormula>
  </rdn>
  <rdn rId="0" localSheetId="5" customView="1" name="Z_AEFEB150_9213_45F5_A178_7AC71E46DB11_.wvu.Rows" hidden="1" oldHidden="1">
    <formula>'FY 2013 by Agency-Adj'!$1:$3,'FY 2013 by Agency-Adj'!$227:$241</formula>
    <oldFormula>'FY 2013 by Agency-Adj'!$1:$3,'FY 2013 by Agency-Adj'!$227:$241</oldFormula>
  </rdn>
  <rdn rId="0" localSheetId="5" customView="1" name="Z_AEFEB150_9213_45F5_A178_7AC71E46DB11_.wvu.Cols" hidden="1" oldHidden="1">
    <formula>'FY 2013 by Agency-Adj'!$AJ:$AM</formula>
    <oldFormula>'FY 2013 by Agency-Adj'!$AJ:$AM</oldFormula>
  </rdn>
  <rdn rId="0" localSheetId="8" customView="1" name="Z_AEFEB150_9213_45F5_A178_7AC71E46DB11_.wvu.Rows" hidden="1" oldHidden="1">
    <formula>'Sheet 4'!$1:$6</formula>
    <oldFormula>'Sheet 4'!$1:$6</oldFormula>
  </rdn>
  <rcv guid="{AEFEB150-9213-45F5-A178-7AC71E46DB11}" action="add"/>
</revisions>
</file>

<file path=xl/revisions/revisionLog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41272" sId="4" numFmtId="11">
    <oc r="BE165">
      <f>SUM(BE145:BE164)</f>
    </oc>
    <nc r="BE165">
      <v>43</v>
    </nc>
  </rcc>
</revisions>
</file>

<file path=xl/revisions/userNames.xml><?xml version="1.0" encoding="utf-8"?>
<users xmlns="http://schemas.openxmlformats.org/spreadsheetml/2006/main" xmlns:r="http://schemas.openxmlformats.org/officeDocument/2006/relationships" count="0"/>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8.bin"/><Relationship Id="rId13" Type="http://schemas.openxmlformats.org/officeDocument/2006/relationships/printerSettings" Target="../printerSettings/printerSettings13.bin"/><Relationship Id="rId3" Type="http://schemas.openxmlformats.org/officeDocument/2006/relationships/printerSettings" Target="../printerSettings/printerSettings3.bin"/><Relationship Id="rId7" Type="http://schemas.openxmlformats.org/officeDocument/2006/relationships/printerSettings" Target="../printerSettings/printerSettings7.bin"/><Relationship Id="rId12" Type="http://schemas.openxmlformats.org/officeDocument/2006/relationships/printerSettings" Target="../printerSettings/printerSettings12.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11" Type="http://schemas.openxmlformats.org/officeDocument/2006/relationships/printerSettings" Target="../printerSettings/printerSettings11.bin"/><Relationship Id="rId5" Type="http://schemas.openxmlformats.org/officeDocument/2006/relationships/printerSettings" Target="../printerSettings/printerSettings5.bin"/><Relationship Id="rId10" Type="http://schemas.openxmlformats.org/officeDocument/2006/relationships/printerSettings" Target="../printerSettings/printerSettings10.bin"/><Relationship Id="rId4" Type="http://schemas.openxmlformats.org/officeDocument/2006/relationships/printerSettings" Target="../printerSettings/printerSettings4.bin"/><Relationship Id="rId9" Type="http://schemas.openxmlformats.org/officeDocument/2006/relationships/printerSettings" Target="../printerSettings/printerSettings9.bin"/><Relationship Id="rId14" Type="http://schemas.openxmlformats.org/officeDocument/2006/relationships/printerSettings" Target="../printerSettings/printerSettings14.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06.bin"/><Relationship Id="rId1" Type="http://schemas.openxmlformats.org/officeDocument/2006/relationships/printerSettings" Target="../printerSettings/printerSettings105.bin"/></Relationships>
</file>

<file path=xl/worksheets/_rels/sheet11.xml.rels><?xml version="1.0" encoding="UTF-8" standalone="yes"?>
<Relationships xmlns="http://schemas.openxmlformats.org/package/2006/relationships"><Relationship Id="rId8" Type="http://schemas.openxmlformats.org/officeDocument/2006/relationships/printerSettings" Target="../printerSettings/printerSettings114.bin"/><Relationship Id="rId13" Type="http://schemas.openxmlformats.org/officeDocument/2006/relationships/printerSettings" Target="../printerSettings/printerSettings119.bin"/><Relationship Id="rId3" Type="http://schemas.openxmlformats.org/officeDocument/2006/relationships/printerSettings" Target="../printerSettings/printerSettings109.bin"/><Relationship Id="rId7" Type="http://schemas.openxmlformats.org/officeDocument/2006/relationships/printerSettings" Target="../printerSettings/printerSettings113.bin"/><Relationship Id="rId12" Type="http://schemas.openxmlformats.org/officeDocument/2006/relationships/printerSettings" Target="../printerSettings/printerSettings118.bin"/><Relationship Id="rId2" Type="http://schemas.openxmlformats.org/officeDocument/2006/relationships/printerSettings" Target="../printerSettings/printerSettings108.bin"/><Relationship Id="rId1" Type="http://schemas.openxmlformats.org/officeDocument/2006/relationships/printerSettings" Target="../printerSettings/printerSettings107.bin"/><Relationship Id="rId6" Type="http://schemas.openxmlformats.org/officeDocument/2006/relationships/printerSettings" Target="../printerSettings/printerSettings112.bin"/><Relationship Id="rId11" Type="http://schemas.openxmlformats.org/officeDocument/2006/relationships/printerSettings" Target="../printerSettings/printerSettings117.bin"/><Relationship Id="rId5" Type="http://schemas.openxmlformats.org/officeDocument/2006/relationships/printerSettings" Target="../printerSettings/printerSettings111.bin"/><Relationship Id="rId10" Type="http://schemas.openxmlformats.org/officeDocument/2006/relationships/printerSettings" Target="../printerSettings/printerSettings116.bin"/><Relationship Id="rId4" Type="http://schemas.openxmlformats.org/officeDocument/2006/relationships/printerSettings" Target="../printerSettings/printerSettings110.bin"/><Relationship Id="rId9" Type="http://schemas.openxmlformats.org/officeDocument/2006/relationships/printerSettings" Target="../printerSettings/printerSettings115.bin"/><Relationship Id="rId14" Type="http://schemas.openxmlformats.org/officeDocument/2006/relationships/printerSettings" Target="../printerSettings/printerSettings120.bin"/></Relationships>
</file>

<file path=xl/worksheets/_rels/sheet12.xml.rels><?xml version="1.0" encoding="UTF-8" standalone="yes"?>
<Relationships xmlns="http://schemas.openxmlformats.org/package/2006/relationships"><Relationship Id="rId8" Type="http://schemas.openxmlformats.org/officeDocument/2006/relationships/printerSettings" Target="../printerSettings/printerSettings128.bin"/><Relationship Id="rId13" Type="http://schemas.openxmlformats.org/officeDocument/2006/relationships/printerSettings" Target="../printerSettings/printerSettings133.bin"/><Relationship Id="rId3" Type="http://schemas.openxmlformats.org/officeDocument/2006/relationships/printerSettings" Target="../printerSettings/printerSettings123.bin"/><Relationship Id="rId7" Type="http://schemas.openxmlformats.org/officeDocument/2006/relationships/printerSettings" Target="../printerSettings/printerSettings127.bin"/><Relationship Id="rId12" Type="http://schemas.openxmlformats.org/officeDocument/2006/relationships/printerSettings" Target="../printerSettings/printerSettings132.bin"/><Relationship Id="rId2" Type="http://schemas.openxmlformats.org/officeDocument/2006/relationships/printerSettings" Target="../printerSettings/printerSettings122.bin"/><Relationship Id="rId1" Type="http://schemas.openxmlformats.org/officeDocument/2006/relationships/printerSettings" Target="../printerSettings/printerSettings121.bin"/><Relationship Id="rId6" Type="http://schemas.openxmlformats.org/officeDocument/2006/relationships/printerSettings" Target="../printerSettings/printerSettings126.bin"/><Relationship Id="rId11" Type="http://schemas.openxmlformats.org/officeDocument/2006/relationships/printerSettings" Target="../printerSettings/printerSettings131.bin"/><Relationship Id="rId5" Type="http://schemas.openxmlformats.org/officeDocument/2006/relationships/printerSettings" Target="../printerSettings/printerSettings125.bin"/><Relationship Id="rId10" Type="http://schemas.openxmlformats.org/officeDocument/2006/relationships/printerSettings" Target="../printerSettings/printerSettings130.bin"/><Relationship Id="rId4" Type="http://schemas.openxmlformats.org/officeDocument/2006/relationships/printerSettings" Target="../printerSettings/printerSettings124.bin"/><Relationship Id="rId9" Type="http://schemas.openxmlformats.org/officeDocument/2006/relationships/printerSettings" Target="../printerSettings/printerSettings129.bin"/><Relationship Id="rId14" Type="http://schemas.openxmlformats.org/officeDocument/2006/relationships/printerSettings" Target="../printerSettings/printerSettings134.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22.bin"/><Relationship Id="rId13" Type="http://schemas.openxmlformats.org/officeDocument/2006/relationships/printerSettings" Target="../printerSettings/printerSettings27.bin"/><Relationship Id="rId3" Type="http://schemas.openxmlformats.org/officeDocument/2006/relationships/printerSettings" Target="../printerSettings/printerSettings17.bin"/><Relationship Id="rId7" Type="http://schemas.openxmlformats.org/officeDocument/2006/relationships/printerSettings" Target="../printerSettings/printerSettings21.bin"/><Relationship Id="rId12" Type="http://schemas.openxmlformats.org/officeDocument/2006/relationships/printerSettings" Target="../printerSettings/printerSettings26.bin"/><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 Id="rId6" Type="http://schemas.openxmlformats.org/officeDocument/2006/relationships/printerSettings" Target="../printerSettings/printerSettings20.bin"/><Relationship Id="rId11" Type="http://schemas.openxmlformats.org/officeDocument/2006/relationships/printerSettings" Target="../printerSettings/printerSettings25.bin"/><Relationship Id="rId5" Type="http://schemas.openxmlformats.org/officeDocument/2006/relationships/printerSettings" Target="../printerSettings/printerSettings19.bin"/><Relationship Id="rId10" Type="http://schemas.openxmlformats.org/officeDocument/2006/relationships/printerSettings" Target="../printerSettings/printerSettings24.bin"/><Relationship Id="rId4" Type="http://schemas.openxmlformats.org/officeDocument/2006/relationships/printerSettings" Target="../printerSettings/printerSettings18.bin"/><Relationship Id="rId9" Type="http://schemas.openxmlformats.org/officeDocument/2006/relationships/printerSettings" Target="../printerSettings/printerSettings23.bin"/><Relationship Id="rId14"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1.bin"/><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8" Type="http://schemas.openxmlformats.org/officeDocument/2006/relationships/printerSettings" Target="../printerSettings/printerSettings39.bin"/><Relationship Id="rId13" Type="http://schemas.openxmlformats.org/officeDocument/2006/relationships/printerSettings" Target="../printerSettings/printerSettings44.bin"/><Relationship Id="rId3" Type="http://schemas.openxmlformats.org/officeDocument/2006/relationships/printerSettings" Target="../printerSettings/printerSettings34.bin"/><Relationship Id="rId7" Type="http://schemas.openxmlformats.org/officeDocument/2006/relationships/printerSettings" Target="../printerSettings/printerSettings38.bin"/><Relationship Id="rId12" Type="http://schemas.openxmlformats.org/officeDocument/2006/relationships/printerSettings" Target="../printerSettings/printerSettings43.bin"/><Relationship Id="rId2" Type="http://schemas.openxmlformats.org/officeDocument/2006/relationships/printerSettings" Target="../printerSettings/printerSettings33.bin"/><Relationship Id="rId16" Type="http://schemas.openxmlformats.org/officeDocument/2006/relationships/comments" Target="../comments1.xml"/><Relationship Id="rId1" Type="http://schemas.openxmlformats.org/officeDocument/2006/relationships/printerSettings" Target="../printerSettings/printerSettings32.bin"/><Relationship Id="rId6" Type="http://schemas.openxmlformats.org/officeDocument/2006/relationships/printerSettings" Target="../printerSettings/printerSettings37.bin"/><Relationship Id="rId11" Type="http://schemas.openxmlformats.org/officeDocument/2006/relationships/printerSettings" Target="../printerSettings/printerSettings42.bin"/><Relationship Id="rId5" Type="http://schemas.openxmlformats.org/officeDocument/2006/relationships/printerSettings" Target="../printerSettings/printerSettings36.bin"/><Relationship Id="rId15" Type="http://schemas.openxmlformats.org/officeDocument/2006/relationships/vmlDrawing" Target="../drawings/vmlDrawing1.vml"/><Relationship Id="rId10" Type="http://schemas.openxmlformats.org/officeDocument/2006/relationships/printerSettings" Target="../printerSettings/printerSettings41.bin"/><Relationship Id="rId4" Type="http://schemas.openxmlformats.org/officeDocument/2006/relationships/printerSettings" Target="../printerSettings/printerSettings35.bin"/><Relationship Id="rId9" Type="http://schemas.openxmlformats.org/officeDocument/2006/relationships/printerSettings" Target="../printerSettings/printerSettings40.bin"/><Relationship Id="rId14" Type="http://schemas.openxmlformats.org/officeDocument/2006/relationships/printerSettings" Target="../printerSettings/printerSettings45.bin"/></Relationships>
</file>

<file path=xl/worksheets/_rels/sheet5.xml.rels><?xml version="1.0" encoding="UTF-8" standalone="yes"?>
<Relationships xmlns="http://schemas.openxmlformats.org/package/2006/relationships"><Relationship Id="rId8" Type="http://schemas.openxmlformats.org/officeDocument/2006/relationships/printerSettings" Target="../printerSettings/printerSettings53.bin"/><Relationship Id="rId13" Type="http://schemas.openxmlformats.org/officeDocument/2006/relationships/printerSettings" Target="../printerSettings/printerSettings58.bin"/><Relationship Id="rId3" Type="http://schemas.openxmlformats.org/officeDocument/2006/relationships/printerSettings" Target="../printerSettings/printerSettings48.bin"/><Relationship Id="rId7" Type="http://schemas.openxmlformats.org/officeDocument/2006/relationships/printerSettings" Target="../printerSettings/printerSettings52.bin"/><Relationship Id="rId12" Type="http://schemas.openxmlformats.org/officeDocument/2006/relationships/printerSettings" Target="../printerSettings/printerSettings57.bin"/><Relationship Id="rId2" Type="http://schemas.openxmlformats.org/officeDocument/2006/relationships/printerSettings" Target="../printerSettings/printerSettings47.bin"/><Relationship Id="rId16" Type="http://schemas.openxmlformats.org/officeDocument/2006/relationships/comments" Target="../comments2.xml"/><Relationship Id="rId1" Type="http://schemas.openxmlformats.org/officeDocument/2006/relationships/printerSettings" Target="../printerSettings/printerSettings46.bin"/><Relationship Id="rId6" Type="http://schemas.openxmlformats.org/officeDocument/2006/relationships/printerSettings" Target="../printerSettings/printerSettings51.bin"/><Relationship Id="rId11" Type="http://schemas.openxmlformats.org/officeDocument/2006/relationships/printerSettings" Target="../printerSettings/printerSettings56.bin"/><Relationship Id="rId5" Type="http://schemas.openxmlformats.org/officeDocument/2006/relationships/printerSettings" Target="../printerSettings/printerSettings50.bin"/><Relationship Id="rId15" Type="http://schemas.openxmlformats.org/officeDocument/2006/relationships/vmlDrawing" Target="../drawings/vmlDrawing2.vml"/><Relationship Id="rId10" Type="http://schemas.openxmlformats.org/officeDocument/2006/relationships/printerSettings" Target="../printerSettings/printerSettings55.bin"/><Relationship Id="rId4" Type="http://schemas.openxmlformats.org/officeDocument/2006/relationships/printerSettings" Target="../printerSettings/printerSettings49.bin"/><Relationship Id="rId9" Type="http://schemas.openxmlformats.org/officeDocument/2006/relationships/printerSettings" Target="../printerSettings/printerSettings54.bin"/><Relationship Id="rId14"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8" Type="http://schemas.openxmlformats.org/officeDocument/2006/relationships/printerSettings" Target="../printerSettings/printerSettings67.bin"/><Relationship Id="rId13" Type="http://schemas.openxmlformats.org/officeDocument/2006/relationships/printerSettings" Target="../printerSettings/printerSettings72.bin"/><Relationship Id="rId3" Type="http://schemas.openxmlformats.org/officeDocument/2006/relationships/printerSettings" Target="../printerSettings/printerSettings62.bin"/><Relationship Id="rId7" Type="http://schemas.openxmlformats.org/officeDocument/2006/relationships/printerSettings" Target="../printerSettings/printerSettings66.bin"/><Relationship Id="rId12" Type="http://schemas.openxmlformats.org/officeDocument/2006/relationships/printerSettings" Target="../printerSettings/printerSettings71.bin"/><Relationship Id="rId2" Type="http://schemas.openxmlformats.org/officeDocument/2006/relationships/printerSettings" Target="../printerSettings/printerSettings61.bin"/><Relationship Id="rId1" Type="http://schemas.openxmlformats.org/officeDocument/2006/relationships/printerSettings" Target="../printerSettings/printerSettings60.bin"/><Relationship Id="rId6" Type="http://schemas.openxmlformats.org/officeDocument/2006/relationships/printerSettings" Target="../printerSettings/printerSettings65.bin"/><Relationship Id="rId11" Type="http://schemas.openxmlformats.org/officeDocument/2006/relationships/printerSettings" Target="../printerSettings/printerSettings70.bin"/><Relationship Id="rId5" Type="http://schemas.openxmlformats.org/officeDocument/2006/relationships/printerSettings" Target="../printerSettings/printerSettings64.bin"/><Relationship Id="rId10" Type="http://schemas.openxmlformats.org/officeDocument/2006/relationships/printerSettings" Target="../printerSettings/printerSettings69.bin"/><Relationship Id="rId4" Type="http://schemas.openxmlformats.org/officeDocument/2006/relationships/printerSettings" Target="../printerSettings/printerSettings63.bin"/><Relationship Id="rId9" Type="http://schemas.openxmlformats.org/officeDocument/2006/relationships/printerSettings" Target="../printerSettings/printerSettings68.bin"/><Relationship Id="rId14" Type="http://schemas.openxmlformats.org/officeDocument/2006/relationships/printerSettings" Target="../printerSettings/printerSettings73.bin"/></Relationships>
</file>

<file path=xl/worksheets/_rels/sheet7.xml.rels><?xml version="1.0" encoding="UTF-8" standalone="yes"?>
<Relationships xmlns="http://schemas.openxmlformats.org/package/2006/relationships"><Relationship Id="rId8" Type="http://schemas.openxmlformats.org/officeDocument/2006/relationships/printerSettings" Target="../printerSettings/printerSettings81.bin"/><Relationship Id="rId3" Type="http://schemas.openxmlformats.org/officeDocument/2006/relationships/printerSettings" Target="../printerSettings/printerSettings76.bin"/><Relationship Id="rId7" Type="http://schemas.openxmlformats.org/officeDocument/2006/relationships/printerSettings" Target="../printerSettings/printerSettings80.bin"/><Relationship Id="rId2" Type="http://schemas.openxmlformats.org/officeDocument/2006/relationships/printerSettings" Target="../printerSettings/printerSettings75.bin"/><Relationship Id="rId1" Type="http://schemas.openxmlformats.org/officeDocument/2006/relationships/printerSettings" Target="../printerSettings/printerSettings74.bin"/><Relationship Id="rId6" Type="http://schemas.openxmlformats.org/officeDocument/2006/relationships/printerSettings" Target="../printerSettings/printerSettings79.bin"/><Relationship Id="rId5" Type="http://schemas.openxmlformats.org/officeDocument/2006/relationships/printerSettings" Target="../printerSettings/printerSettings78.bin"/><Relationship Id="rId4" Type="http://schemas.openxmlformats.org/officeDocument/2006/relationships/printerSettings" Target="../printerSettings/printerSettings77.bin"/><Relationship Id="rId9" Type="http://schemas.openxmlformats.org/officeDocument/2006/relationships/printerSettings" Target="../printerSettings/printerSettings82.bin"/></Relationships>
</file>

<file path=xl/worksheets/_rels/sheet8.xml.rels><?xml version="1.0" encoding="UTF-8" standalone="yes"?>
<Relationships xmlns="http://schemas.openxmlformats.org/package/2006/relationships"><Relationship Id="rId8" Type="http://schemas.openxmlformats.org/officeDocument/2006/relationships/printerSettings" Target="../printerSettings/printerSettings90.bin"/><Relationship Id="rId3" Type="http://schemas.openxmlformats.org/officeDocument/2006/relationships/printerSettings" Target="../printerSettings/printerSettings85.bin"/><Relationship Id="rId7" Type="http://schemas.openxmlformats.org/officeDocument/2006/relationships/printerSettings" Target="../printerSettings/printerSettings89.bin"/><Relationship Id="rId2" Type="http://schemas.openxmlformats.org/officeDocument/2006/relationships/printerSettings" Target="../printerSettings/printerSettings84.bin"/><Relationship Id="rId1" Type="http://schemas.openxmlformats.org/officeDocument/2006/relationships/printerSettings" Target="../printerSettings/printerSettings83.bin"/><Relationship Id="rId6" Type="http://schemas.openxmlformats.org/officeDocument/2006/relationships/printerSettings" Target="../printerSettings/printerSettings88.bin"/><Relationship Id="rId5" Type="http://schemas.openxmlformats.org/officeDocument/2006/relationships/printerSettings" Target="../printerSettings/printerSettings87.bin"/><Relationship Id="rId4" Type="http://schemas.openxmlformats.org/officeDocument/2006/relationships/printerSettings" Target="../printerSettings/printerSettings86.bin"/><Relationship Id="rId9" Type="http://schemas.openxmlformats.org/officeDocument/2006/relationships/printerSettings" Target="../printerSettings/printerSettings91.bin"/></Relationships>
</file>

<file path=xl/worksheets/_rels/sheet9.xml.rels><?xml version="1.0" encoding="UTF-8" standalone="yes"?>
<Relationships xmlns="http://schemas.openxmlformats.org/package/2006/relationships"><Relationship Id="rId8" Type="http://schemas.openxmlformats.org/officeDocument/2006/relationships/printerSettings" Target="../printerSettings/printerSettings99.bin"/><Relationship Id="rId13" Type="http://schemas.openxmlformats.org/officeDocument/2006/relationships/printerSettings" Target="../printerSettings/printerSettings104.bin"/><Relationship Id="rId3" Type="http://schemas.openxmlformats.org/officeDocument/2006/relationships/printerSettings" Target="../printerSettings/printerSettings94.bin"/><Relationship Id="rId7" Type="http://schemas.openxmlformats.org/officeDocument/2006/relationships/printerSettings" Target="../printerSettings/printerSettings98.bin"/><Relationship Id="rId12" Type="http://schemas.openxmlformats.org/officeDocument/2006/relationships/printerSettings" Target="../printerSettings/printerSettings103.bin"/><Relationship Id="rId2" Type="http://schemas.openxmlformats.org/officeDocument/2006/relationships/printerSettings" Target="../printerSettings/printerSettings93.bin"/><Relationship Id="rId1" Type="http://schemas.openxmlformats.org/officeDocument/2006/relationships/printerSettings" Target="../printerSettings/printerSettings92.bin"/><Relationship Id="rId6" Type="http://schemas.openxmlformats.org/officeDocument/2006/relationships/printerSettings" Target="../printerSettings/printerSettings97.bin"/><Relationship Id="rId11" Type="http://schemas.openxmlformats.org/officeDocument/2006/relationships/printerSettings" Target="../printerSettings/printerSettings102.bin"/><Relationship Id="rId5" Type="http://schemas.openxmlformats.org/officeDocument/2006/relationships/printerSettings" Target="../printerSettings/printerSettings96.bin"/><Relationship Id="rId10" Type="http://schemas.openxmlformats.org/officeDocument/2006/relationships/printerSettings" Target="../printerSettings/printerSettings101.bin"/><Relationship Id="rId4" Type="http://schemas.openxmlformats.org/officeDocument/2006/relationships/printerSettings" Target="../printerSettings/printerSettings95.bin"/><Relationship Id="rId9" Type="http://schemas.openxmlformats.org/officeDocument/2006/relationships/printerSettings" Target="../printerSettings/printerSettings100.bin"/></Relationships>
</file>

<file path=xl/worksheets/sheet1.xml><?xml version="1.0" encoding="utf-8"?>
<worksheet xmlns="http://schemas.openxmlformats.org/spreadsheetml/2006/main" xmlns:r="http://schemas.openxmlformats.org/officeDocument/2006/relationships">
  <dimension ref="A1:B15"/>
  <sheetViews>
    <sheetView topLeftCell="A7" workbookViewId="0">
      <selection activeCell="B17" sqref="B17"/>
    </sheetView>
  </sheetViews>
  <sheetFormatPr defaultRowHeight="12.5"/>
  <cols>
    <col min="1" max="1" width="25.81640625" customWidth="1"/>
    <col min="2" max="2" width="86.1796875" style="224" customWidth="1"/>
  </cols>
  <sheetData>
    <row r="1" spans="1:2" ht="23">
      <c r="A1" s="2" t="s">
        <v>49</v>
      </c>
    </row>
    <row r="2" spans="1:2" ht="23">
      <c r="A2" s="2" t="s">
        <v>424</v>
      </c>
    </row>
    <row r="4" spans="1:2" ht="54" customHeight="1">
      <c r="A4" s="694" t="s">
        <v>425</v>
      </c>
      <c r="B4" s="694"/>
    </row>
    <row r="6" spans="1:2" ht="13">
      <c r="A6" s="20" t="s">
        <v>218</v>
      </c>
      <c r="B6" s="225" t="s">
        <v>219</v>
      </c>
    </row>
    <row r="7" spans="1:2" s="223" customFormat="1" ht="28.5" customHeight="1">
      <c r="A7" s="221" t="s">
        <v>426</v>
      </c>
      <c r="B7" s="222" t="s">
        <v>427</v>
      </c>
    </row>
    <row r="8" spans="1:2" s="223" customFormat="1" ht="28.5" customHeight="1">
      <c r="A8" s="221" t="s">
        <v>428</v>
      </c>
      <c r="B8" s="222" t="s">
        <v>429</v>
      </c>
    </row>
    <row r="9" spans="1:2" ht="25">
      <c r="A9" s="220" t="s">
        <v>430</v>
      </c>
      <c r="B9" s="222" t="s">
        <v>431</v>
      </c>
    </row>
    <row r="10" spans="1:2" ht="25">
      <c r="A10" s="220" t="s">
        <v>432</v>
      </c>
      <c r="B10" s="222" t="s">
        <v>431</v>
      </c>
    </row>
    <row r="11" spans="1:2">
      <c r="A11" s="220" t="s">
        <v>115</v>
      </c>
      <c r="B11" s="222" t="s">
        <v>220</v>
      </c>
    </row>
    <row r="12" spans="1:2">
      <c r="A12" s="220" t="s">
        <v>483</v>
      </c>
      <c r="B12" s="222" t="s">
        <v>484</v>
      </c>
    </row>
    <row r="13" spans="1:2">
      <c r="A13" s="220" t="s">
        <v>485</v>
      </c>
      <c r="B13" s="222" t="s">
        <v>486</v>
      </c>
    </row>
    <row r="15" spans="1:2" ht="12.75" customHeight="1"/>
  </sheetData>
  <customSheetViews>
    <customSheetView guid="{567C3053-2D8E-4705-8DC7-18896C5303CA}" showPageBreaks="1" topLeftCell="A7">
      <selection activeCell="B17" sqref="B17"/>
      <pageMargins left="0.75" right="0.75" top="1" bottom="1" header="0.5" footer="0.5"/>
      <pageSetup orientation="portrait" r:id="rId1"/>
      <headerFooter alignWithMargins="0"/>
    </customSheetView>
    <customSheetView guid="{9D4F0482-B164-4671-805A-E0D2D4DD4720}">
      <selection activeCell="E4" sqref="E4"/>
      <pageMargins left="0.75" right="0.75" top="1" bottom="1" header="0.5" footer="0.5"/>
      <pageSetup orientation="portrait" r:id="rId2"/>
      <headerFooter alignWithMargins="0"/>
    </customSheetView>
    <customSheetView guid="{78CA186D-B240-44D5-8A24-D241DE0B0FD9}">
      <selection activeCell="A11" sqref="A11"/>
      <pageMargins left="0.75" right="0.75" top="1" bottom="1" header="0.5" footer="0.5"/>
      <pageSetup orientation="portrait" r:id="rId3"/>
      <headerFooter alignWithMargins="0"/>
    </customSheetView>
    <customSheetView guid="{455630F5-40FC-47DB-8AD4-712C20B8FB91}">
      <selection activeCell="A12" sqref="A12"/>
      <pageMargins left="0.75" right="0.75" top="1" bottom="1" header="0.5" footer="0.5"/>
      <pageSetup orientation="portrait" r:id="rId4"/>
      <headerFooter alignWithMargins="0"/>
    </customSheetView>
    <customSheetView guid="{AEFEB150-9213-45F5-A178-7AC71E46DB11}">
      <selection activeCell="E4" sqref="E4"/>
      <pageMargins left="0.75" right="0.75" top="1" bottom="1" header="0.5" footer="0.5"/>
      <pageSetup orientation="portrait" r:id="rId5"/>
      <headerFooter alignWithMargins="0"/>
    </customSheetView>
    <customSheetView guid="{1E5198E1-BA46-4CE0-8628-4F695B0D7A3B}">
      <selection activeCell="E4" sqref="E4"/>
      <pageMargins left="0.75" right="0.75" top="1" bottom="1" header="0.5" footer="0.5"/>
      <pageSetup orientation="portrait" r:id="rId6"/>
      <headerFooter alignWithMargins="0"/>
    </customSheetView>
    <customSheetView guid="{F784130D-F647-4ABA-8943-C79CA5B0FDC4}">
      <selection activeCell="E4" sqref="E4"/>
      <pageMargins left="0.75" right="0.75" top="1" bottom="1" header="0.5" footer="0.5"/>
      <pageSetup orientation="portrait" r:id="rId7"/>
      <headerFooter alignWithMargins="0"/>
    </customSheetView>
    <customSheetView guid="{8F508F4D-4777-42BE-9707-8CB9355F7BDB}">
      <selection activeCell="E4" sqref="E4"/>
      <pageMargins left="0.75" right="0.75" top="1" bottom="1" header="0.5" footer="0.5"/>
      <pageSetup orientation="portrait" r:id="rId8"/>
      <headerFooter alignWithMargins="0"/>
    </customSheetView>
    <customSheetView guid="{94DA13B6-7351-40F3-8CF7-A4211EC439DA}">
      <selection activeCell="E4" sqref="E4"/>
      <pageMargins left="0.75" right="0.75" top="1" bottom="1" header="0.5" footer="0.5"/>
      <pageSetup orientation="portrait" r:id="rId9"/>
      <headerFooter alignWithMargins="0"/>
    </customSheetView>
    <customSheetView guid="{E44F5FE1-54FC-4AB3-84F9-7D65ACF2DDE7}">
      <selection activeCell="E4" sqref="E4"/>
      <pageMargins left="0.75" right="0.75" top="1" bottom="1" header="0.5" footer="0.5"/>
      <pageSetup orientation="portrait" r:id="rId10"/>
      <headerFooter alignWithMargins="0"/>
    </customSheetView>
    <customSheetView guid="{50528D02-548E-47E0-94D7-D1E79CD3569C}">
      <selection activeCell="A12" sqref="A12"/>
      <pageMargins left="0.75" right="0.75" top="1" bottom="1" header="0.5" footer="0.5"/>
      <pageSetup orientation="portrait" r:id="rId11"/>
      <headerFooter alignWithMargins="0"/>
    </customSheetView>
    <customSheetView guid="{A2518DB3-3A80-4035-9307-EC50A7C923F2}">
      <selection activeCell="A12" sqref="A12"/>
      <pageMargins left="0.75" right="0.75" top="1" bottom="1" header="0.5" footer="0.5"/>
      <pageSetup orientation="portrait" r:id="rId12"/>
      <headerFooter alignWithMargins="0"/>
    </customSheetView>
    <customSheetView guid="{E81D05A4-5B21-42D3-A8D3-906ABCABC0F4}">
      <selection activeCell="A11" sqref="A11"/>
      <pageMargins left="0.75" right="0.75" top="1" bottom="1" header="0.5" footer="0.5"/>
      <pageSetup orientation="portrait" r:id="rId13"/>
      <headerFooter alignWithMargins="0"/>
    </customSheetView>
  </customSheetViews>
  <mergeCells count="1">
    <mergeCell ref="A4:B4"/>
  </mergeCells>
  <phoneticPr fontId="8" type="noConversion"/>
  <pageMargins left="0.75" right="0.75" top="1" bottom="1" header="0.5" footer="0.5"/>
  <pageSetup orientation="portrait" r:id="rId14"/>
  <headerFooter alignWithMargins="0"/>
</worksheet>
</file>

<file path=xl/worksheets/sheet10.xml><?xml version="1.0" encoding="utf-8"?>
<worksheet xmlns="http://schemas.openxmlformats.org/spreadsheetml/2006/main" xmlns:r="http://schemas.openxmlformats.org/officeDocument/2006/relationships">
  <dimension ref="A1:J322"/>
  <sheetViews>
    <sheetView topLeftCell="A7" zoomScale="85" zoomScaleNormal="85" workbookViewId="0">
      <pane xSplit="1" ySplit="3" topLeftCell="F10" activePane="bottomRight" state="frozen"/>
      <selection activeCell="A7" sqref="A7"/>
      <selection pane="topRight" activeCell="B7" sqref="B7"/>
      <selection pane="bottomLeft" activeCell="A10" sqref="A10"/>
      <selection pane="bottomRight" activeCell="M202" sqref="M202"/>
    </sheetView>
  </sheetViews>
  <sheetFormatPr defaultRowHeight="12.5"/>
  <cols>
    <col min="1" max="1" width="42.7265625" style="50" customWidth="1"/>
    <col min="2" max="2" width="13.54296875" style="52" customWidth="1"/>
    <col min="3" max="3" width="11.7265625" style="52" customWidth="1"/>
    <col min="4" max="4" width="12.1796875" style="52" customWidth="1"/>
    <col min="5" max="5" width="9.54296875" customWidth="1"/>
    <col min="6" max="6" width="12.81640625" style="52" bestFit="1" customWidth="1"/>
    <col min="7" max="7" width="12.453125" style="52" customWidth="1"/>
    <col min="8" max="8" width="12.26953125" style="99" customWidth="1"/>
  </cols>
  <sheetData>
    <row r="1" spans="1:10" ht="13" hidden="1">
      <c r="A1" s="13"/>
      <c r="E1" s="50"/>
    </row>
    <row r="2" spans="1:10" ht="13" hidden="1">
      <c r="A2" s="13"/>
      <c r="E2" s="50"/>
    </row>
    <row r="3" spans="1:10" hidden="1">
      <c r="E3" s="50"/>
    </row>
    <row r="4" spans="1:10" hidden="1">
      <c r="E4" s="50"/>
    </row>
    <row r="5" spans="1:10" hidden="1">
      <c r="A5" s="53"/>
      <c r="E5" s="50"/>
    </row>
    <row r="6" spans="1:10" ht="13" hidden="1" thickBot="1">
      <c r="E6" s="50"/>
    </row>
    <row r="7" spans="1:10" ht="13.5" customHeight="1" thickBot="1">
      <c r="A7" s="153"/>
      <c r="B7" s="184"/>
      <c r="C7" s="240"/>
      <c r="D7" s="722"/>
      <c r="E7" s="723"/>
      <c r="F7" s="184"/>
      <c r="G7" s="724"/>
      <c r="H7" s="725"/>
    </row>
    <row r="8" spans="1:10" s="4" customFormat="1" ht="32.25" customHeight="1" thickBot="1">
      <c r="A8" s="146"/>
      <c r="B8" s="56"/>
      <c r="C8" s="199"/>
      <c r="D8" s="189"/>
      <c r="E8" s="190"/>
      <c r="F8" s="56"/>
      <c r="G8" s="56"/>
      <c r="H8" s="186"/>
      <c r="J8" s="54"/>
    </row>
    <row r="9" spans="1:10" ht="18" customHeight="1">
      <c r="A9" s="104"/>
      <c r="B9" s="107"/>
      <c r="C9" s="107"/>
      <c r="D9" s="107"/>
      <c r="E9" s="109"/>
      <c r="F9" s="107"/>
      <c r="G9" s="107"/>
      <c r="H9" s="114"/>
    </row>
    <row r="10" spans="1:10" ht="18" customHeight="1">
      <c r="A10" s="53"/>
      <c r="E10" s="147"/>
      <c r="G10" s="185"/>
    </row>
    <row r="11" spans="1:10" ht="18" customHeight="1">
      <c r="A11" s="53"/>
      <c r="E11" s="147"/>
      <c r="G11" s="185"/>
    </row>
    <row r="12" spans="1:10" ht="18" customHeight="1">
      <c r="A12" s="53"/>
      <c r="E12" s="147"/>
      <c r="G12" s="185"/>
    </row>
    <row r="13" spans="1:10" ht="18" customHeight="1">
      <c r="A13" s="53"/>
      <c r="E13" s="147"/>
      <c r="G13" s="185"/>
    </row>
    <row r="14" spans="1:10" ht="18" customHeight="1">
      <c r="A14" s="53"/>
      <c r="E14" s="147"/>
      <c r="G14" s="185"/>
    </row>
    <row r="15" spans="1:10" ht="18" customHeight="1">
      <c r="A15" s="53"/>
      <c r="E15" s="147"/>
      <c r="G15" s="185"/>
    </row>
    <row r="16" spans="1:10" ht="18" customHeight="1">
      <c r="A16" s="53"/>
      <c r="E16" s="147"/>
      <c r="G16" s="185"/>
    </row>
    <row r="17" spans="1:7" ht="18" customHeight="1">
      <c r="A17" s="53"/>
      <c r="E17" s="147"/>
      <c r="G17" s="185"/>
    </row>
    <row r="18" spans="1:7" ht="18" customHeight="1">
      <c r="A18" s="53"/>
      <c r="E18" s="147"/>
      <c r="G18" s="185"/>
    </row>
    <row r="19" spans="1:7" ht="18" customHeight="1">
      <c r="A19" s="53"/>
      <c r="E19" s="147"/>
      <c r="G19" s="185"/>
    </row>
    <row r="20" spans="1:7" ht="18" customHeight="1">
      <c r="A20" s="103"/>
      <c r="E20" s="147"/>
      <c r="G20" s="185"/>
    </row>
    <row r="21" spans="1:7" ht="18" customHeight="1">
      <c r="A21" s="53"/>
      <c r="E21" s="147"/>
      <c r="G21" s="185"/>
    </row>
    <row r="22" spans="1:7" ht="18" customHeight="1">
      <c r="A22" s="53"/>
      <c r="E22" s="70"/>
      <c r="G22" s="185"/>
    </row>
    <row r="23" spans="1:7" ht="18" customHeight="1">
      <c r="A23" s="103"/>
      <c r="E23" s="147"/>
      <c r="G23" s="185"/>
    </row>
    <row r="24" spans="1:7" ht="18" customHeight="1">
      <c r="A24" s="103"/>
      <c r="E24" s="147"/>
      <c r="G24" s="185"/>
    </row>
    <row r="25" spans="1:7" ht="18" customHeight="1">
      <c r="A25" s="103"/>
      <c r="E25" s="147"/>
      <c r="G25" s="185"/>
    </row>
    <row r="26" spans="1:7" ht="18" customHeight="1">
      <c r="A26" s="53"/>
      <c r="E26" s="147"/>
      <c r="G26" s="185"/>
    </row>
    <row r="27" spans="1:7" ht="18" customHeight="1">
      <c r="A27" s="53"/>
      <c r="E27" s="147"/>
      <c r="G27" s="185"/>
    </row>
    <row r="28" spans="1:7" ht="18" customHeight="1">
      <c r="A28" s="53"/>
      <c r="E28" s="147"/>
      <c r="G28" s="185"/>
    </row>
    <row r="29" spans="1:7" ht="18" customHeight="1">
      <c r="A29" s="53"/>
      <c r="E29" s="147"/>
      <c r="G29" s="185"/>
    </row>
    <row r="30" spans="1:7" ht="18" customHeight="1">
      <c r="A30" s="53"/>
      <c r="E30" s="147"/>
      <c r="G30" s="185"/>
    </row>
    <row r="31" spans="1:7" ht="18" customHeight="1">
      <c r="A31" s="53"/>
      <c r="E31" s="147"/>
      <c r="G31" s="185"/>
    </row>
    <row r="32" spans="1:7" ht="18" customHeight="1">
      <c r="A32" s="53"/>
      <c r="E32" s="147"/>
      <c r="G32" s="185"/>
    </row>
    <row r="33" spans="1:8" ht="18" customHeight="1">
      <c r="A33" s="53"/>
      <c r="E33" s="147"/>
      <c r="F33" s="69"/>
      <c r="G33" s="185"/>
    </row>
    <row r="34" spans="1:8" s="4" customFormat="1" ht="18" customHeight="1" thickBot="1">
      <c r="A34" s="130"/>
      <c r="B34" s="75"/>
      <c r="C34" s="75"/>
      <c r="D34" s="75"/>
      <c r="E34" s="149"/>
      <c r="F34" s="75"/>
      <c r="G34" s="187"/>
      <c r="H34" s="129"/>
    </row>
    <row r="35" spans="1:8" ht="18" customHeight="1">
      <c r="A35" s="64"/>
      <c r="B35" s="12"/>
      <c r="C35" s="12"/>
      <c r="E35" s="147"/>
      <c r="F35" s="12"/>
      <c r="G35" s="185"/>
    </row>
    <row r="36" spans="1:8" ht="18" customHeight="1">
      <c r="A36" s="64"/>
      <c r="B36" s="12"/>
      <c r="C36" s="12"/>
      <c r="E36" s="148"/>
      <c r="F36" s="12"/>
      <c r="G36" s="185"/>
    </row>
    <row r="37" spans="1:8" ht="18" customHeight="1">
      <c r="A37" s="73"/>
      <c r="B37" s="12"/>
      <c r="C37" s="12"/>
      <c r="E37" s="148"/>
      <c r="F37" s="12"/>
      <c r="G37" s="185"/>
    </row>
    <row r="38" spans="1:8" ht="18" customHeight="1">
      <c r="A38" s="73"/>
      <c r="B38" s="12"/>
      <c r="C38" s="12"/>
      <c r="E38" s="147"/>
      <c r="F38" s="12"/>
      <c r="G38" s="185"/>
    </row>
    <row r="39" spans="1:8" ht="18" customHeight="1">
      <c r="A39" s="73"/>
      <c r="B39" s="12"/>
      <c r="C39" s="12"/>
      <c r="E39" s="147"/>
      <c r="F39" s="12"/>
      <c r="G39" s="185"/>
    </row>
    <row r="40" spans="1:8" ht="18" customHeight="1">
      <c r="A40" s="73"/>
      <c r="G40" s="185"/>
    </row>
    <row r="41" spans="1:8" ht="18" customHeight="1">
      <c r="A41" s="73"/>
      <c r="E41" s="147"/>
      <c r="G41" s="185"/>
    </row>
    <row r="42" spans="1:8" s="196" customFormat="1" ht="18" customHeight="1" thickBot="1">
      <c r="A42" s="191"/>
      <c r="B42" s="192"/>
      <c r="C42" s="192"/>
      <c r="D42" s="192"/>
      <c r="E42" s="193"/>
      <c r="F42" s="192"/>
      <c r="G42" s="194"/>
      <c r="H42" s="195"/>
    </row>
    <row r="43" spans="1:8" ht="18" customHeight="1">
      <c r="A43" s="59"/>
      <c r="E43" s="147"/>
      <c r="G43" s="185"/>
    </row>
    <row r="44" spans="1:8" ht="18" customHeight="1">
      <c r="A44" s="59"/>
      <c r="E44" s="147"/>
      <c r="G44" s="185"/>
    </row>
    <row r="45" spans="1:8" ht="18" customHeight="1">
      <c r="A45" s="59"/>
      <c r="E45" s="147"/>
      <c r="G45" s="185"/>
    </row>
    <row r="46" spans="1:8" ht="18" customHeight="1">
      <c r="A46" s="59"/>
      <c r="E46" s="147"/>
      <c r="G46" s="185"/>
    </row>
    <row r="47" spans="1:8" ht="18" customHeight="1">
      <c r="A47" s="59"/>
      <c r="E47" s="147"/>
      <c r="G47" s="185"/>
    </row>
    <row r="48" spans="1:8" ht="18" customHeight="1">
      <c r="A48" s="59"/>
      <c r="E48" s="147"/>
      <c r="G48" s="185"/>
    </row>
    <row r="49" spans="1:8" ht="18" customHeight="1">
      <c r="A49" s="59"/>
      <c r="E49" s="147"/>
      <c r="G49" s="185"/>
    </row>
    <row r="50" spans="1:8" ht="18" customHeight="1">
      <c r="A50" s="59"/>
      <c r="E50" s="147"/>
      <c r="G50" s="185"/>
    </row>
    <row r="51" spans="1:8" ht="18" customHeight="1">
      <c r="A51" s="59"/>
      <c r="E51" s="147"/>
      <c r="G51" s="185"/>
    </row>
    <row r="52" spans="1:8" ht="18" customHeight="1">
      <c r="A52" s="53"/>
      <c r="E52" s="147"/>
      <c r="G52" s="185"/>
    </row>
    <row r="53" spans="1:8" ht="18" customHeight="1">
      <c r="A53" s="53"/>
      <c r="E53" s="147"/>
      <c r="G53" s="185"/>
    </row>
    <row r="54" spans="1:8" ht="18" customHeight="1">
      <c r="A54" s="63"/>
      <c r="E54" s="147"/>
      <c r="G54" s="185"/>
    </row>
    <row r="55" spans="1:8" ht="18" customHeight="1">
      <c r="A55" s="63"/>
      <c r="E55" s="147"/>
      <c r="G55" s="185"/>
    </row>
    <row r="56" spans="1:8" ht="18" customHeight="1">
      <c r="A56" s="63"/>
      <c r="E56" s="147"/>
      <c r="G56" s="185"/>
    </row>
    <row r="57" spans="1:8" ht="18" customHeight="1">
      <c r="A57" s="63"/>
      <c r="E57" s="147"/>
      <c r="G57" s="185"/>
    </row>
    <row r="58" spans="1:8" ht="18" customHeight="1">
      <c r="A58" s="63"/>
      <c r="E58" s="147"/>
      <c r="G58" s="185"/>
    </row>
    <row r="59" spans="1:8" ht="18" customHeight="1">
      <c r="A59" s="63"/>
      <c r="E59" s="147"/>
      <c r="G59" s="185"/>
    </row>
    <row r="60" spans="1:8" ht="18" customHeight="1">
      <c r="A60" s="63"/>
      <c r="E60" s="147"/>
      <c r="G60" s="185"/>
    </row>
    <row r="61" spans="1:8" s="4" customFormat="1" ht="18" customHeight="1" thickBot="1">
      <c r="A61" s="54"/>
      <c r="B61" s="75"/>
      <c r="C61" s="75"/>
      <c r="D61" s="75"/>
      <c r="E61" s="76"/>
      <c r="F61" s="75"/>
      <c r="G61" s="187"/>
      <c r="H61" s="129"/>
    </row>
    <row r="62" spans="1:8" ht="18" customHeight="1">
      <c r="A62" s="64"/>
      <c r="B62" s="12"/>
      <c r="C62" s="12"/>
      <c r="E62" s="147"/>
      <c r="F62" s="12"/>
      <c r="G62" s="185"/>
    </row>
    <row r="63" spans="1:8" ht="18" customHeight="1">
      <c r="A63" s="64"/>
      <c r="B63" s="12"/>
      <c r="C63" s="12"/>
      <c r="E63" s="148"/>
      <c r="F63" s="12"/>
      <c r="G63" s="185"/>
    </row>
    <row r="64" spans="1:8" ht="18" customHeight="1">
      <c r="A64" s="73"/>
      <c r="B64" s="12"/>
      <c r="C64" s="12"/>
      <c r="E64" s="147"/>
      <c r="F64" s="12"/>
      <c r="G64" s="185"/>
    </row>
    <row r="65" spans="1:8" ht="18" customHeight="1">
      <c r="A65" s="73"/>
      <c r="B65" s="12"/>
      <c r="C65" s="12"/>
      <c r="F65" s="12"/>
      <c r="G65" s="185"/>
    </row>
    <row r="66" spans="1:8" ht="18" customHeight="1">
      <c r="A66" s="73"/>
      <c r="B66" s="12"/>
      <c r="C66" s="12"/>
      <c r="E66" s="147"/>
      <c r="F66" s="12"/>
      <c r="G66" s="185"/>
    </row>
    <row r="67" spans="1:8" ht="18" customHeight="1">
      <c r="A67" s="73"/>
      <c r="B67" s="12"/>
      <c r="C67" s="12"/>
      <c r="E67" s="147"/>
      <c r="F67" s="12"/>
      <c r="G67" s="185"/>
    </row>
    <row r="68" spans="1:8" ht="18" customHeight="1">
      <c r="A68" s="73"/>
      <c r="B68" s="12"/>
      <c r="C68" s="12"/>
      <c r="E68" s="70"/>
      <c r="F68" s="12"/>
      <c r="G68" s="185"/>
    </row>
    <row r="69" spans="1:8" ht="18" customHeight="1">
      <c r="A69" s="73"/>
      <c r="E69" s="147"/>
      <c r="G69" s="185"/>
    </row>
    <row r="70" spans="1:8" s="196" customFormat="1" ht="18" customHeight="1" thickBot="1">
      <c r="A70" s="191"/>
      <c r="B70" s="192"/>
      <c r="C70" s="192"/>
      <c r="D70" s="192"/>
      <c r="E70" s="193"/>
      <c r="F70" s="192"/>
      <c r="G70" s="194"/>
      <c r="H70" s="195"/>
    </row>
    <row r="71" spans="1:8" ht="18" customHeight="1">
      <c r="A71" s="57"/>
      <c r="E71" s="147"/>
      <c r="G71" s="185"/>
    </row>
    <row r="72" spans="1:8" ht="18" customHeight="1">
      <c r="A72" s="57"/>
      <c r="E72" s="147"/>
      <c r="G72" s="185"/>
    </row>
    <row r="73" spans="1:8" ht="18" customHeight="1">
      <c r="A73" s="59"/>
      <c r="E73" s="147"/>
      <c r="G73" s="185"/>
    </row>
    <row r="74" spans="1:8" ht="18" customHeight="1">
      <c r="A74" s="59"/>
      <c r="E74" s="147"/>
      <c r="G74" s="185"/>
    </row>
    <row r="75" spans="1:8" ht="18" customHeight="1">
      <c r="A75" s="57"/>
      <c r="E75" s="147"/>
      <c r="G75" s="185"/>
    </row>
    <row r="76" spans="1:8" ht="18" customHeight="1">
      <c r="A76" s="57"/>
      <c r="E76" s="147"/>
      <c r="G76" s="185"/>
    </row>
    <row r="77" spans="1:8" ht="18" customHeight="1">
      <c r="A77" s="57"/>
      <c r="E77" s="147"/>
      <c r="G77" s="185"/>
    </row>
    <row r="78" spans="1:8" ht="18" customHeight="1">
      <c r="A78" s="57"/>
      <c r="E78" s="147"/>
      <c r="G78" s="185"/>
    </row>
    <row r="79" spans="1:8" ht="18" customHeight="1">
      <c r="A79" s="57"/>
      <c r="E79" s="147"/>
      <c r="G79" s="185"/>
    </row>
    <row r="80" spans="1:8" ht="18" customHeight="1">
      <c r="A80" s="59"/>
      <c r="E80" s="147"/>
      <c r="G80" s="185"/>
    </row>
    <row r="81" spans="1:8" ht="18" customHeight="1">
      <c r="A81" s="59"/>
      <c r="E81" s="147"/>
      <c r="G81" s="185"/>
    </row>
    <row r="82" spans="1:8" ht="18" customHeight="1">
      <c r="A82" s="59"/>
      <c r="E82" s="147"/>
      <c r="G82" s="185"/>
    </row>
    <row r="83" spans="1:8" ht="18" customHeight="1">
      <c r="A83" s="59"/>
      <c r="E83" s="70"/>
      <c r="G83" s="185"/>
    </row>
    <row r="84" spans="1:8" ht="18" customHeight="1">
      <c r="A84" s="59"/>
      <c r="E84" s="147"/>
      <c r="G84" s="185"/>
    </row>
    <row r="85" spans="1:8" ht="18" customHeight="1">
      <c r="A85" s="59"/>
      <c r="E85" s="147"/>
      <c r="G85" s="185"/>
    </row>
    <row r="86" spans="1:8" ht="18" customHeight="1">
      <c r="A86" s="59"/>
      <c r="E86" s="147"/>
      <c r="G86" s="185"/>
    </row>
    <row r="87" spans="1:8" ht="18" customHeight="1">
      <c r="A87" s="59"/>
      <c r="E87" s="147"/>
      <c r="G87" s="185"/>
    </row>
    <row r="88" spans="1:8" ht="18" customHeight="1">
      <c r="A88" s="53"/>
      <c r="E88" s="147"/>
      <c r="F88" s="69"/>
      <c r="G88" s="185"/>
    </row>
    <row r="89" spans="1:8" s="4" customFormat="1" ht="18" customHeight="1" thickBot="1">
      <c r="A89" s="54"/>
      <c r="B89" s="75"/>
      <c r="C89" s="75"/>
      <c r="D89" s="75"/>
      <c r="E89" s="76"/>
      <c r="F89" s="75"/>
      <c r="G89" s="187"/>
      <c r="H89" s="129"/>
    </row>
    <row r="90" spans="1:8" s="13" customFormat="1" ht="18" customHeight="1">
      <c r="A90" s="64"/>
      <c r="B90" s="12"/>
      <c r="C90" s="12"/>
      <c r="D90" s="12"/>
      <c r="E90" s="148"/>
      <c r="F90" s="12"/>
      <c r="G90" s="197"/>
      <c r="H90" s="97"/>
    </row>
    <row r="91" spans="1:8" ht="18" customHeight="1">
      <c r="A91" s="64"/>
      <c r="B91" s="12"/>
      <c r="C91" s="12"/>
      <c r="E91" s="147"/>
      <c r="F91" s="12"/>
      <c r="G91" s="185"/>
    </row>
    <row r="92" spans="1:8" ht="18" customHeight="1">
      <c r="A92" s="73"/>
      <c r="B92" s="12"/>
      <c r="C92" s="12"/>
      <c r="E92" s="147"/>
      <c r="F92" s="12"/>
      <c r="G92" s="185"/>
    </row>
    <row r="93" spans="1:8" ht="18" customHeight="1">
      <c r="A93" s="73"/>
      <c r="B93" s="12"/>
      <c r="C93" s="12"/>
      <c r="E93" s="147"/>
      <c r="F93" s="12"/>
      <c r="G93" s="185"/>
    </row>
    <row r="94" spans="1:8" ht="18" customHeight="1">
      <c r="A94" s="73"/>
      <c r="B94" s="12"/>
      <c r="C94" s="12"/>
      <c r="E94" s="147"/>
      <c r="F94" s="12"/>
      <c r="G94" s="185"/>
    </row>
    <row r="95" spans="1:8" ht="18" customHeight="1">
      <c r="A95" s="83"/>
      <c r="E95" s="147"/>
      <c r="G95" s="185"/>
    </row>
    <row r="96" spans="1:8" ht="18" customHeight="1">
      <c r="A96" s="83"/>
      <c r="E96" s="147"/>
      <c r="G96" s="185"/>
    </row>
    <row r="97" spans="1:8" ht="18" customHeight="1">
      <c r="A97" s="64"/>
      <c r="E97" s="147"/>
      <c r="G97" s="185"/>
    </row>
    <row r="98" spans="1:8" s="196" customFormat="1" ht="18" customHeight="1" thickBot="1">
      <c r="A98" s="191"/>
      <c r="B98" s="192"/>
      <c r="C98" s="192"/>
      <c r="D98" s="192"/>
      <c r="E98" s="193"/>
      <c r="F98" s="192"/>
      <c r="G98" s="194"/>
      <c r="H98" s="195"/>
    </row>
    <row r="99" spans="1:8" ht="18" customHeight="1">
      <c r="A99" s="53"/>
      <c r="E99" s="147"/>
      <c r="F99" s="69"/>
      <c r="G99" s="185"/>
    </row>
    <row r="100" spans="1:8" ht="18" customHeight="1">
      <c r="A100" s="53"/>
      <c r="E100" s="147"/>
      <c r="F100" s="155"/>
      <c r="G100" s="185"/>
    </row>
    <row r="101" spans="1:8" ht="18" customHeight="1">
      <c r="A101" s="53"/>
      <c r="E101" s="147"/>
      <c r="G101" s="185"/>
      <c r="H101" s="70"/>
    </row>
    <row r="102" spans="1:8" ht="18" customHeight="1">
      <c r="A102" s="59"/>
      <c r="E102" s="147"/>
      <c r="G102" s="185"/>
    </row>
    <row r="103" spans="1:8" ht="18" customHeight="1">
      <c r="A103" s="57"/>
      <c r="E103" s="147"/>
      <c r="G103" s="185"/>
    </row>
    <row r="104" spans="1:8" ht="18" customHeight="1">
      <c r="A104" s="57"/>
      <c r="E104" s="147"/>
      <c r="G104" s="185"/>
    </row>
    <row r="105" spans="1:8" ht="18" customHeight="1">
      <c r="A105" s="63"/>
      <c r="E105" s="147"/>
      <c r="F105" s="69"/>
      <c r="G105" s="185"/>
    </row>
    <row r="106" spans="1:8" ht="18" customHeight="1">
      <c r="A106" s="63"/>
      <c r="E106" s="147"/>
      <c r="F106" s="69"/>
      <c r="G106" s="185"/>
    </row>
    <row r="107" spans="1:8" ht="18" customHeight="1">
      <c r="A107" s="63"/>
      <c r="E107" s="147"/>
      <c r="G107" s="185"/>
    </row>
    <row r="108" spans="1:8" ht="18" customHeight="1">
      <c r="A108" s="63"/>
      <c r="E108" s="70"/>
      <c r="G108" s="185"/>
    </row>
    <row r="109" spans="1:8" s="4" customFormat="1" ht="18" customHeight="1" thickBot="1">
      <c r="A109" s="54"/>
      <c r="B109" s="75"/>
      <c r="C109" s="75"/>
      <c r="D109" s="75"/>
      <c r="E109" s="149"/>
      <c r="F109" s="75"/>
      <c r="G109" s="187"/>
      <c r="H109" s="129"/>
    </row>
    <row r="110" spans="1:8" s="13" customFormat="1" ht="18" customHeight="1">
      <c r="A110" s="64"/>
      <c r="B110" s="12"/>
      <c r="C110" s="12"/>
      <c r="D110" s="12"/>
      <c r="E110" s="148"/>
      <c r="F110" s="12"/>
      <c r="G110" s="197"/>
      <c r="H110" s="97"/>
    </row>
    <row r="111" spans="1:8" ht="18" customHeight="1">
      <c r="A111" s="64"/>
      <c r="B111" s="12"/>
      <c r="C111" s="12"/>
      <c r="E111" s="147"/>
      <c r="F111" s="12"/>
      <c r="G111" s="185"/>
    </row>
    <row r="112" spans="1:8" ht="18" customHeight="1">
      <c r="A112" s="73"/>
      <c r="E112" s="147"/>
      <c r="G112" s="185"/>
    </row>
    <row r="113" spans="1:8" ht="18" customHeight="1">
      <c r="A113" s="73"/>
      <c r="E113" s="147"/>
      <c r="G113" s="185"/>
    </row>
    <row r="114" spans="1:8" ht="18" customHeight="1">
      <c r="A114" s="73"/>
      <c r="E114" s="147"/>
      <c r="G114" s="185"/>
    </row>
    <row r="115" spans="1:8" ht="18" customHeight="1">
      <c r="A115" s="73"/>
      <c r="E115" s="147"/>
      <c r="G115" s="185"/>
    </row>
    <row r="116" spans="1:8" ht="18" customHeight="1">
      <c r="A116" s="73"/>
      <c r="E116" s="147"/>
      <c r="G116" s="185"/>
    </row>
    <row r="117" spans="1:8" ht="18" customHeight="1">
      <c r="A117" s="73"/>
      <c r="E117" s="147"/>
      <c r="G117" s="185"/>
    </row>
    <row r="118" spans="1:8" ht="18" customHeight="1">
      <c r="A118" s="73"/>
      <c r="E118" s="147"/>
      <c r="G118" s="185"/>
    </row>
    <row r="119" spans="1:8" ht="18" customHeight="1">
      <c r="A119" s="73"/>
      <c r="E119" s="147"/>
      <c r="G119" s="185"/>
    </row>
    <row r="120" spans="1:8" s="196" customFormat="1" ht="18" customHeight="1" thickBot="1">
      <c r="A120" s="191"/>
      <c r="B120" s="192"/>
      <c r="C120" s="192"/>
      <c r="D120" s="192"/>
      <c r="E120" s="193"/>
      <c r="F120" s="192"/>
      <c r="G120" s="194"/>
      <c r="H120" s="195"/>
    </row>
    <row r="121" spans="1:8" ht="18" customHeight="1">
      <c r="A121" s="59"/>
      <c r="E121" s="147"/>
      <c r="G121" s="185"/>
    </row>
    <row r="122" spans="1:8" ht="18" customHeight="1">
      <c r="A122" s="59"/>
      <c r="E122" s="147"/>
      <c r="G122" s="185"/>
    </row>
    <row r="123" spans="1:8" ht="18" customHeight="1">
      <c r="A123" s="59"/>
      <c r="E123" s="147"/>
      <c r="G123" s="185"/>
    </row>
    <row r="124" spans="1:8" ht="18" customHeight="1">
      <c r="A124" s="59"/>
      <c r="E124" s="147"/>
      <c r="G124" s="185"/>
    </row>
    <row r="125" spans="1:8" ht="18" customHeight="1">
      <c r="A125" s="57"/>
      <c r="E125" s="147"/>
      <c r="G125" s="185"/>
    </row>
    <row r="126" spans="1:8" ht="18" customHeight="1">
      <c r="A126" s="57"/>
      <c r="E126" s="147"/>
      <c r="G126" s="185"/>
    </row>
    <row r="127" spans="1:8" ht="18" customHeight="1">
      <c r="A127" s="57"/>
      <c r="E127" s="147"/>
      <c r="G127" s="185"/>
    </row>
    <row r="128" spans="1:8" ht="18" customHeight="1">
      <c r="A128" s="57"/>
      <c r="E128" s="147"/>
      <c r="G128" s="185"/>
    </row>
    <row r="129" spans="1:8" ht="18" customHeight="1">
      <c r="A129" s="57"/>
      <c r="E129" s="147"/>
      <c r="G129" s="185"/>
    </row>
    <row r="130" spans="1:8" ht="18" customHeight="1">
      <c r="A130" s="57"/>
      <c r="E130" s="147"/>
      <c r="G130" s="185"/>
    </row>
    <row r="131" spans="1:8" ht="18" customHeight="1">
      <c r="A131" s="57"/>
      <c r="E131" s="147"/>
      <c r="G131" s="185"/>
    </row>
    <row r="132" spans="1:8" ht="18" customHeight="1">
      <c r="A132" s="57"/>
      <c r="E132" s="147"/>
      <c r="G132" s="185"/>
    </row>
    <row r="133" spans="1:8" ht="18" customHeight="1">
      <c r="A133" s="57"/>
      <c r="E133" s="147"/>
      <c r="G133" s="185"/>
    </row>
    <row r="134" spans="1:8" ht="18" customHeight="1">
      <c r="A134" s="63"/>
      <c r="E134" s="147"/>
      <c r="G134" s="185"/>
    </row>
    <row r="135" spans="1:8" ht="18" customHeight="1">
      <c r="A135" s="63"/>
      <c r="E135" s="147"/>
      <c r="G135" s="185"/>
    </row>
    <row r="136" spans="1:8" s="4" customFormat="1" ht="18" customHeight="1" thickBot="1">
      <c r="A136" s="54"/>
      <c r="B136" s="75"/>
      <c r="C136" s="75"/>
      <c r="D136" s="75"/>
      <c r="E136" s="76"/>
      <c r="F136" s="75"/>
      <c r="G136" s="187"/>
      <c r="H136" s="129"/>
    </row>
    <row r="137" spans="1:8" s="13" customFormat="1" ht="18" customHeight="1">
      <c r="A137" s="64"/>
      <c r="B137" s="12"/>
      <c r="C137" s="12"/>
      <c r="D137" s="12"/>
      <c r="E137" s="148"/>
      <c r="F137" s="12"/>
      <c r="G137" s="197"/>
      <c r="H137" s="97"/>
    </row>
    <row r="138" spans="1:8" ht="18" customHeight="1">
      <c r="A138" s="64"/>
      <c r="B138" s="12"/>
      <c r="C138" s="12"/>
      <c r="E138" s="147"/>
      <c r="F138" s="12"/>
      <c r="G138" s="185"/>
    </row>
    <row r="139" spans="1:8" ht="18" customHeight="1">
      <c r="A139" s="73"/>
      <c r="B139" s="12"/>
      <c r="C139" s="12"/>
      <c r="E139" s="147"/>
      <c r="F139" s="12"/>
      <c r="G139" s="185"/>
    </row>
    <row r="140" spans="1:8" ht="18" customHeight="1">
      <c r="A140" s="73"/>
      <c r="B140" s="12"/>
      <c r="C140" s="12"/>
      <c r="E140" s="147"/>
      <c r="F140" s="12"/>
      <c r="G140" s="185"/>
    </row>
    <row r="141" spans="1:8" ht="18" customHeight="1">
      <c r="A141" s="13"/>
      <c r="B141" s="12"/>
      <c r="C141" s="12"/>
      <c r="E141" s="147"/>
      <c r="F141" s="12"/>
      <c r="G141" s="185"/>
    </row>
    <row r="142" spans="1:8" ht="18" customHeight="1">
      <c r="A142" s="73"/>
      <c r="B142" s="12"/>
      <c r="C142" s="12"/>
      <c r="E142" s="147"/>
      <c r="F142" s="12"/>
      <c r="G142" s="185"/>
    </row>
    <row r="143" spans="1:8" ht="18" customHeight="1">
      <c r="A143" s="73"/>
      <c r="B143" s="12"/>
      <c r="C143" s="12"/>
      <c r="E143" s="147"/>
      <c r="F143" s="12"/>
      <c r="G143" s="185"/>
    </row>
    <row r="144" spans="1:8" ht="18" customHeight="1">
      <c r="A144" s="73"/>
      <c r="B144" s="12"/>
      <c r="C144" s="12"/>
      <c r="E144" s="147"/>
      <c r="F144" s="12"/>
      <c r="G144" s="185"/>
    </row>
    <row r="145" spans="1:8" ht="18" customHeight="1">
      <c r="A145" s="73"/>
      <c r="E145" s="147"/>
      <c r="G145" s="185"/>
    </row>
    <row r="146" spans="1:8" ht="18" customHeight="1">
      <c r="A146" s="73"/>
      <c r="E146" s="147"/>
      <c r="G146" s="185"/>
    </row>
    <row r="147" spans="1:8" s="198" customFormat="1" ht="18" customHeight="1" thickBot="1">
      <c r="A147" s="191"/>
      <c r="B147" s="192"/>
      <c r="C147" s="192"/>
      <c r="D147" s="192"/>
      <c r="E147" s="193"/>
      <c r="F147" s="192"/>
      <c r="G147" s="194"/>
      <c r="H147" s="195"/>
    </row>
    <row r="148" spans="1:8" ht="18" customHeight="1">
      <c r="A148" s="59"/>
      <c r="E148" s="147"/>
      <c r="G148" s="185"/>
    </row>
    <row r="149" spans="1:8" ht="18" customHeight="1">
      <c r="A149" s="57"/>
      <c r="E149" s="147"/>
      <c r="G149" s="185"/>
    </row>
    <row r="150" spans="1:8" ht="18" customHeight="1">
      <c r="A150" s="57"/>
      <c r="E150" s="147"/>
      <c r="G150" s="185"/>
    </row>
    <row r="151" spans="1:8" ht="18" customHeight="1">
      <c r="A151" s="57"/>
      <c r="E151" s="147"/>
      <c r="G151" s="185"/>
    </row>
    <row r="152" spans="1:8" ht="18" customHeight="1">
      <c r="A152" s="57"/>
      <c r="E152" s="147"/>
      <c r="G152" s="185"/>
    </row>
    <row r="153" spans="1:8" ht="18" customHeight="1">
      <c r="A153" s="57"/>
      <c r="E153" s="147"/>
      <c r="G153" s="185"/>
    </row>
    <row r="154" spans="1:8" ht="18" customHeight="1">
      <c r="A154" s="57"/>
      <c r="E154" s="147"/>
      <c r="G154" s="185"/>
    </row>
    <row r="155" spans="1:8" s="4" customFormat="1" ht="18" customHeight="1" thickBot="1">
      <c r="A155" s="82"/>
      <c r="B155" s="75"/>
      <c r="C155" s="75"/>
      <c r="D155" s="75"/>
      <c r="E155" s="149"/>
      <c r="F155" s="75"/>
      <c r="G155" s="187"/>
      <c r="H155" s="129"/>
    </row>
    <row r="156" spans="1:8" s="13" customFormat="1" ht="18" customHeight="1">
      <c r="A156" s="85"/>
      <c r="B156" s="136"/>
      <c r="C156" s="136"/>
      <c r="D156" s="12"/>
      <c r="E156" s="148"/>
      <c r="F156" s="136"/>
      <c r="G156" s="197"/>
      <c r="H156" s="97"/>
    </row>
    <row r="157" spans="1:8" ht="18" customHeight="1">
      <c r="A157" s="64"/>
      <c r="E157" s="147"/>
      <c r="G157" s="185"/>
    </row>
    <row r="158" spans="1:8" ht="18" customHeight="1">
      <c r="A158" s="73"/>
      <c r="E158" s="147"/>
      <c r="G158" s="185"/>
    </row>
    <row r="159" spans="1:8" ht="18" customHeight="1">
      <c r="A159" s="83"/>
      <c r="E159" s="147"/>
      <c r="G159" s="185"/>
    </row>
    <row r="160" spans="1:8" ht="18" customHeight="1">
      <c r="A160" s="73"/>
      <c r="E160" s="147"/>
      <c r="G160" s="185"/>
    </row>
    <row r="161" spans="1:8" ht="18" customHeight="1">
      <c r="E161" s="147"/>
      <c r="G161" s="185"/>
    </row>
    <row r="162" spans="1:8" s="196" customFormat="1" ht="18" customHeight="1" thickBot="1">
      <c r="A162" s="191"/>
      <c r="B162" s="192"/>
      <c r="C162" s="192"/>
      <c r="D162" s="192"/>
      <c r="E162" s="193"/>
      <c r="F162" s="192"/>
      <c r="G162" s="194"/>
      <c r="H162" s="195"/>
    </row>
    <row r="163" spans="1:8" ht="18" customHeight="1">
      <c r="A163" s="53"/>
      <c r="B163" s="62"/>
      <c r="E163" s="147"/>
      <c r="F163" s="62"/>
      <c r="G163" s="185"/>
    </row>
    <row r="164" spans="1:8" ht="18" customHeight="1">
      <c r="A164" s="57"/>
      <c r="E164" s="147"/>
      <c r="G164" s="185"/>
    </row>
    <row r="165" spans="1:8" ht="18" customHeight="1">
      <c r="A165" s="57"/>
      <c r="E165" s="147"/>
      <c r="G165" s="185"/>
    </row>
    <row r="166" spans="1:8" ht="18" customHeight="1">
      <c r="A166" s="57"/>
      <c r="E166" s="147"/>
      <c r="G166" s="185"/>
    </row>
    <row r="167" spans="1:8" ht="18" customHeight="1">
      <c r="A167" s="57"/>
      <c r="E167" s="147"/>
      <c r="G167" s="185"/>
    </row>
    <row r="168" spans="1:8" ht="18" customHeight="1">
      <c r="A168" s="57"/>
      <c r="B168" s="62"/>
      <c r="E168" s="147"/>
      <c r="G168" s="185"/>
    </row>
    <row r="169" spans="1:8" ht="18" customHeight="1">
      <c r="A169" s="57"/>
      <c r="E169" s="147"/>
      <c r="G169" s="185"/>
    </row>
    <row r="170" spans="1:8" ht="18" customHeight="1">
      <c r="A170" s="57"/>
      <c r="E170" s="70"/>
      <c r="G170" s="185"/>
    </row>
    <row r="171" spans="1:8" ht="18" customHeight="1">
      <c r="A171" s="57"/>
      <c r="E171" s="70"/>
      <c r="G171" s="185"/>
    </row>
    <row r="172" spans="1:8" ht="18" customHeight="1">
      <c r="A172" s="59"/>
      <c r="E172" s="147"/>
      <c r="G172" s="185"/>
    </row>
    <row r="173" spans="1:8" ht="18" customHeight="1">
      <c r="A173" s="59"/>
      <c r="E173" s="147"/>
      <c r="G173" s="185"/>
    </row>
    <row r="174" spans="1:8" ht="18" customHeight="1">
      <c r="A174" s="57"/>
      <c r="E174" s="147"/>
      <c r="G174" s="185"/>
    </row>
    <row r="175" spans="1:8" ht="18" customHeight="1">
      <c r="A175" s="53"/>
      <c r="B175" s="69"/>
      <c r="E175" s="147"/>
      <c r="F175" s="69"/>
      <c r="G175" s="185"/>
    </row>
    <row r="176" spans="1:8" ht="18" customHeight="1">
      <c r="A176" s="53"/>
      <c r="B176" s="69"/>
      <c r="E176" s="147"/>
      <c r="F176" s="69"/>
      <c r="G176" s="185"/>
    </row>
    <row r="177" spans="1:8" ht="18" customHeight="1">
      <c r="A177" s="53"/>
      <c r="B177" s="69"/>
      <c r="E177" s="147"/>
      <c r="F177" s="69"/>
      <c r="G177" s="185"/>
    </row>
    <row r="178" spans="1:8" ht="18" customHeight="1">
      <c r="A178" s="53"/>
      <c r="B178" s="69"/>
      <c r="E178" s="147"/>
      <c r="F178" s="69"/>
      <c r="G178" s="185"/>
    </row>
    <row r="179" spans="1:8" ht="18" customHeight="1">
      <c r="A179" s="53"/>
      <c r="B179" s="69"/>
      <c r="E179" s="147"/>
      <c r="F179" s="69"/>
      <c r="G179" s="185"/>
    </row>
    <row r="180" spans="1:8" ht="18" customHeight="1">
      <c r="A180" s="63"/>
      <c r="B180" s="62"/>
      <c r="E180" s="147"/>
      <c r="F180" s="155"/>
      <c r="G180" s="185"/>
      <c r="H180" s="70"/>
    </row>
    <row r="181" spans="1:8" ht="18" customHeight="1">
      <c r="A181" s="53"/>
      <c r="B181" s="69"/>
      <c r="E181" s="147"/>
      <c r="F181" s="69"/>
      <c r="G181" s="185"/>
    </row>
    <row r="182" spans="1:8" ht="18" customHeight="1">
      <c r="A182" s="63"/>
      <c r="B182" s="155"/>
      <c r="E182" s="70"/>
      <c r="F182" s="69"/>
      <c r="G182" s="185"/>
      <c r="H182" s="70"/>
    </row>
    <row r="183" spans="1:8" ht="18" customHeight="1">
      <c r="A183" s="63"/>
      <c r="B183" s="155"/>
      <c r="E183" s="70"/>
      <c r="F183" s="69"/>
      <c r="G183" s="185"/>
      <c r="H183" s="70"/>
    </row>
    <row r="184" spans="1:8" s="4" customFormat="1" ht="18" customHeight="1" thickBot="1">
      <c r="A184" s="54"/>
      <c r="B184" s="156"/>
      <c r="C184" s="75"/>
      <c r="D184" s="75"/>
      <c r="E184" s="76"/>
      <c r="F184" s="75"/>
      <c r="G184" s="187"/>
      <c r="H184" s="76"/>
    </row>
    <row r="185" spans="1:8" s="115" customFormat="1" ht="18" customHeight="1">
      <c r="A185" s="116"/>
      <c r="B185" s="142"/>
      <c r="C185" s="142"/>
      <c r="D185" s="107"/>
      <c r="E185" s="150"/>
      <c r="F185" s="142"/>
      <c r="G185" s="188"/>
      <c r="H185" s="114"/>
    </row>
    <row r="186" spans="1:8" ht="18" customHeight="1">
      <c r="A186" s="64"/>
      <c r="B186" s="46"/>
      <c r="C186" s="46"/>
      <c r="E186" s="147"/>
      <c r="F186" s="46"/>
      <c r="G186" s="185"/>
    </row>
    <row r="187" spans="1:8" ht="18" customHeight="1">
      <c r="A187" s="73"/>
      <c r="B187" s="46"/>
      <c r="C187" s="46"/>
      <c r="E187" s="147"/>
      <c r="F187" s="46"/>
      <c r="G187" s="185"/>
    </row>
    <row r="188" spans="1:8" ht="18" customHeight="1">
      <c r="A188" s="63"/>
      <c r="B188" s="69"/>
      <c r="C188" s="69"/>
      <c r="E188" s="147"/>
      <c r="F188" s="69"/>
      <c r="G188" s="185"/>
    </row>
    <row r="189" spans="1:8" ht="18" customHeight="1">
      <c r="A189" s="63"/>
      <c r="B189" s="69"/>
      <c r="C189" s="69"/>
      <c r="E189" s="147"/>
      <c r="F189" s="69"/>
      <c r="G189" s="185"/>
    </row>
    <row r="190" spans="1:8" s="115" customFormat="1" ht="18" customHeight="1">
      <c r="A190" s="116"/>
      <c r="B190" s="132"/>
      <c r="C190" s="132"/>
      <c r="D190" s="132"/>
      <c r="E190" s="151"/>
      <c r="F190" s="132"/>
      <c r="G190" s="132"/>
      <c r="H190" s="135"/>
    </row>
    <row r="191" spans="1:8" ht="18" customHeight="1">
      <c r="E191" s="147"/>
      <c r="F191" s="243"/>
    </row>
    <row r="192" spans="1:8" ht="18" customHeight="1">
      <c r="C192" s="202"/>
      <c r="D192" s="202"/>
      <c r="E192" s="147"/>
    </row>
    <row r="193" spans="3:5" ht="18" customHeight="1">
      <c r="C193" s="207"/>
      <c r="D193" s="207"/>
      <c r="E193" s="147"/>
    </row>
    <row r="194" spans="3:5" ht="18" customHeight="1">
      <c r="C194" s="205"/>
      <c r="D194" s="205"/>
      <c r="E194" s="147"/>
    </row>
    <row r="195" spans="3:5" ht="18" customHeight="1">
      <c r="E195" s="147"/>
    </row>
    <row r="196" spans="3:5" ht="18" customHeight="1">
      <c r="E196" s="147"/>
    </row>
    <row r="197" spans="3:5" ht="18" customHeight="1">
      <c r="E197" s="147"/>
    </row>
    <row r="198" spans="3:5" ht="18" customHeight="1">
      <c r="E198" s="147"/>
    </row>
    <row r="199" spans="3:5" ht="18" customHeight="1">
      <c r="E199" s="147"/>
    </row>
    <row r="200" spans="3:5" ht="18" customHeight="1">
      <c r="E200" s="147"/>
    </row>
    <row r="201" spans="3:5" ht="18" customHeight="1">
      <c r="E201" s="147"/>
    </row>
    <row r="202" spans="3:5" ht="18" customHeight="1">
      <c r="E202" s="147"/>
    </row>
    <row r="203" spans="3:5" ht="18" customHeight="1">
      <c r="E203" s="147"/>
    </row>
    <row r="204" spans="3:5" ht="18" customHeight="1">
      <c r="E204" s="147"/>
    </row>
    <row r="205" spans="3:5" ht="18" customHeight="1">
      <c r="E205" s="147"/>
    </row>
    <row r="206" spans="3:5" ht="18" customHeight="1">
      <c r="E206" s="147"/>
    </row>
    <row r="207" spans="3:5" ht="18" customHeight="1">
      <c r="E207" s="147"/>
    </row>
    <row r="208" spans="3:5" ht="18" customHeight="1">
      <c r="E208" s="147"/>
    </row>
    <row r="209" spans="5:5" ht="18" customHeight="1">
      <c r="E209" s="147"/>
    </row>
    <row r="210" spans="5:5" ht="18" customHeight="1">
      <c r="E210" s="147"/>
    </row>
    <row r="211" spans="5:5" ht="18" customHeight="1">
      <c r="E211" s="147"/>
    </row>
    <row r="212" spans="5:5" ht="18" customHeight="1">
      <c r="E212" s="147"/>
    </row>
    <row r="213" spans="5:5" ht="18" customHeight="1">
      <c r="E213" s="147"/>
    </row>
    <row r="214" spans="5:5" ht="18" customHeight="1">
      <c r="E214" s="147"/>
    </row>
    <row r="215" spans="5:5" ht="18" customHeight="1">
      <c r="E215" s="147"/>
    </row>
    <row r="216" spans="5:5" ht="18" customHeight="1">
      <c r="E216" s="147"/>
    </row>
    <row r="217" spans="5:5" ht="18" customHeight="1">
      <c r="E217" s="147"/>
    </row>
    <row r="218" spans="5:5" ht="18" customHeight="1">
      <c r="E218" s="147"/>
    </row>
    <row r="219" spans="5:5" ht="18" customHeight="1">
      <c r="E219" s="147"/>
    </row>
    <row r="220" spans="5:5" ht="18" customHeight="1">
      <c r="E220" s="147"/>
    </row>
    <row r="221" spans="5:5" ht="18" customHeight="1">
      <c r="E221" s="147"/>
    </row>
    <row r="222" spans="5:5" ht="18" customHeight="1">
      <c r="E222" s="147"/>
    </row>
    <row r="223" spans="5:5" ht="18" customHeight="1">
      <c r="E223" s="147"/>
    </row>
    <row r="224" spans="5:5" ht="18" customHeight="1">
      <c r="E224" s="147"/>
    </row>
    <row r="225" spans="5:5" ht="18" customHeight="1">
      <c r="E225" s="147"/>
    </row>
    <row r="226" spans="5:5" ht="18" customHeight="1">
      <c r="E226" s="147"/>
    </row>
    <row r="227" spans="5:5" ht="18" customHeight="1">
      <c r="E227" s="147"/>
    </row>
    <row r="228" spans="5:5" ht="18" customHeight="1">
      <c r="E228" s="147"/>
    </row>
    <row r="229" spans="5:5">
      <c r="E229" s="147"/>
    </row>
    <row r="230" spans="5:5">
      <c r="E230" s="147"/>
    </row>
    <row r="231" spans="5:5">
      <c r="E231" s="147"/>
    </row>
    <row r="232" spans="5:5">
      <c r="E232" s="147"/>
    </row>
    <row r="233" spans="5:5">
      <c r="E233" s="147"/>
    </row>
    <row r="234" spans="5:5">
      <c r="E234" s="147"/>
    </row>
    <row r="235" spans="5:5">
      <c r="E235" s="147"/>
    </row>
    <row r="236" spans="5:5">
      <c r="E236" s="147"/>
    </row>
    <row r="237" spans="5:5">
      <c r="E237" s="147"/>
    </row>
    <row r="238" spans="5:5">
      <c r="E238" s="147"/>
    </row>
    <row r="239" spans="5:5">
      <c r="E239" s="147"/>
    </row>
    <row r="240" spans="5:5">
      <c r="E240" s="147"/>
    </row>
    <row r="241" spans="5:5">
      <c r="E241" s="147"/>
    </row>
    <row r="242" spans="5:5">
      <c r="E242" s="147"/>
    </row>
    <row r="243" spans="5:5">
      <c r="E243" s="147"/>
    </row>
    <row r="244" spans="5:5">
      <c r="E244" s="147"/>
    </row>
    <row r="245" spans="5:5">
      <c r="E245" s="147"/>
    </row>
    <row r="246" spans="5:5">
      <c r="E246" s="147"/>
    </row>
    <row r="247" spans="5:5">
      <c r="E247" s="147"/>
    </row>
    <row r="248" spans="5:5">
      <c r="E248" s="50"/>
    </row>
    <row r="249" spans="5:5">
      <c r="E249" s="50"/>
    </row>
    <row r="250" spans="5:5">
      <c r="E250" s="50"/>
    </row>
    <row r="251" spans="5:5">
      <c r="E251" s="50"/>
    </row>
    <row r="252" spans="5:5">
      <c r="E252" s="50"/>
    </row>
    <row r="253" spans="5:5">
      <c r="E253" s="50"/>
    </row>
    <row r="254" spans="5:5">
      <c r="E254" s="50"/>
    </row>
    <row r="255" spans="5:5">
      <c r="E255" s="50"/>
    </row>
    <row r="256" spans="5:5">
      <c r="E256" s="50"/>
    </row>
    <row r="257" spans="5:5">
      <c r="E257" s="50"/>
    </row>
    <row r="258" spans="5:5">
      <c r="E258" s="50"/>
    </row>
    <row r="259" spans="5:5">
      <c r="E259" s="50"/>
    </row>
    <row r="260" spans="5:5">
      <c r="E260" s="50"/>
    </row>
    <row r="261" spans="5:5">
      <c r="E261" s="50"/>
    </row>
    <row r="262" spans="5:5">
      <c r="E262" s="50"/>
    </row>
    <row r="263" spans="5:5">
      <c r="E263" s="50"/>
    </row>
    <row r="264" spans="5:5">
      <c r="E264" s="50"/>
    </row>
    <row r="265" spans="5:5">
      <c r="E265" s="50"/>
    </row>
    <row r="266" spans="5:5">
      <c r="E266" s="50"/>
    </row>
    <row r="267" spans="5:5">
      <c r="E267" s="50"/>
    </row>
    <row r="268" spans="5:5">
      <c r="E268" s="50"/>
    </row>
    <row r="269" spans="5:5">
      <c r="E269" s="50"/>
    </row>
    <row r="270" spans="5:5">
      <c r="E270" s="50"/>
    </row>
    <row r="271" spans="5:5">
      <c r="E271" s="50"/>
    </row>
    <row r="272" spans="5:5">
      <c r="E272" s="50"/>
    </row>
    <row r="273" spans="5:5">
      <c r="E273" s="50"/>
    </row>
    <row r="274" spans="5:5">
      <c r="E274" s="50"/>
    </row>
    <row r="275" spans="5:5">
      <c r="E275" s="50"/>
    </row>
    <row r="276" spans="5:5">
      <c r="E276" s="50"/>
    </row>
    <row r="277" spans="5:5">
      <c r="E277" s="50"/>
    </row>
    <row r="278" spans="5:5">
      <c r="E278" s="50"/>
    </row>
    <row r="279" spans="5:5">
      <c r="E279" s="50"/>
    </row>
    <row r="280" spans="5:5">
      <c r="E280" s="50"/>
    </row>
    <row r="281" spans="5:5">
      <c r="E281" s="50"/>
    </row>
    <row r="282" spans="5:5">
      <c r="E282" s="50"/>
    </row>
    <row r="283" spans="5:5">
      <c r="E283" s="50"/>
    </row>
    <row r="284" spans="5:5">
      <c r="E284" s="50"/>
    </row>
    <row r="285" spans="5:5">
      <c r="E285" s="50"/>
    </row>
    <row r="286" spans="5:5">
      <c r="E286" s="50"/>
    </row>
    <row r="287" spans="5:5">
      <c r="E287" s="50"/>
    </row>
    <row r="288" spans="5:5">
      <c r="E288" s="50"/>
    </row>
    <row r="289" spans="5:5">
      <c r="E289" s="50"/>
    </row>
    <row r="290" spans="5:5">
      <c r="E290" s="50"/>
    </row>
    <row r="291" spans="5:5">
      <c r="E291" s="50"/>
    </row>
    <row r="292" spans="5:5">
      <c r="E292" s="50"/>
    </row>
    <row r="293" spans="5:5">
      <c r="E293" s="50"/>
    </row>
    <row r="294" spans="5:5">
      <c r="E294" s="50"/>
    </row>
    <row r="295" spans="5:5">
      <c r="E295" s="50"/>
    </row>
    <row r="296" spans="5:5">
      <c r="E296" s="50"/>
    </row>
    <row r="297" spans="5:5">
      <c r="E297" s="50"/>
    </row>
    <row r="298" spans="5:5">
      <c r="E298" s="50"/>
    </row>
    <row r="299" spans="5:5">
      <c r="E299" s="50"/>
    </row>
    <row r="300" spans="5:5">
      <c r="E300" s="50"/>
    </row>
    <row r="301" spans="5:5">
      <c r="E301" s="50"/>
    </row>
    <row r="302" spans="5:5">
      <c r="E302" s="50"/>
    </row>
    <row r="303" spans="5:5">
      <c r="E303" s="50"/>
    </row>
    <row r="304" spans="5:5">
      <c r="E304" s="50"/>
    </row>
    <row r="305" spans="5:5">
      <c r="E305" s="50"/>
    </row>
    <row r="306" spans="5:5">
      <c r="E306" s="50"/>
    </row>
    <row r="307" spans="5:5">
      <c r="E307" s="50"/>
    </row>
    <row r="308" spans="5:5">
      <c r="E308" s="50"/>
    </row>
    <row r="309" spans="5:5">
      <c r="E309" s="50"/>
    </row>
    <row r="310" spans="5:5">
      <c r="E310" s="50"/>
    </row>
    <row r="311" spans="5:5">
      <c r="E311" s="50"/>
    </row>
    <row r="312" spans="5:5">
      <c r="E312" s="50"/>
    </row>
    <row r="313" spans="5:5">
      <c r="E313" s="50"/>
    </row>
    <row r="314" spans="5:5">
      <c r="E314" s="50"/>
    </row>
    <row r="315" spans="5:5">
      <c r="E315" s="50"/>
    </row>
    <row r="316" spans="5:5">
      <c r="E316" s="50"/>
    </row>
    <row r="317" spans="5:5">
      <c r="E317" s="50"/>
    </row>
    <row r="318" spans="5:5">
      <c r="E318" s="50"/>
    </row>
    <row r="319" spans="5:5">
      <c r="E319" s="50"/>
    </row>
    <row r="320" spans="5:5">
      <c r="E320" s="50"/>
    </row>
    <row r="321" spans="5:5">
      <c r="E321" s="50"/>
    </row>
    <row r="322" spans="5:5">
      <c r="E322" s="50"/>
    </row>
  </sheetData>
  <customSheetViews>
    <customSheetView guid="{567C3053-2D8E-4705-8DC7-18896C5303CA}" scale="85" showPageBreaks="1" hiddenRows="1" state="hidden" topLeftCell="A7">
      <pane xSplit="1" ySplit="3" topLeftCell="F10" activePane="bottomRight" state="frozen"/>
      <selection pane="bottomRight" activeCell="M202" sqref="M202"/>
      <pageMargins left="0.7" right="0.7" top="0.75" bottom="0.75" header="0.3" footer="0.3"/>
      <pageSetup orientation="portrait" r:id="rId1"/>
    </customSheetView>
    <customSheetView guid="{9D4F0482-B164-4671-805A-E0D2D4DD4720}" scale="85" hiddenRows="1" topLeftCell="A7">
      <pane xSplit="1" ySplit="3" topLeftCell="B10" activePane="bottomRight" state="frozen"/>
      <selection pane="bottomRight" activeCell="M204" sqref="M204"/>
      <pageMargins left="0.7" right="0.7" top="0.75" bottom="0.75" header="0.3" footer="0.3"/>
    </customSheetView>
    <customSheetView guid="{78CA186D-B240-44D5-8A24-D241DE0B0FD9}" scale="85" hiddenRows="1" topLeftCell="A7">
      <pane xSplit="1" ySplit="3" topLeftCell="B10" activePane="bottomRight" state="frozen"/>
      <selection pane="bottomRight" activeCell="A8" sqref="A8"/>
      <pageMargins left="0.7" right="0.7" top="0.75" bottom="0.75" header="0.3" footer="0.3"/>
    </customSheetView>
    <customSheetView guid="{455630F5-40FC-47DB-8AD4-712C20B8FB91}" scale="85" hiddenRows="1" topLeftCell="A7">
      <pane xSplit="1" ySplit="3" topLeftCell="B10" activePane="bottomRight" state="frozen"/>
      <selection pane="bottomRight" activeCell="M204" sqref="M204"/>
      <pageMargins left="0.7" right="0.7" top="0.75" bottom="0.75" header="0.3" footer="0.3"/>
    </customSheetView>
    <customSheetView guid="{AEFEB150-9213-45F5-A178-7AC71E46DB11}" scale="85" hiddenRows="1" topLeftCell="A7">
      <pane xSplit="1" ySplit="3" topLeftCell="B10" activePane="bottomRight" state="frozen"/>
      <selection pane="bottomRight" activeCell="M204" sqref="M204"/>
      <pageMargins left="0.7" right="0.7" top="0.75" bottom="0.75" header="0.3" footer="0.3"/>
    </customSheetView>
    <customSheetView guid="{1E5198E1-BA46-4CE0-8628-4F695B0D7A3B}" scale="85" hiddenRows="1" topLeftCell="A7">
      <pane xSplit="1" ySplit="3" topLeftCell="B10" activePane="bottomRight" state="frozen"/>
      <selection pane="bottomRight" activeCell="A31" sqref="A31"/>
      <pageMargins left="0.7" right="0.7" top="0.75" bottom="0.75" header="0.3" footer="0.3"/>
    </customSheetView>
    <customSheetView guid="{F784130D-F647-4ABA-8943-C79CA5B0FDC4}" scale="85" hiddenRows="1" topLeftCell="A7">
      <pane xSplit="1" ySplit="3" topLeftCell="B10" activePane="bottomRight" state="frozen"/>
      <selection pane="bottomRight" activeCell="M204" sqref="M204"/>
      <pageMargins left="0.7" right="0.7" top="0.75" bottom="0.75" header="0.3" footer="0.3"/>
    </customSheetView>
    <customSheetView guid="{8F508F4D-4777-42BE-9707-8CB9355F7BDB}" scale="85" hiddenRows="1" topLeftCell="A7">
      <pane xSplit="1" ySplit="3" topLeftCell="B10" activePane="bottomRight" state="frozen"/>
      <selection pane="bottomRight" activeCell="M204" sqref="M204"/>
      <pageMargins left="0.7" right="0.7" top="0.75" bottom="0.75" header="0.3" footer="0.3"/>
    </customSheetView>
    <customSheetView guid="{94DA13B6-7351-40F3-8CF7-A4211EC439DA}" scale="85" hiddenRows="1" topLeftCell="A7">
      <pane xSplit="1" ySplit="3" topLeftCell="B10" activePane="bottomRight" state="frozen"/>
      <selection pane="bottomRight" activeCell="M204" sqref="M204"/>
      <pageMargins left="0.7" right="0.7" top="0.75" bottom="0.75" header="0.3" footer="0.3"/>
    </customSheetView>
    <customSheetView guid="{E44F5FE1-54FC-4AB3-84F9-7D65ACF2DDE7}" scale="85" hiddenRows="1" topLeftCell="A7">
      <pane xSplit="1" ySplit="3" topLeftCell="B10" activePane="bottomRight" state="frozen"/>
      <selection pane="bottomRight" activeCell="A31" sqref="A31"/>
      <pageMargins left="0.7" right="0.7" top="0.75" bottom="0.75" header="0.3" footer="0.3"/>
    </customSheetView>
    <customSheetView guid="{50528D02-548E-47E0-94D7-D1E79CD3569C}" scale="85" hiddenRows="1" topLeftCell="A7">
      <pane xSplit="1" ySplit="3" topLeftCell="B10" activePane="bottomRight" state="frozen"/>
      <selection pane="bottomRight" activeCell="M204" sqref="M204"/>
      <pageMargins left="0.7" right="0.7" top="0.75" bottom="0.75" header="0.3" footer="0.3"/>
    </customSheetView>
    <customSheetView guid="{A2518DB3-3A80-4035-9307-EC50A7C923F2}" scale="85" hiddenRows="1" topLeftCell="A7">
      <pane xSplit="1" ySplit="3" topLeftCell="B10" activePane="bottomRight" state="frozen"/>
      <selection pane="bottomRight" activeCell="M204" sqref="M204"/>
      <pageMargins left="0.7" right="0.7" top="0.75" bottom="0.75" header="0.3" footer="0.3"/>
    </customSheetView>
    <customSheetView guid="{E81D05A4-5B21-42D3-A8D3-906ABCABC0F4}" scale="85" hiddenRows="1" topLeftCell="A7">
      <pane xSplit="1" ySplit="3" topLeftCell="B10" activePane="bottomRight" state="frozen"/>
      <selection pane="bottomRight" activeCell="A8" sqref="A8"/>
      <pageMargins left="0.7" right="0.7" top="0.75" bottom="0.75" header="0.3" footer="0.3"/>
    </customSheetView>
  </customSheetViews>
  <mergeCells count="2">
    <mergeCell ref="D7:E7"/>
    <mergeCell ref="G7:H7"/>
  </mergeCells>
  <pageMargins left="0.7" right="0.7" top="0.75" bottom="0.75" header="0.3" footer="0.3"/>
  <pageSetup orientation="portrait" r:id="rId2"/>
</worksheet>
</file>

<file path=xl/worksheets/sheet11.xml><?xml version="1.0" encoding="utf-8"?>
<worksheet xmlns="http://schemas.openxmlformats.org/spreadsheetml/2006/main" xmlns:r="http://schemas.openxmlformats.org/officeDocument/2006/relationships">
  <dimension ref="B1:I1"/>
  <sheetViews>
    <sheetView topLeftCell="A8" zoomScale="70" zoomScaleNormal="70" workbookViewId="0">
      <pane xSplit="1" ySplit="3" topLeftCell="B11" activePane="bottomRight" state="frozen"/>
      <selection activeCell="A8" sqref="A8"/>
      <selection pane="topRight" activeCell="B8" sqref="B8"/>
      <selection pane="bottomLeft" activeCell="A11" sqref="A11"/>
      <selection pane="bottomRight" activeCell="F21" sqref="F21"/>
    </sheetView>
  </sheetViews>
  <sheetFormatPr defaultColWidth="9.1796875" defaultRowHeight="18" customHeight="1"/>
  <cols>
    <col min="1" max="1" width="39" style="50" customWidth="1"/>
    <col min="2" max="2" width="13.26953125" style="92" customWidth="1"/>
    <col min="3" max="3" width="12.453125" style="92" customWidth="1"/>
    <col min="4" max="4" width="10.54296875" style="92" customWidth="1"/>
    <col min="5" max="5" width="8.7265625"/>
    <col min="6" max="6" width="11.453125" style="92" customWidth="1"/>
    <col min="7" max="7" width="9.1796875" style="50"/>
    <col min="8" max="8" width="14.26953125" style="152" customWidth="1"/>
    <col min="9" max="9" width="8.7265625" customWidth="1"/>
    <col min="10" max="16384" width="9.1796875" style="50"/>
  </cols>
  <sheetData/>
  <customSheetViews>
    <customSheetView guid="{567C3053-2D8E-4705-8DC7-18896C5303CA}" scale="70" showPageBreaks="1" state="hidden" topLeftCell="A8">
      <pane xSplit="1" ySplit="3" topLeftCell="B11" activePane="bottomRight" state="frozen"/>
      <selection pane="bottomRight" activeCell="F21" sqref="F21"/>
      <pageMargins left="0.7" right="0.7" top="0.75" bottom="0.75" header="0.3" footer="0.3"/>
      <pageSetup orientation="portrait" r:id="rId1"/>
    </customSheetView>
    <customSheetView guid="{9D4F0482-B164-4671-805A-E0D2D4DD4720}" scale="70" topLeftCell="A8">
      <pane xSplit="1" ySplit="3" topLeftCell="B14" activePane="bottomRight" state="frozen"/>
      <selection pane="bottomRight" activeCell="F21" sqref="F21"/>
      <pageMargins left="0.7" right="0.7" top="0.75" bottom="0.75" header="0.3" footer="0.3"/>
      <pageSetup orientation="portrait" r:id="rId2"/>
    </customSheetView>
    <customSheetView guid="{78CA186D-B240-44D5-8A24-D241DE0B0FD9}" scale="70" topLeftCell="A8">
      <selection activeCell="I37" sqref="I37"/>
      <pageMargins left="0.7" right="0.7" top="0.75" bottom="0.75" header="0.3" footer="0.3"/>
      <pageSetup orientation="portrait" r:id="rId3"/>
    </customSheetView>
    <customSheetView guid="{455630F5-40FC-47DB-8AD4-712C20B8FB91}" scale="70" topLeftCell="A8">
      <pane xSplit="1" ySplit="3" topLeftCell="B14" activePane="bottomRight" state="frozen"/>
      <selection pane="bottomRight" activeCell="F21" sqref="F21"/>
      <pageMargins left="0.7" right="0.7" top="0.75" bottom="0.75" header="0.3" footer="0.3"/>
      <pageSetup orientation="portrait" r:id="rId4"/>
    </customSheetView>
    <customSheetView guid="{AEFEB150-9213-45F5-A178-7AC71E46DB11}" scale="70" topLeftCell="A8">
      <pane xSplit="1" ySplit="3" topLeftCell="B14" activePane="bottomRight" state="frozen"/>
      <selection pane="bottomRight" activeCell="F21" sqref="F21"/>
      <pageMargins left="0.7" right="0.7" top="0.75" bottom="0.75" header="0.3" footer="0.3"/>
      <pageSetup orientation="portrait" r:id="rId5"/>
    </customSheetView>
    <customSheetView guid="{1E5198E1-BA46-4CE0-8628-4F695B0D7A3B}" scale="70" hiddenRows="1" topLeftCell="A8">
      <pane xSplit="1" ySplit="3" topLeftCell="B14" activePane="bottomRight" state="frozen"/>
      <selection pane="bottomRight" activeCell="F21" sqref="F21"/>
      <pageMargins left="0.7" right="0.7" top="0.75" bottom="0.75" header="0.3" footer="0.3"/>
      <pageSetup orientation="portrait" r:id="rId6"/>
    </customSheetView>
    <customSheetView guid="{F784130D-F647-4ABA-8943-C79CA5B0FDC4}" scale="70" hiddenRows="1" topLeftCell="A8">
      <pane xSplit="1" ySplit="3" topLeftCell="B14" activePane="bottomRight" state="frozen"/>
      <selection pane="bottomRight" activeCell="F21" sqref="F21"/>
      <pageMargins left="0.7" right="0.7" top="0.75" bottom="0.75" header="0.3" footer="0.3"/>
      <pageSetup orientation="portrait" r:id="rId7"/>
    </customSheetView>
    <customSheetView guid="{8F508F4D-4777-42BE-9707-8CB9355F7BDB}" scale="70" hiddenRows="1" topLeftCell="A8">
      <pane xSplit="1" ySplit="3" topLeftCell="B14" activePane="bottomRight" state="frozen"/>
      <selection pane="bottomRight" activeCell="F21" sqref="F21"/>
      <pageMargins left="0.7" right="0.7" top="0.75" bottom="0.75" header="0.3" footer="0.3"/>
      <pageSetup orientation="portrait" r:id="rId8"/>
    </customSheetView>
    <customSheetView guid="{94DA13B6-7351-40F3-8CF7-A4211EC439DA}" scale="70" hiddenRows="1" topLeftCell="A8">
      <pane xSplit="1" ySplit="3" topLeftCell="B14" activePane="bottomRight" state="frozen"/>
      <selection pane="bottomRight" activeCell="F21" sqref="F21"/>
      <pageMargins left="0.7" right="0.7" top="0.75" bottom="0.75" header="0.3" footer="0.3"/>
      <pageSetup orientation="portrait" r:id="rId9"/>
    </customSheetView>
    <customSheetView guid="{E44F5FE1-54FC-4AB3-84F9-7D65ACF2DDE7}" scale="70" hiddenRows="1" topLeftCell="A8">
      <pane xSplit="1" ySplit="3" topLeftCell="B14" activePane="bottomRight" state="frozen"/>
      <selection pane="bottomRight" activeCell="F21" sqref="F21"/>
      <pageMargins left="0.7" right="0.7" top="0.75" bottom="0.75" header="0.3" footer="0.3"/>
      <pageSetup orientation="portrait" r:id="rId10"/>
    </customSheetView>
    <customSheetView guid="{50528D02-548E-47E0-94D7-D1E79CD3569C}" scale="70" topLeftCell="A8">
      <pane xSplit="1" ySplit="3" topLeftCell="B14" activePane="bottomRight" state="frozen"/>
      <selection pane="bottomRight" activeCell="F21" sqref="F21"/>
      <pageMargins left="0.7" right="0.7" top="0.75" bottom="0.75" header="0.3" footer="0.3"/>
      <pageSetup orientation="portrait" r:id="rId11"/>
    </customSheetView>
    <customSheetView guid="{A2518DB3-3A80-4035-9307-EC50A7C923F2}" scale="70" topLeftCell="A8">
      <pane xSplit="1" ySplit="3" topLeftCell="B14" activePane="bottomRight" state="frozen"/>
      <selection pane="bottomRight" activeCell="F21" sqref="F21"/>
      <pageMargins left="0.7" right="0.7" top="0.75" bottom="0.75" header="0.3" footer="0.3"/>
      <pageSetup orientation="portrait" r:id="rId12"/>
    </customSheetView>
    <customSheetView guid="{E81D05A4-5B21-42D3-A8D3-906ABCABC0F4}" scale="70" topLeftCell="A8">
      <selection activeCell="I37" sqref="I37"/>
      <pageMargins left="0.7" right="0.7" top="0.75" bottom="0.75" header="0.3" footer="0.3"/>
      <pageSetup orientation="portrait" r:id="rId13"/>
    </customSheetView>
  </customSheetViews>
  <pageMargins left="0.7" right="0.7" top="0.75" bottom="0.75" header="0.3" footer="0.3"/>
  <pageSetup orientation="portrait" r:id="rId14"/>
</worksheet>
</file>

<file path=xl/worksheets/sheet12.xml><?xml version="1.0" encoding="utf-8"?>
<worksheet xmlns="http://schemas.openxmlformats.org/spreadsheetml/2006/main" xmlns:r="http://schemas.openxmlformats.org/officeDocument/2006/relationships">
  <dimension ref="A1:H1"/>
  <sheetViews>
    <sheetView topLeftCell="A7" zoomScale="85" zoomScaleNormal="85" workbookViewId="0">
      <pane xSplit="1" ySplit="3" topLeftCell="J163" activePane="bottomRight" state="frozen"/>
      <selection activeCell="A7" sqref="A7"/>
      <selection pane="topRight" activeCell="B7" sqref="B7"/>
      <selection pane="bottomLeft" activeCell="A10" sqref="A10"/>
      <selection pane="bottomRight" activeCell="O172" sqref="O172"/>
    </sheetView>
  </sheetViews>
  <sheetFormatPr defaultRowHeight="12.5"/>
  <cols>
    <col min="1" max="1" width="42.7265625" style="50" customWidth="1"/>
    <col min="2" max="2" width="13.54296875" style="52" customWidth="1"/>
    <col min="3" max="3" width="11.7265625" style="52" customWidth="1"/>
    <col min="4" max="4" width="12.1796875" style="52" customWidth="1"/>
    <col min="5" max="5" width="9.54296875" customWidth="1"/>
    <col min="6" max="6" width="12.81640625" style="52" bestFit="1" customWidth="1"/>
    <col min="7" max="7" width="12.453125" style="52" customWidth="1"/>
    <col min="8" max="8" width="12.26953125" style="99" customWidth="1"/>
    <col min="9" max="9" width="24.1796875" customWidth="1"/>
    <col min="10" max="11" width="12" customWidth="1"/>
    <col min="12" max="12" width="14.26953125" customWidth="1"/>
  </cols>
  <sheetData/>
  <customSheetViews>
    <customSheetView guid="{567C3053-2D8E-4705-8DC7-18896C5303CA}" scale="85" showPageBreaks="1" state="hidden" topLeftCell="A7">
      <pane xSplit="1" ySplit="3" topLeftCell="J163" activePane="bottomRight" state="frozen"/>
      <selection pane="bottomRight" activeCell="O172" sqref="O172"/>
      <pageMargins left="0.7" right="0.7" top="0.75" bottom="0.75" header="0.3" footer="0.3"/>
      <pageSetup orientation="portrait" r:id="rId1"/>
    </customSheetView>
    <customSheetView guid="{9D4F0482-B164-4671-805A-E0D2D4DD4720}" scale="85" topLeftCell="A7">
      <pane xSplit="1" ySplit="3" topLeftCell="H181" activePane="bottomRight" state="frozen"/>
      <selection pane="bottomRight" activeCell="M194" sqref="M194"/>
      <pageMargins left="0.7" right="0.7" top="0.75" bottom="0.75" header="0.3" footer="0.3"/>
      <pageSetup orientation="portrait" r:id="rId2"/>
    </customSheetView>
    <customSheetView guid="{78CA186D-B240-44D5-8A24-D241DE0B0FD9}" scale="85" topLeftCell="A7">
      <pane xSplit="1" ySplit="1" topLeftCell="B8" activePane="bottomRight" state="frozen"/>
      <selection pane="bottomRight" activeCell="I42" sqref="I42"/>
      <pageMargins left="0.7" right="0.7" top="0.75" bottom="0.75" header="0.3" footer="0.3"/>
      <pageSetup orientation="portrait" r:id="rId3"/>
    </customSheetView>
    <customSheetView guid="{455630F5-40FC-47DB-8AD4-712C20B8FB91}" scale="85" topLeftCell="A7">
      <pane xSplit="1" ySplit="3" topLeftCell="H181" activePane="bottomRight" state="frozen"/>
      <selection pane="bottomRight" activeCell="M194" sqref="M194"/>
      <pageMargins left="0.7" right="0.7" top="0.75" bottom="0.75" header="0.3" footer="0.3"/>
      <pageSetup orientation="portrait" r:id="rId4"/>
    </customSheetView>
    <customSheetView guid="{AEFEB150-9213-45F5-A178-7AC71E46DB11}" scale="85" topLeftCell="A7">
      <pane xSplit="1" ySplit="3" topLeftCell="B10" activePane="bottomRight" state="frozen"/>
      <selection pane="bottomRight" activeCell="K190" sqref="K190"/>
      <pageMargins left="0.7" right="0.7" top="0.75" bottom="0.75" header="0.3" footer="0.3"/>
      <pageSetup orientation="portrait" r:id="rId5"/>
    </customSheetView>
    <customSheetView guid="{1E5198E1-BA46-4CE0-8628-4F695B0D7A3B}" scale="85" hiddenRows="1" topLeftCell="A7">
      <pane xSplit="1" ySplit="3" topLeftCell="J10" activePane="bottomRight" state="frozen"/>
      <selection pane="bottomRight" activeCell="N10" sqref="N10"/>
      <pageMargins left="0.7" right="0.7" top="0.75" bottom="0.75" header="0.3" footer="0.3"/>
      <pageSetup orientation="portrait" r:id="rId6"/>
    </customSheetView>
    <customSheetView guid="{F784130D-F647-4ABA-8943-C79CA5B0FDC4}" scale="85" hiddenRows="1" topLeftCell="A7">
      <pane xSplit="1" ySplit="3" topLeftCell="B214" activePane="bottomRight" state="frozen"/>
      <selection pane="bottomRight" activeCell="M194" sqref="M194"/>
      <pageMargins left="0.7" right="0.7" top="0.75" bottom="0.75" header="0.3" footer="0.3"/>
      <pageSetup orientation="portrait" r:id="rId7"/>
    </customSheetView>
    <customSheetView guid="{8F508F4D-4777-42BE-9707-8CB9355F7BDB}" scale="85" hiddenRows="1" topLeftCell="A7">
      <pane xSplit="1" ySplit="3" topLeftCell="B10" activePane="bottomRight" state="frozen"/>
      <selection pane="bottomRight" activeCell="K190" sqref="K190"/>
      <pageMargins left="0.7" right="0.7" top="0.75" bottom="0.75" header="0.3" footer="0.3"/>
      <pageSetup orientation="portrait" r:id="rId8"/>
    </customSheetView>
    <customSheetView guid="{94DA13B6-7351-40F3-8CF7-A4211EC439DA}" scale="85" hiddenRows="1" topLeftCell="A7">
      <pane xSplit="1" ySplit="3" topLeftCell="B10" activePane="bottomRight" state="frozen"/>
      <selection pane="bottomRight" activeCell="K190" sqref="K190"/>
      <pageMargins left="0.7" right="0.7" top="0.75" bottom="0.75" header="0.3" footer="0.3"/>
      <pageSetup orientation="portrait" r:id="rId9"/>
    </customSheetView>
    <customSheetView guid="{E44F5FE1-54FC-4AB3-84F9-7D65ACF2DDE7}" scale="85" hiddenRows="1" topLeftCell="A7">
      <pane xSplit="1" ySplit="3" topLeftCell="J10" activePane="bottomRight" state="frozen"/>
      <selection pane="bottomRight" activeCell="N10" sqref="N10"/>
      <pageMargins left="0.7" right="0.7" top="0.75" bottom="0.75" header="0.3" footer="0.3"/>
      <pageSetup orientation="portrait" r:id="rId10"/>
    </customSheetView>
    <customSheetView guid="{50528D02-548E-47E0-94D7-D1E79CD3569C}" scale="85" topLeftCell="A7">
      <pane xSplit="1" ySplit="3" topLeftCell="H181" activePane="bottomRight" state="frozen"/>
      <selection pane="bottomRight" activeCell="M194" sqref="M194"/>
      <pageMargins left="0.7" right="0.7" top="0.75" bottom="0.75" header="0.3" footer="0.3"/>
      <pageSetup orientation="portrait" r:id="rId11"/>
    </customSheetView>
    <customSheetView guid="{A2518DB3-3A80-4035-9307-EC50A7C923F2}" scale="85" topLeftCell="A7">
      <pane xSplit="1" ySplit="3" topLeftCell="H181" activePane="bottomRight" state="frozen"/>
      <selection pane="bottomRight" activeCell="M194" sqref="M194"/>
      <pageMargins left="0.7" right="0.7" top="0.75" bottom="0.75" header="0.3" footer="0.3"/>
      <pageSetup orientation="portrait" r:id="rId12"/>
    </customSheetView>
    <customSheetView guid="{E81D05A4-5B21-42D3-A8D3-906ABCABC0F4}" scale="85" topLeftCell="A7">
      <pane xSplit="1" ySplit="1" topLeftCell="B8" activePane="bottomRight" state="frozen"/>
      <selection pane="bottomRight" activeCell="I42" sqref="I42"/>
      <pageMargins left="0.7" right="0.7" top="0.75" bottom="0.75" header="0.3" footer="0.3"/>
      <pageSetup orientation="portrait" r:id="rId13"/>
    </customSheetView>
  </customSheetViews>
  <pageMargins left="0.7" right="0.7" top="0.75" bottom="0.75" header="0.3" footer="0.3"/>
  <pageSetup orientation="portrait" r:id="rId14"/>
</worksheet>
</file>

<file path=xl/worksheets/sheet2.xml><?xml version="1.0" encoding="utf-8"?>
<worksheet xmlns="http://schemas.openxmlformats.org/spreadsheetml/2006/main" xmlns:r="http://schemas.openxmlformats.org/officeDocument/2006/relationships">
  <dimension ref="A1:BU64"/>
  <sheetViews>
    <sheetView topLeftCell="A7" zoomScale="80" zoomScaleNormal="80" workbookViewId="0">
      <pane xSplit="1" ySplit="4" topLeftCell="AJ11" activePane="bottomRight" state="frozen"/>
      <selection activeCell="A7" sqref="A7"/>
      <selection pane="topRight" activeCell="B7" sqref="B7"/>
      <selection pane="bottomLeft" activeCell="A11" sqref="A11"/>
      <selection pane="bottomRight" activeCell="AO18" sqref="AO18"/>
    </sheetView>
  </sheetViews>
  <sheetFormatPr defaultRowHeight="19.5" customHeight="1"/>
  <cols>
    <col min="1" max="1" width="44.1796875" customWidth="1"/>
    <col min="2" max="7" width="15.1796875" customWidth="1"/>
    <col min="8" max="11" width="14.7265625" customWidth="1"/>
    <col min="12" max="12" width="14" customWidth="1"/>
    <col min="13" max="16" width="13.7265625" customWidth="1"/>
    <col min="17" max="17" width="13.7265625" style="14" customWidth="1"/>
    <col min="18" max="18" width="13.26953125" customWidth="1"/>
    <col min="19" max="19" width="13.7265625" customWidth="1"/>
    <col min="20" max="20" width="11.54296875" style="14" customWidth="1"/>
    <col min="21" max="21" width="15.1796875" customWidth="1"/>
    <col min="22" max="22" width="13.7265625" customWidth="1"/>
    <col min="23" max="23" width="13.7265625" style="14" customWidth="1"/>
    <col min="24" max="24" width="12.453125" customWidth="1"/>
    <col min="25" max="25" width="13.54296875" customWidth="1"/>
    <col min="26" max="26" width="14" style="14" customWidth="1"/>
    <col min="27" max="27" width="15.1796875" hidden="1" customWidth="1"/>
    <col min="28" max="28" width="15.1796875" customWidth="1"/>
    <col min="29" max="29" width="15.453125" customWidth="1"/>
    <col min="30" max="30" width="14.453125" customWidth="1"/>
    <col min="31" max="32" width="15.1796875" customWidth="1"/>
    <col min="33" max="33" width="16.26953125" customWidth="1"/>
    <col min="34" max="34" width="15.1796875" customWidth="1"/>
    <col min="35" max="35" width="16.81640625" customWidth="1"/>
    <col min="36" max="36" width="14.54296875" customWidth="1"/>
    <col min="37" max="37" width="14.7265625" style="5" customWidth="1"/>
    <col min="38" max="38" width="15.26953125" style="5" customWidth="1"/>
    <col min="39" max="39" width="14.54296875" style="5" customWidth="1"/>
    <col min="40" max="40" width="18.1796875" style="5" customWidth="1"/>
    <col min="41" max="41" width="14.81640625" style="5" customWidth="1"/>
    <col min="42" max="42" width="9.54296875" style="5" bestFit="1" customWidth="1"/>
    <col min="43" max="73" width="9.1796875" style="5"/>
  </cols>
  <sheetData>
    <row r="1" spans="1:73" ht="19.5" customHeight="1">
      <c r="A1" s="2" t="s">
        <v>49</v>
      </c>
      <c r="B1" s="2"/>
      <c r="C1" s="2"/>
      <c r="D1" s="2"/>
      <c r="E1" s="2"/>
      <c r="F1" s="2"/>
      <c r="G1" s="2"/>
      <c r="H1" s="2"/>
      <c r="I1" s="2"/>
      <c r="J1" s="2"/>
      <c r="K1" s="2"/>
    </row>
    <row r="2" spans="1:73" ht="19.5" customHeight="1">
      <c r="A2" s="2" t="s">
        <v>137</v>
      </c>
      <c r="B2" s="2"/>
      <c r="C2" s="2"/>
      <c r="D2" s="2"/>
      <c r="E2" s="2"/>
      <c r="F2" s="2"/>
      <c r="G2" s="2"/>
      <c r="H2" s="2"/>
      <c r="I2" s="2"/>
      <c r="J2" s="2"/>
      <c r="K2" s="2"/>
    </row>
    <row r="4" spans="1:73" ht="19.5" customHeight="1">
      <c r="A4" s="1" t="s">
        <v>116</v>
      </c>
      <c r="B4" s="1"/>
      <c r="C4" s="1"/>
      <c r="D4" s="1"/>
      <c r="E4" s="1"/>
      <c r="F4" s="1"/>
      <c r="G4" s="1"/>
      <c r="H4" s="1"/>
      <c r="I4" s="1"/>
      <c r="J4" s="1"/>
      <c r="K4" s="1"/>
    </row>
    <row r="5" spans="1:73" ht="19.5" customHeight="1">
      <c r="A5" s="1" t="s">
        <v>77</v>
      </c>
      <c r="B5" s="1"/>
      <c r="C5" s="1"/>
      <c r="D5" s="1"/>
      <c r="E5" s="1"/>
      <c r="F5" s="1"/>
      <c r="G5" s="1"/>
      <c r="H5" s="1"/>
      <c r="I5" s="1"/>
      <c r="J5" s="1"/>
      <c r="K5" s="1"/>
    </row>
    <row r="6" spans="1:73" ht="19.5" customHeight="1">
      <c r="A6" s="23" t="s">
        <v>130</v>
      </c>
      <c r="B6" s="23"/>
      <c r="C6" s="23"/>
      <c r="D6" s="23"/>
      <c r="E6" s="23"/>
      <c r="F6" s="23"/>
      <c r="G6" s="23"/>
      <c r="H6" s="23"/>
      <c r="I6" s="23"/>
      <c r="J6" s="23"/>
      <c r="K6" s="23"/>
      <c r="L6" s="6"/>
      <c r="M6" s="6"/>
      <c r="N6" s="6"/>
      <c r="O6" s="6"/>
      <c r="P6" s="6"/>
      <c r="Q6" s="17"/>
    </row>
    <row r="7" spans="1:73" ht="24" customHeight="1">
      <c r="A7" s="2" t="s">
        <v>49</v>
      </c>
      <c r="B7" s="2"/>
      <c r="C7" s="2"/>
      <c r="D7" s="2"/>
      <c r="E7" s="2"/>
      <c r="F7" s="2"/>
      <c r="G7" s="2"/>
      <c r="H7" s="2"/>
      <c r="I7" s="2"/>
      <c r="J7" s="2"/>
      <c r="K7" s="2"/>
      <c r="L7" s="6"/>
      <c r="M7" s="6"/>
      <c r="N7" s="6"/>
      <c r="O7" s="6"/>
      <c r="P7" s="6"/>
      <c r="Q7" s="17"/>
    </row>
    <row r="8" spans="1:73" ht="27" customHeight="1" thickBot="1">
      <c r="A8" s="402" t="s">
        <v>377</v>
      </c>
      <c r="B8" s="402"/>
      <c r="C8" s="402"/>
      <c r="D8" s="402"/>
      <c r="E8" s="402"/>
      <c r="F8" s="402"/>
      <c r="G8" s="402"/>
      <c r="H8" s="402"/>
      <c r="I8" s="402"/>
      <c r="J8" s="2"/>
      <c r="K8" s="2"/>
      <c r="L8" s="4"/>
      <c r="M8" s="4"/>
      <c r="N8" s="4"/>
      <c r="O8" s="4"/>
      <c r="P8" s="4"/>
      <c r="Q8" s="16"/>
      <c r="R8" s="4"/>
      <c r="S8" s="6"/>
      <c r="U8" s="4"/>
      <c r="X8" s="4"/>
      <c r="AA8" s="4"/>
      <c r="AB8" s="6"/>
      <c r="AE8" s="6"/>
      <c r="AF8" s="6"/>
      <c r="AG8" s="6"/>
      <c r="AH8" s="6"/>
      <c r="AK8" s="428"/>
      <c r="AL8" s="428"/>
      <c r="AM8" s="428"/>
    </row>
    <row r="9" spans="1:73" ht="39" customHeight="1" thickBot="1">
      <c r="A9" s="404"/>
      <c r="B9" s="406" t="s">
        <v>365</v>
      </c>
      <c r="C9" s="408" t="s">
        <v>368</v>
      </c>
      <c r="D9" s="411" t="s">
        <v>380</v>
      </c>
      <c r="E9" s="411"/>
      <c r="F9" s="406" t="s">
        <v>367</v>
      </c>
      <c r="G9" s="416" t="s">
        <v>379</v>
      </c>
      <c r="H9" s="406"/>
      <c r="I9" s="408" t="s">
        <v>366</v>
      </c>
      <c r="J9" s="412" t="s">
        <v>378</v>
      </c>
      <c r="K9" s="412"/>
      <c r="L9" s="406" t="s">
        <v>47</v>
      </c>
      <c r="M9" s="703" t="s">
        <v>91</v>
      </c>
      <c r="N9" s="704"/>
      <c r="O9" s="408" t="s">
        <v>46</v>
      </c>
      <c r="P9" s="705" t="s">
        <v>92</v>
      </c>
      <c r="Q9" s="696"/>
      <c r="R9" s="406" t="s">
        <v>87</v>
      </c>
      <c r="S9" s="703" t="s">
        <v>100</v>
      </c>
      <c r="T9" s="704"/>
      <c r="U9" s="419" t="s">
        <v>95</v>
      </c>
      <c r="V9" s="705" t="s">
        <v>128</v>
      </c>
      <c r="W9" s="696"/>
      <c r="X9" s="421" t="s">
        <v>106</v>
      </c>
      <c r="Y9" s="706" t="s">
        <v>216</v>
      </c>
      <c r="Z9" s="707"/>
      <c r="AA9" s="21" t="s">
        <v>129</v>
      </c>
      <c r="AB9" s="400" t="s">
        <v>129</v>
      </c>
      <c r="AC9" s="695" t="s">
        <v>381</v>
      </c>
      <c r="AD9" s="696"/>
      <c r="AE9" s="699" t="s">
        <v>383</v>
      </c>
      <c r="AF9" s="697" t="s">
        <v>387</v>
      </c>
      <c r="AG9" s="698"/>
      <c r="AH9" s="701" t="s">
        <v>384</v>
      </c>
      <c r="AI9" s="695" t="s">
        <v>388</v>
      </c>
      <c r="AJ9" s="696"/>
      <c r="AK9" s="426" t="s">
        <v>385</v>
      </c>
      <c r="AL9" s="431" t="s">
        <v>389</v>
      </c>
      <c r="AM9" s="429"/>
      <c r="AN9" s="633" t="s">
        <v>439</v>
      </c>
      <c r="AO9" s="631" t="s">
        <v>436</v>
      </c>
      <c r="AP9" s="632"/>
    </row>
    <row r="10" spans="1:73" ht="36" customHeight="1" thickBot="1">
      <c r="A10" s="405" t="s">
        <v>43</v>
      </c>
      <c r="B10" s="407" t="s">
        <v>76</v>
      </c>
      <c r="C10" s="409" t="s">
        <v>76</v>
      </c>
      <c r="D10" s="403" t="s">
        <v>89</v>
      </c>
      <c r="E10" s="403" t="s">
        <v>90</v>
      </c>
      <c r="F10" s="407" t="s">
        <v>76</v>
      </c>
      <c r="G10" s="410" t="s">
        <v>89</v>
      </c>
      <c r="H10" s="410" t="s">
        <v>90</v>
      </c>
      <c r="I10" s="409" t="s">
        <v>76</v>
      </c>
      <c r="J10" s="403" t="s">
        <v>89</v>
      </c>
      <c r="K10" s="403" t="s">
        <v>90</v>
      </c>
      <c r="L10" s="407" t="s">
        <v>76</v>
      </c>
      <c r="M10" s="410" t="s">
        <v>89</v>
      </c>
      <c r="N10" s="415" t="s">
        <v>90</v>
      </c>
      <c r="O10" s="409" t="s">
        <v>76</v>
      </c>
      <c r="P10" s="413" t="s">
        <v>89</v>
      </c>
      <c r="Q10" s="414" t="s">
        <v>90</v>
      </c>
      <c r="R10" s="407" t="s">
        <v>76</v>
      </c>
      <c r="S10" s="417" t="s">
        <v>89</v>
      </c>
      <c r="T10" s="418" t="s">
        <v>90</v>
      </c>
      <c r="U10" s="420" t="s">
        <v>76</v>
      </c>
      <c r="V10" s="413" t="s">
        <v>89</v>
      </c>
      <c r="W10" s="414" t="s">
        <v>90</v>
      </c>
      <c r="X10" s="422" t="s">
        <v>76</v>
      </c>
      <c r="Y10" s="423" t="s">
        <v>89</v>
      </c>
      <c r="Z10" s="418" t="s">
        <v>90</v>
      </c>
      <c r="AA10" s="21" t="s">
        <v>45</v>
      </c>
      <c r="AB10" s="401" t="s">
        <v>76</v>
      </c>
      <c r="AC10" s="424" t="s">
        <v>89</v>
      </c>
      <c r="AD10" s="414" t="s">
        <v>90</v>
      </c>
      <c r="AE10" s="700"/>
      <c r="AF10" s="410" t="s">
        <v>89</v>
      </c>
      <c r="AG10" s="427" t="s">
        <v>90</v>
      </c>
      <c r="AH10" s="702"/>
      <c r="AI10" s="425" t="s">
        <v>89</v>
      </c>
      <c r="AJ10" s="414" t="s">
        <v>90</v>
      </c>
      <c r="AK10" s="417" t="s">
        <v>392</v>
      </c>
      <c r="AL10" s="410" t="s">
        <v>89</v>
      </c>
      <c r="AM10" s="410" t="s">
        <v>90</v>
      </c>
      <c r="AN10" s="634"/>
      <c r="AO10" s="425" t="s">
        <v>89</v>
      </c>
      <c r="AP10" s="414" t="s">
        <v>90</v>
      </c>
    </row>
    <row r="11" spans="1:73" s="5" customFormat="1" ht="19.5" customHeight="1" thickBot="1">
      <c r="A11" s="9" t="s">
        <v>0</v>
      </c>
      <c r="B11" s="18">
        <f>'FY 2013 by Agency'!B41</f>
        <v>204710</v>
      </c>
      <c r="C11" s="18">
        <f>'FY 2013 by Agency'!C41</f>
        <v>220083</v>
      </c>
      <c r="D11" s="499">
        <f>C11-B11</f>
        <v>15373</v>
      </c>
      <c r="E11" s="500">
        <f>D11/B11</f>
        <v>7.5096477944409171E-2</v>
      </c>
      <c r="F11" s="18">
        <f>'FY 2013 by Agency'!F41</f>
        <v>234498</v>
      </c>
      <c r="G11" s="499">
        <f>F11-C11</f>
        <v>14415</v>
      </c>
      <c r="H11" s="500">
        <f>G11/C11</f>
        <v>6.5498016657351998E-2</v>
      </c>
      <c r="I11" s="18">
        <f>'FY 2013 by Agency'!I41</f>
        <v>206864</v>
      </c>
      <c r="J11" s="499">
        <f>I11-F11</f>
        <v>-27634</v>
      </c>
      <c r="K11" s="500">
        <f>J11/F11</f>
        <v>-0.11784322254347585</v>
      </c>
      <c r="L11" s="18">
        <f>'FY 2013 by Agency'!L41</f>
        <v>231364</v>
      </c>
      <c r="M11" s="18">
        <f>'FY 2013 by Agency'!M41</f>
        <v>21501</v>
      </c>
      <c r="N11" s="42">
        <f>'FY 2013 by Agency'!N41</f>
        <v>0.10245255237940942</v>
      </c>
      <c r="O11" s="18">
        <f>'FY 2013 by Agency'!O41</f>
        <v>282412</v>
      </c>
      <c r="P11" s="18">
        <f>O11-L11</f>
        <v>51048</v>
      </c>
      <c r="Q11" s="42">
        <f>P11/L11</f>
        <v>0.220639338877267</v>
      </c>
      <c r="R11" s="18">
        <f>'FY 2013 by Agency'!R41</f>
        <v>333607</v>
      </c>
      <c r="S11" s="18">
        <f>R11-O11</f>
        <v>51195</v>
      </c>
      <c r="T11" s="42">
        <f>S11/O11</f>
        <v>0.18127770774612978</v>
      </c>
      <c r="U11" s="22">
        <f>'FY 2013 by Agency'!U41</f>
        <v>366258</v>
      </c>
      <c r="V11" s="22">
        <f>U11-R11</f>
        <v>32651</v>
      </c>
      <c r="W11" s="41">
        <f>V11/R11</f>
        <v>9.7872646557176562E-2</v>
      </c>
      <c r="X11" s="35">
        <f>'FY 2013 by Agency'!X41</f>
        <v>382069</v>
      </c>
      <c r="Y11" s="35">
        <f>X11-U11</f>
        <v>15811</v>
      </c>
      <c r="Z11" s="41">
        <f>Y11/U11</f>
        <v>4.3169022929191989E-2</v>
      </c>
      <c r="AA11" s="43" t="e">
        <f>'FY 2013 by Agency'!#REF!</f>
        <v>#REF!</v>
      </c>
      <c r="AB11" s="228">
        <f>'FY 2013 by Agency'!AA41</f>
        <v>405846</v>
      </c>
      <c r="AC11" s="35">
        <f t="shared" ref="AC11:AC18" si="0">AB11-X11</f>
        <v>23777</v>
      </c>
      <c r="AD11" s="42">
        <f t="shared" ref="AD11:AD18" si="1">AC11/X11</f>
        <v>6.2232214599980629E-2</v>
      </c>
      <c r="AE11" s="43">
        <f>'FY 2013 by Agency'!AF41</f>
        <v>349066</v>
      </c>
      <c r="AF11" s="35">
        <f t="shared" ref="AF11:AF18" si="2">AE11-AB11</f>
        <v>-56780</v>
      </c>
      <c r="AG11" s="42">
        <f t="shared" ref="AG11:AG18" si="3">AF11/AB11</f>
        <v>-0.13990528427038829</v>
      </c>
      <c r="AH11" s="43">
        <f>'FY 2013 by Agency'!AS41</f>
        <v>476840.01740999997</v>
      </c>
      <c r="AI11" s="35">
        <f>AH11-AE11</f>
        <v>127774.01740999997</v>
      </c>
      <c r="AJ11" s="508">
        <f>AI11/AE11</f>
        <v>0.36604543957303193</v>
      </c>
      <c r="AK11" s="43">
        <f>'FY 2013 by Agency'!BE41</f>
        <v>480445</v>
      </c>
      <c r="AL11" s="498">
        <f>AK11-AH11</f>
        <v>3604.9825900000287</v>
      </c>
      <c r="AM11" s="508">
        <f>AL11/AH11</f>
        <v>7.5601511164705096E-3</v>
      </c>
      <c r="AN11" s="43">
        <f>'FY 2013 by Agency'!BN41</f>
        <v>541241</v>
      </c>
      <c r="AO11" s="527">
        <f>AN11-AK11</f>
        <v>60796</v>
      </c>
      <c r="AP11" s="276">
        <f>AO11/AK11</f>
        <v>0.12654101926339123</v>
      </c>
    </row>
    <row r="12" spans="1:73" s="115" customFormat="1" ht="19.5" customHeight="1" thickBot="1">
      <c r="A12" s="229" t="s">
        <v>50</v>
      </c>
      <c r="B12" s="230">
        <f>'FY 2013 by Agency'!B74</f>
        <v>90495</v>
      </c>
      <c r="C12" s="230">
        <f>'FY 2013 by Agency'!C74</f>
        <v>107152</v>
      </c>
      <c r="D12" s="501">
        <f t="shared" ref="D12:D18" si="4">C12-B12</f>
        <v>16657</v>
      </c>
      <c r="E12" s="502">
        <f t="shared" ref="E12:E18" si="5">D12/B12</f>
        <v>0.18406541797889386</v>
      </c>
      <c r="F12" s="230">
        <f>'FY 2013 by Agency'!F74</f>
        <v>114224</v>
      </c>
      <c r="G12" s="501">
        <f t="shared" ref="G12:G18" si="6">F12-C12</f>
        <v>7072</v>
      </c>
      <c r="H12" s="502">
        <f t="shared" ref="H12:H18" si="7">G12/C12</f>
        <v>6.5999701358817386E-2</v>
      </c>
      <c r="I12" s="230">
        <f>'FY 2013 by Agency'!I74</f>
        <v>134944</v>
      </c>
      <c r="J12" s="501">
        <f t="shared" ref="J12:J18" si="8">I12-F12</f>
        <v>20720</v>
      </c>
      <c r="K12" s="502">
        <f t="shared" ref="K12:K18" si="9">J12/F12</f>
        <v>0.18139795489564364</v>
      </c>
      <c r="L12" s="230">
        <f>'FY 2013 by Agency'!L74</f>
        <v>151305</v>
      </c>
      <c r="M12" s="230">
        <f>'FY 2013 by Agency'!M74</f>
        <v>5290</v>
      </c>
      <c r="N12" s="231">
        <f>'FY 2013 by Agency'!N74</f>
        <v>3.6575332047319768E-2</v>
      </c>
      <c r="O12" s="230">
        <f>'FY 2013 by Agency'!O74</f>
        <v>197591</v>
      </c>
      <c r="P12" s="230">
        <f t="shared" ref="P12:P18" si="10">O12-L12</f>
        <v>46286</v>
      </c>
      <c r="Q12" s="231">
        <f t="shared" ref="Q12:Q18" si="11">P12/L12</f>
        <v>0.30591189980502959</v>
      </c>
      <c r="R12" s="232">
        <f>'FY 2013 by Agency'!R74</f>
        <v>251763</v>
      </c>
      <c r="S12" s="230">
        <f t="shared" ref="S12:S18" si="12">R12-O12</f>
        <v>54172</v>
      </c>
      <c r="T12" s="231">
        <f t="shared" ref="T12:T18" si="13">S12/O12</f>
        <v>0.2741622847194457</v>
      </c>
      <c r="U12" s="233">
        <f>'FY 2013 by Agency'!U74</f>
        <v>373310</v>
      </c>
      <c r="V12" s="233">
        <f t="shared" ref="V12:V18" si="14">U12-R12</f>
        <v>121547</v>
      </c>
      <c r="W12" s="234">
        <f t="shared" ref="W12:W17" si="15">V12/R12</f>
        <v>0.48278341138292757</v>
      </c>
      <c r="X12" s="235">
        <f>'FY 2013 by Agency'!X74</f>
        <v>403260</v>
      </c>
      <c r="Y12" s="235">
        <f t="shared" ref="Y12:Y18" si="16">X12-U12</f>
        <v>29950</v>
      </c>
      <c r="Z12" s="234">
        <f t="shared" ref="Z12:Z18" si="17">Y12/U12</f>
        <v>8.0228228549998656E-2</v>
      </c>
      <c r="AA12" s="236" t="e">
        <f>'FY 2013 by Agency'!#REF!</f>
        <v>#REF!</v>
      </c>
      <c r="AB12" s="236">
        <f>'FY 2013 by Agency'!AA74</f>
        <v>391021</v>
      </c>
      <c r="AC12" s="235">
        <f t="shared" si="0"/>
        <v>-12239</v>
      </c>
      <c r="AD12" s="231">
        <f t="shared" si="1"/>
        <v>-3.0350146307593116E-2</v>
      </c>
      <c r="AE12" s="236">
        <f>'FY 2013 by Agency'!AF74</f>
        <v>265865</v>
      </c>
      <c r="AF12" s="235">
        <f t="shared" si="2"/>
        <v>-125156</v>
      </c>
      <c r="AG12" s="231">
        <f t="shared" si="3"/>
        <v>-0.32007488088875025</v>
      </c>
      <c r="AH12" s="236">
        <f>'FY 2013 by Agency'!AS74</f>
        <v>277041.65783000004</v>
      </c>
      <c r="AI12" s="235">
        <f t="shared" ref="AI12:AI18" si="18">AH12-AE12</f>
        <v>11176.65783000004</v>
      </c>
      <c r="AJ12" s="509">
        <f t="shared" ref="AJ12:AJ18" si="19">AI12/AE12</f>
        <v>4.2038846143719708E-2</v>
      </c>
      <c r="AK12" s="236">
        <f>'FY 2013 by Agency'!BE74</f>
        <v>268666</v>
      </c>
      <c r="AL12" s="516">
        <f t="shared" ref="AL12:AL18" si="20">AK12-AH12</f>
        <v>-8375.6578300000401</v>
      </c>
      <c r="AM12" s="509">
        <f t="shared" ref="AM12:AM18" si="21">AL12/AH12</f>
        <v>-3.023248523563038E-2</v>
      </c>
      <c r="AN12" s="236">
        <f>'FY 2013 by Agency'!BN74</f>
        <v>297349</v>
      </c>
      <c r="AO12" s="527">
        <f t="shared" ref="AO12:AO18" si="22">AN12-AK12</f>
        <v>28683</v>
      </c>
      <c r="AP12" s="276">
        <f t="shared" ref="AP12:AP18" si="23">AO12/AK12</f>
        <v>0.10676081082087052</v>
      </c>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row>
    <row r="13" spans="1:73" s="5" customFormat="1" ht="19.5" customHeight="1" thickBot="1">
      <c r="A13" s="9" t="s">
        <v>51</v>
      </c>
      <c r="B13" s="18">
        <f>'FY 2013 by Agency'!B109</f>
        <v>706747</v>
      </c>
      <c r="C13" s="18">
        <f>'FY 2013 by Agency'!C109</f>
        <v>717389</v>
      </c>
      <c r="D13" s="499">
        <f t="shared" si="4"/>
        <v>10642</v>
      </c>
      <c r="E13" s="500">
        <f t="shared" si="5"/>
        <v>1.5057722211767436E-2</v>
      </c>
      <c r="F13" s="18">
        <f>'FY 2013 by Agency'!F109</f>
        <v>636160</v>
      </c>
      <c r="G13" s="499">
        <f t="shared" si="6"/>
        <v>-81229</v>
      </c>
      <c r="H13" s="500">
        <f t="shared" si="7"/>
        <v>-0.11322866673450527</v>
      </c>
      <c r="I13" s="18">
        <f>'FY 2013 by Agency'!I109</f>
        <v>659479</v>
      </c>
      <c r="J13" s="499">
        <f t="shared" si="8"/>
        <v>23319</v>
      </c>
      <c r="K13" s="500">
        <f t="shared" si="9"/>
        <v>3.6655872736418509E-2</v>
      </c>
      <c r="L13" s="18">
        <f>'FY 2013 by Agency'!L109</f>
        <v>746064</v>
      </c>
      <c r="M13" s="18">
        <f>'FY 2013 by Agency'!M109</f>
        <v>86583</v>
      </c>
      <c r="N13" s="42">
        <f>'FY 2013 by Agency'!N109</f>
        <v>0.13128960500757414</v>
      </c>
      <c r="O13" s="18">
        <f>'FY 2013 by Agency'!O109</f>
        <v>805467</v>
      </c>
      <c r="P13" s="18">
        <f t="shared" si="10"/>
        <v>59403</v>
      </c>
      <c r="Q13" s="42">
        <f t="shared" si="11"/>
        <v>7.9621855497651675E-2</v>
      </c>
      <c r="R13" s="19">
        <f>'FY 2013 by Agency'!R109</f>
        <v>894748</v>
      </c>
      <c r="S13" s="18">
        <f t="shared" si="12"/>
        <v>89281</v>
      </c>
      <c r="T13" s="42">
        <f t="shared" si="13"/>
        <v>0.11084377137735003</v>
      </c>
      <c r="U13" s="22">
        <f>'FY 2013 by Agency'!U109</f>
        <v>961430</v>
      </c>
      <c r="V13" s="22">
        <f t="shared" si="14"/>
        <v>66682</v>
      </c>
      <c r="W13" s="41">
        <f t="shared" si="15"/>
        <v>7.4526011793264693E-2</v>
      </c>
      <c r="X13" s="35">
        <f>'FY 2013 by Agency'!X109</f>
        <v>1044461</v>
      </c>
      <c r="Y13" s="35">
        <f t="shared" si="16"/>
        <v>83031</v>
      </c>
      <c r="Z13" s="41">
        <f t="shared" si="17"/>
        <v>8.6361981631528043E-2</v>
      </c>
      <c r="AA13" s="43" t="e">
        <f>'FY 2013 by Agency'!#REF!</f>
        <v>#REF!</v>
      </c>
      <c r="AB13" s="43">
        <f>'FY 2013 by Agency'!AA109</f>
        <v>1013227</v>
      </c>
      <c r="AC13" s="35">
        <f t="shared" si="0"/>
        <v>-31234</v>
      </c>
      <c r="AD13" s="42">
        <f t="shared" si="1"/>
        <v>-2.9904419600157401E-2</v>
      </c>
      <c r="AE13" s="43">
        <f>'FY 2013 by Agency'!AF109</f>
        <v>1006117</v>
      </c>
      <c r="AF13" s="35">
        <f t="shared" si="2"/>
        <v>-7110</v>
      </c>
      <c r="AG13" s="42">
        <f t="shared" si="3"/>
        <v>-7.01718371105389E-3</v>
      </c>
      <c r="AH13" s="43">
        <f>'FY 2013 by Agency'!AS109</f>
        <v>1031119.9855300003</v>
      </c>
      <c r="AI13" s="35">
        <f t="shared" si="18"/>
        <v>25002.985530000296</v>
      </c>
      <c r="AJ13" s="508">
        <f t="shared" si="19"/>
        <v>2.4850972133459923E-2</v>
      </c>
      <c r="AK13" s="43">
        <f>'FY 2013 by Agency'!BE109</f>
        <v>973334</v>
      </c>
      <c r="AL13" s="498">
        <f t="shared" si="20"/>
        <v>-57785.985530000296</v>
      </c>
      <c r="AM13" s="508">
        <f t="shared" si="21"/>
        <v>-5.6041960529256973E-2</v>
      </c>
      <c r="AN13" s="43">
        <f>'FY 2013 by Agency'!BN109</f>
        <v>994221</v>
      </c>
      <c r="AO13" s="527">
        <f t="shared" si="22"/>
        <v>20887</v>
      </c>
      <c r="AP13" s="276">
        <f t="shared" si="23"/>
        <v>2.145923187723844E-2</v>
      </c>
    </row>
    <row r="14" spans="1:73" s="115" customFormat="1" ht="19.5" customHeight="1" thickBot="1">
      <c r="A14" s="229" t="s">
        <v>52</v>
      </c>
      <c r="B14" s="230">
        <f>'FY 2013 by Agency'!B133</f>
        <v>759641</v>
      </c>
      <c r="C14" s="230">
        <f>'FY 2013 by Agency'!C133</f>
        <v>980005</v>
      </c>
      <c r="D14" s="501">
        <f t="shared" si="4"/>
        <v>220364</v>
      </c>
      <c r="E14" s="502">
        <f t="shared" si="5"/>
        <v>0.29008966077397086</v>
      </c>
      <c r="F14" s="230">
        <f>'FY 2013 by Agency'!F133</f>
        <v>955185</v>
      </c>
      <c r="G14" s="501">
        <f t="shared" si="6"/>
        <v>-24820</v>
      </c>
      <c r="H14" s="502">
        <f t="shared" si="7"/>
        <v>-2.5326401395911247E-2</v>
      </c>
      <c r="I14" s="230">
        <f>'FY 2013 by Agency'!I133</f>
        <v>938612</v>
      </c>
      <c r="J14" s="501">
        <f t="shared" si="8"/>
        <v>-16573</v>
      </c>
      <c r="K14" s="502">
        <f t="shared" si="9"/>
        <v>-1.7350565597240325E-2</v>
      </c>
      <c r="L14" s="230">
        <f>'FY 2013 by Agency'!L133</f>
        <v>1050028</v>
      </c>
      <c r="M14" s="230">
        <f>'FY 2013 by Agency'!M133</f>
        <v>126895</v>
      </c>
      <c r="N14" s="231">
        <f>'FY 2013 by Agency'!N133</f>
        <v>0.13872733156373401</v>
      </c>
      <c r="O14" s="230">
        <f>'FY 2013 by Agency'!O133</f>
        <v>1145955</v>
      </c>
      <c r="P14" s="230">
        <f t="shared" si="10"/>
        <v>95927</v>
      </c>
      <c r="Q14" s="231">
        <f t="shared" si="11"/>
        <v>9.1356611442742486E-2</v>
      </c>
      <c r="R14" s="232">
        <f>'FY 2013 by Agency'!R133</f>
        <v>1225569</v>
      </c>
      <c r="S14" s="230">
        <f t="shared" si="12"/>
        <v>79614</v>
      </c>
      <c r="T14" s="231">
        <f t="shared" si="13"/>
        <v>6.9473932222469476E-2</v>
      </c>
      <c r="U14" s="233">
        <f>'FY 2013 by Agency'!U133</f>
        <v>1285587</v>
      </c>
      <c r="V14" s="233">
        <f t="shared" si="14"/>
        <v>60018</v>
      </c>
      <c r="W14" s="234">
        <f t="shared" si="15"/>
        <v>4.8971538934160376E-2</v>
      </c>
      <c r="X14" s="235">
        <f>'FY 2013 by Agency'!X133</f>
        <v>1447463</v>
      </c>
      <c r="Y14" s="235">
        <f t="shared" si="16"/>
        <v>161876</v>
      </c>
      <c r="Z14" s="234">
        <f t="shared" si="17"/>
        <v>0.12591602124165849</v>
      </c>
      <c r="AA14" s="236" t="e">
        <f>'FY 2013 by Agency'!#REF!</f>
        <v>#REF!</v>
      </c>
      <c r="AB14" s="236">
        <f>'FY 2013 by Agency'!AA133</f>
        <v>1431098</v>
      </c>
      <c r="AC14" s="235">
        <f t="shared" si="0"/>
        <v>-16365</v>
      </c>
      <c r="AD14" s="231">
        <f t="shared" si="1"/>
        <v>-1.1305988477771107E-2</v>
      </c>
      <c r="AE14" s="236">
        <f>'FY 2013 by Agency'!AF133</f>
        <v>1406984</v>
      </c>
      <c r="AF14" s="235">
        <f t="shared" si="2"/>
        <v>-24114</v>
      </c>
      <c r="AG14" s="231">
        <f t="shared" si="3"/>
        <v>-1.6849999091606584E-2</v>
      </c>
      <c r="AH14" s="236">
        <f>'FY 2013 by Agency'!AS133</f>
        <v>1502121.8110200004</v>
      </c>
      <c r="AI14" s="235">
        <f t="shared" si="18"/>
        <v>95137.811020000372</v>
      </c>
      <c r="AJ14" s="509">
        <f t="shared" si="19"/>
        <v>6.7618260776242209E-2</v>
      </c>
      <c r="AK14" s="236">
        <f>'FY 2013 by Agency'!BE133</f>
        <v>1603564</v>
      </c>
      <c r="AL14" s="516">
        <f t="shared" si="20"/>
        <v>101442.18897999963</v>
      </c>
      <c r="AM14" s="509">
        <f t="shared" si="21"/>
        <v>6.7532598379033151E-2</v>
      </c>
      <c r="AN14" s="236">
        <f>'FY 2013 by Agency'!BN133</f>
        <v>1661274</v>
      </c>
      <c r="AO14" s="527">
        <f t="shared" si="22"/>
        <v>57710</v>
      </c>
      <c r="AP14" s="276">
        <f t="shared" si="23"/>
        <v>3.5988585425963664E-2</v>
      </c>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row>
    <row r="15" spans="1:73" s="5" customFormat="1" ht="19.5" customHeight="1" thickBot="1">
      <c r="A15" s="9" t="s">
        <v>53</v>
      </c>
      <c r="B15" s="18">
        <f>'FY 2013 by Agency'!B166</f>
        <v>790990</v>
      </c>
      <c r="C15" s="18">
        <f>'FY 2013 by Agency'!C166</f>
        <v>933649</v>
      </c>
      <c r="D15" s="499">
        <f t="shared" si="4"/>
        <v>142659</v>
      </c>
      <c r="E15" s="500">
        <f t="shared" si="5"/>
        <v>0.18035499816685419</v>
      </c>
      <c r="F15" s="18">
        <f>'FY 2013 by Agency'!F166</f>
        <v>1043924</v>
      </c>
      <c r="G15" s="499">
        <f t="shared" si="6"/>
        <v>110275</v>
      </c>
      <c r="H15" s="500">
        <f t="shared" si="7"/>
        <v>0.11811183860315815</v>
      </c>
      <c r="I15" s="18">
        <f>'FY 2013 by Agency'!I166</f>
        <v>1064742</v>
      </c>
      <c r="J15" s="499">
        <f t="shared" si="8"/>
        <v>20818</v>
      </c>
      <c r="K15" s="500">
        <f t="shared" si="9"/>
        <v>1.9942064748008477E-2</v>
      </c>
      <c r="L15" s="18">
        <f>'FY 2013 by Agency'!L166</f>
        <v>1091868</v>
      </c>
      <c r="M15" s="18">
        <f>'FY 2013 by Agency'!M166</f>
        <v>-244746</v>
      </c>
      <c r="N15" s="42">
        <f>'FY 2013 by Agency'!N166</f>
        <v>-0.17972453781216405</v>
      </c>
      <c r="O15" s="18">
        <f>'FY 2013 by Agency'!O166</f>
        <v>1183582</v>
      </c>
      <c r="P15" s="18">
        <f t="shared" si="10"/>
        <v>91714</v>
      </c>
      <c r="Q15" s="42">
        <f t="shared" si="11"/>
        <v>8.399733301095004E-2</v>
      </c>
      <c r="R15" s="19">
        <f>'FY 2013 by Agency'!R166</f>
        <v>1263548</v>
      </c>
      <c r="S15" s="18">
        <f t="shared" si="12"/>
        <v>79966</v>
      </c>
      <c r="T15" s="42">
        <f t="shared" si="13"/>
        <v>6.756270372479474E-2</v>
      </c>
      <c r="U15" s="22">
        <f>'FY 2013 by Agency'!U166</f>
        <v>1467789</v>
      </c>
      <c r="V15" s="22">
        <f t="shared" si="14"/>
        <v>204241</v>
      </c>
      <c r="W15" s="41">
        <f t="shared" si="15"/>
        <v>0.16164087157749449</v>
      </c>
      <c r="X15" s="35">
        <f>'FY 2013 by Agency'!X166</f>
        <v>1606978</v>
      </c>
      <c r="Y15" s="35">
        <f t="shared" si="16"/>
        <v>139189</v>
      </c>
      <c r="Z15" s="41">
        <f t="shared" si="17"/>
        <v>9.4829025152797841E-2</v>
      </c>
      <c r="AA15" s="43" t="e">
        <f>'FY 2013 by Agency'!#REF!</f>
        <v>#REF!</v>
      </c>
      <c r="AB15" s="43">
        <f>'FY 2013 by Agency'!AA166</f>
        <v>1445377</v>
      </c>
      <c r="AC15" s="35">
        <f t="shared" si="0"/>
        <v>-161601</v>
      </c>
      <c r="AD15" s="42">
        <f t="shared" si="1"/>
        <v>-0.10056204876482441</v>
      </c>
      <c r="AE15" s="43">
        <f>'FY 2013 by Agency'!AF166</f>
        <v>1471128</v>
      </c>
      <c r="AF15" s="35">
        <f t="shared" si="2"/>
        <v>25751</v>
      </c>
      <c r="AG15" s="42">
        <f t="shared" si="3"/>
        <v>1.7816113027950494E-2</v>
      </c>
      <c r="AH15" s="43">
        <f>'FY 2013 by Agency'!AS166</f>
        <v>1477284.8808900001</v>
      </c>
      <c r="AI15" s="35">
        <f t="shared" si="18"/>
        <v>6156.8808900001459</v>
      </c>
      <c r="AJ15" s="508">
        <f t="shared" si="19"/>
        <v>4.1851428903536235E-3</v>
      </c>
      <c r="AK15" s="43">
        <f>'FY 2013 by Agency'!BE166</f>
        <v>1586516</v>
      </c>
      <c r="AL15" s="498">
        <f t="shared" si="20"/>
        <v>109231.11910999985</v>
      </c>
      <c r="AM15" s="508">
        <f t="shared" si="21"/>
        <v>7.3940456930820839E-2</v>
      </c>
      <c r="AN15" s="43">
        <f>'FY 2013 by Agency'!BN166</f>
        <v>1646039</v>
      </c>
      <c r="AO15" s="527">
        <f t="shared" si="22"/>
        <v>59523</v>
      </c>
      <c r="AP15" s="276">
        <f t="shared" si="23"/>
        <v>3.7518058437481877E-2</v>
      </c>
    </row>
    <row r="16" spans="1:73" s="115" customFormat="1" ht="19.5" customHeight="1" thickBot="1">
      <c r="A16" s="229" t="s">
        <v>30</v>
      </c>
      <c r="B16" s="230">
        <f>'FY 2013 by Agency'!B188</f>
        <v>268876</v>
      </c>
      <c r="C16" s="230">
        <f>'FY 2013 by Agency'!C188</f>
        <v>295866</v>
      </c>
      <c r="D16" s="501">
        <f t="shared" si="4"/>
        <v>26990</v>
      </c>
      <c r="E16" s="502">
        <f t="shared" si="5"/>
        <v>0.10038084470164686</v>
      </c>
      <c r="F16" s="230">
        <f>'FY 2013 by Agency'!F188</f>
        <v>308069</v>
      </c>
      <c r="G16" s="501">
        <f t="shared" si="6"/>
        <v>12203</v>
      </c>
      <c r="H16" s="502">
        <f t="shared" si="7"/>
        <v>4.1245023084774866E-2</v>
      </c>
      <c r="I16" s="230">
        <f>'FY 2013 by Agency'!I188</f>
        <v>309536</v>
      </c>
      <c r="J16" s="501">
        <f t="shared" si="8"/>
        <v>1467</v>
      </c>
      <c r="K16" s="502">
        <f t="shared" si="9"/>
        <v>4.7619202191716793E-3</v>
      </c>
      <c r="L16" s="230">
        <f>'FY 2013 by Agency'!L188</f>
        <v>316597</v>
      </c>
      <c r="M16" s="230">
        <f>'FY 2013 by Agency'!M188</f>
        <v>7952</v>
      </c>
      <c r="N16" s="231">
        <f>'FY 2013 by Agency'!N188</f>
        <v>2.5930322042078079E-2</v>
      </c>
      <c r="O16" s="230">
        <f>'FY 2013 by Agency'!O188</f>
        <v>405603</v>
      </c>
      <c r="P16" s="230">
        <f t="shared" si="10"/>
        <v>89006</v>
      </c>
      <c r="Q16" s="231">
        <f t="shared" si="11"/>
        <v>0.28113342830159477</v>
      </c>
      <c r="R16" s="232">
        <f>'FY 2013 by Agency'!R188</f>
        <v>366801</v>
      </c>
      <c r="S16" s="230">
        <f t="shared" si="12"/>
        <v>-38802</v>
      </c>
      <c r="T16" s="231">
        <f t="shared" si="13"/>
        <v>-9.5664972892212333E-2</v>
      </c>
      <c r="U16" s="233">
        <f>'FY 2013 by Agency'!U188</f>
        <v>429972</v>
      </c>
      <c r="V16" s="233">
        <f t="shared" si="14"/>
        <v>63171</v>
      </c>
      <c r="W16" s="234">
        <f t="shared" si="15"/>
        <v>0.17222144977794498</v>
      </c>
      <c r="X16" s="235">
        <f>'FY 2013 by Agency'!X188</f>
        <v>563777</v>
      </c>
      <c r="Y16" s="235">
        <f t="shared" si="16"/>
        <v>133805</v>
      </c>
      <c r="Z16" s="234">
        <f t="shared" si="17"/>
        <v>0.31119468244443826</v>
      </c>
      <c r="AA16" s="236" t="e">
        <f>'FY 2013 by Agency'!#REF!</f>
        <v>#REF!</v>
      </c>
      <c r="AB16" s="236">
        <f>'FY 2013 by Agency'!AA188</f>
        <v>602284</v>
      </c>
      <c r="AC16" s="235">
        <f t="shared" si="0"/>
        <v>38507</v>
      </c>
      <c r="AD16" s="231">
        <f t="shared" si="1"/>
        <v>6.8301828559873851E-2</v>
      </c>
      <c r="AE16" s="236">
        <f>'FY 2013 by Agency'!AF188</f>
        <v>560203</v>
      </c>
      <c r="AF16" s="235">
        <f t="shared" si="2"/>
        <v>-42081</v>
      </c>
      <c r="AG16" s="231">
        <f t="shared" si="3"/>
        <v>-6.9869031885289992E-2</v>
      </c>
      <c r="AH16" s="236">
        <f>'FY 2013 by Agency'!AS188</f>
        <v>538838.50092999998</v>
      </c>
      <c r="AI16" s="235">
        <f t="shared" si="18"/>
        <v>-21364.49907000002</v>
      </c>
      <c r="AJ16" s="509">
        <f t="shared" si="19"/>
        <v>-3.8137066509818796E-2</v>
      </c>
      <c r="AK16" s="236">
        <f>'FY 2013 by Agency'!BE188</f>
        <v>530516</v>
      </c>
      <c r="AL16" s="516">
        <f t="shared" si="20"/>
        <v>-8322.5009299999801</v>
      </c>
      <c r="AM16" s="509">
        <f t="shared" si="21"/>
        <v>-1.5445260343564702E-2</v>
      </c>
      <c r="AN16" s="236">
        <f>'FY 2013 by Agency'!BN188</f>
        <v>574847</v>
      </c>
      <c r="AO16" s="527">
        <f t="shared" si="22"/>
        <v>44331</v>
      </c>
      <c r="AP16" s="276">
        <f t="shared" si="23"/>
        <v>8.3562041484139968E-2</v>
      </c>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row>
    <row r="17" spans="1:73" s="5" customFormat="1" ht="19.5" customHeight="1" thickBot="1">
      <c r="A17" s="8" t="s">
        <v>54</v>
      </c>
      <c r="B17" s="18">
        <f>'FY 2013 by Agency'!B222</f>
        <v>394753</v>
      </c>
      <c r="C17" s="18">
        <f>'FY 2013 by Agency'!C222</f>
        <v>272071</v>
      </c>
      <c r="D17" s="499">
        <f t="shared" si="4"/>
        <v>-122682</v>
      </c>
      <c r="E17" s="500">
        <f t="shared" si="5"/>
        <v>-0.3107816786699531</v>
      </c>
      <c r="F17" s="18">
        <f>'FY 2013 by Agency'!F222</f>
        <v>278480</v>
      </c>
      <c r="G17" s="499">
        <f t="shared" si="6"/>
        <v>6409</v>
      </c>
      <c r="H17" s="500">
        <f t="shared" si="7"/>
        <v>2.3556351099529166E-2</v>
      </c>
      <c r="I17" s="18">
        <f>'FY 2013 by Agency'!I222</f>
        <v>294072</v>
      </c>
      <c r="J17" s="499">
        <f t="shared" si="8"/>
        <v>15592</v>
      </c>
      <c r="K17" s="500">
        <f t="shared" si="9"/>
        <v>5.5989658144211432E-2</v>
      </c>
      <c r="L17" s="19">
        <f>'FY 2013 by Agency'!L222</f>
        <v>399023</v>
      </c>
      <c r="M17" s="19">
        <f>'FY 2013 by Agency'!M222</f>
        <v>115575</v>
      </c>
      <c r="N17" s="19" t="str">
        <f>'FY 2013 by Agency'!N222</f>
        <v>—</v>
      </c>
      <c r="O17" s="19">
        <f>'FY 2013 by Agency'!O222</f>
        <v>428753</v>
      </c>
      <c r="P17" s="18">
        <f t="shared" si="10"/>
        <v>29730</v>
      </c>
      <c r="Q17" s="42">
        <f t="shared" si="11"/>
        <v>7.4506983306726685E-2</v>
      </c>
      <c r="R17" s="19">
        <f>'FY 2013 by Agency'!R222</f>
        <v>858298</v>
      </c>
      <c r="S17" s="18">
        <f t="shared" si="12"/>
        <v>429545</v>
      </c>
      <c r="T17" s="42">
        <f t="shared" si="13"/>
        <v>1.0018472173955635</v>
      </c>
      <c r="U17" s="19">
        <f>'FY 2013 by Agency'!U222</f>
        <v>605800</v>
      </c>
      <c r="V17" s="22">
        <f t="shared" si="14"/>
        <v>-252498</v>
      </c>
      <c r="W17" s="41">
        <f t="shared" si="15"/>
        <v>-0.29418453730522498</v>
      </c>
      <c r="X17" s="19">
        <f>'FY 2013 by Agency'!X222</f>
        <v>835883</v>
      </c>
      <c r="Y17" s="35">
        <f t="shared" si="16"/>
        <v>230083</v>
      </c>
      <c r="Z17" s="41">
        <f t="shared" si="17"/>
        <v>0.37980026411356882</v>
      </c>
      <c r="AA17" s="44" t="e">
        <f>'FY 2013 by Agency'!#REF!</f>
        <v>#REF!</v>
      </c>
      <c r="AB17" s="44">
        <f>'FY 2013 by Agency'!AA222</f>
        <v>967827</v>
      </c>
      <c r="AC17" s="35">
        <f t="shared" si="0"/>
        <v>131944</v>
      </c>
      <c r="AD17" s="42">
        <f t="shared" si="1"/>
        <v>0.15784984262151522</v>
      </c>
      <c r="AE17" s="43">
        <f>'FY 2013 by Agency'!AF222</f>
        <v>764487</v>
      </c>
      <c r="AF17" s="35">
        <f t="shared" si="2"/>
        <v>-203340</v>
      </c>
      <c r="AG17" s="42">
        <f t="shared" si="3"/>
        <v>-0.21009953225111513</v>
      </c>
      <c r="AH17" s="43">
        <f>'FY 2013 by Agency'!AS222</f>
        <v>861536.56293000001</v>
      </c>
      <c r="AI17" s="35">
        <f t="shared" si="18"/>
        <v>97049.562930000015</v>
      </c>
      <c r="AJ17" s="508">
        <f t="shared" si="19"/>
        <v>0.12694730313268901</v>
      </c>
      <c r="AK17" s="43">
        <f>'FY 2013 by Agency'!BE222</f>
        <v>1002473</v>
      </c>
      <c r="AL17" s="498">
        <f t="shared" si="20"/>
        <v>140936.43706999999</v>
      </c>
      <c r="AM17" s="508">
        <f t="shared" si="21"/>
        <v>0.16358729638901129</v>
      </c>
      <c r="AN17" s="43">
        <f>'FY 2013 by Agency'!BN222</f>
        <v>1033696</v>
      </c>
      <c r="AO17" s="527">
        <f t="shared" si="22"/>
        <v>31223</v>
      </c>
      <c r="AP17" s="276">
        <f t="shared" si="23"/>
        <v>3.1145976001348663E-2</v>
      </c>
    </row>
    <row r="18" spans="1:73" s="239" customFormat="1" ht="19.5" customHeight="1" thickBot="1">
      <c r="A18" s="237" t="s">
        <v>48</v>
      </c>
      <c r="B18" s="230">
        <f>'FY 2013 by Agency'!B242</f>
        <v>3216212</v>
      </c>
      <c r="C18" s="230">
        <f>'FY 2013 by Agency'!C242</f>
        <v>3526215</v>
      </c>
      <c r="D18" s="501">
        <f t="shared" si="4"/>
        <v>310003</v>
      </c>
      <c r="E18" s="502">
        <f t="shared" si="5"/>
        <v>9.638761375182979E-2</v>
      </c>
      <c r="F18" s="230">
        <f>'FY 2013 by Agency'!F242</f>
        <v>3570540</v>
      </c>
      <c r="G18" s="501">
        <f t="shared" si="6"/>
        <v>44325</v>
      </c>
      <c r="H18" s="502">
        <f t="shared" si="7"/>
        <v>1.2570135400138675E-2</v>
      </c>
      <c r="I18" s="230">
        <f>'FY 2013 by Agency'!I242</f>
        <v>3608249</v>
      </c>
      <c r="J18" s="501">
        <f t="shared" si="8"/>
        <v>37709</v>
      </c>
      <c r="K18" s="502">
        <f t="shared" si="9"/>
        <v>1.0561147613526245E-2</v>
      </c>
      <c r="L18" s="232">
        <f>'FY 2013 by Agency'!L242</f>
        <v>3986249</v>
      </c>
      <c r="M18" s="232">
        <f>'FY 2013 by Agency'!M242</f>
        <v>119050</v>
      </c>
      <c r="N18" s="232" t="str">
        <f>'FY 2013 by Agency'!N242</f>
        <v>—</v>
      </c>
      <c r="O18" s="232">
        <f>'FY 2013 by Agency'!O242</f>
        <v>4449363</v>
      </c>
      <c r="P18" s="230">
        <f t="shared" si="10"/>
        <v>463114</v>
      </c>
      <c r="Q18" s="231">
        <f t="shared" si="11"/>
        <v>0.11617789054321494</v>
      </c>
      <c r="R18" s="232">
        <f>'FY 2013 by Agency'!R242</f>
        <v>5194334</v>
      </c>
      <c r="S18" s="230">
        <f t="shared" si="12"/>
        <v>744971</v>
      </c>
      <c r="T18" s="231">
        <f t="shared" si="13"/>
        <v>0.16743318088454459</v>
      </c>
      <c r="U18" s="232">
        <f>'FY 2013 by Agency'!U242</f>
        <v>5490146</v>
      </c>
      <c r="V18" s="233">
        <f t="shared" si="14"/>
        <v>295812</v>
      </c>
      <c r="W18" s="234">
        <f>V18/R18</f>
        <v>5.6948975556827881E-2</v>
      </c>
      <c r="X18" s="232">
        <f>'FY 2013 by Agency'!X242</f>
        <v>6283891</v>
      </c>
      <c r="Y18" s="235">
        <f t="shared" si="16"/>
        <v>793745</v>
      </c>
      <c r="Z18" s="234">
        <f t="shared" si="17"/>
        <v>0.1445763008852588</v>
      </c>
      <c r="AA18" s="238" t="e">
        <f>'FY 2013 by Agency'!#REF!</f>
        <v>#REF!</v>
      </c>
      <c r="AB18" s="238">
        <f>'FY 2013 by Agency'!AA242</f>
        <v>6256680</v>
      </c>
      <c r="AC18" s="235">
        <f t="shared" si="0"/>
        <v>-27211</v>
      </c>
      <c r="AD18" s="231">
        <f t="shared" si="1"/>
        <v>-4.3302788033719869E-3</v>
      </c>
      <c r="AE18" s="236">
        <f>'FY 2013 by Agency'!AF242</f>
        <v>5823850</v>
      </c>
      <c r="AF18" s="235">
        <f t="shared" si="2"/>
        <v>-432830</v>
      </c>
      <c r="AG18" s="231">
        <f t="shared" si="3"/>
        <v>-6.917886163268698E-2</v>
      </c>
      <c r="AH18" s="236">
        <f>'FY 2013 by Agency'!AS242</f>
        <v>6164783.4165400006</v>
      </c>
      <c r="AI18" s="235">
        <f t="shared" si="18"/>
        <v>340933.41654000059</v>
      </c>
      <c r="AJ18" s="509">
        <f t="shared" si="19"/>
        <v>5.8540899326047301E-2</v>
      </c>
      <c r="AK18" s="236">
        <f>'FY 2013 by Agency'!BE242</f>
        <v>6445514</v>
      </c>
      <c r="AL18" s="516">
        <f t="shared" si="20"/>
        <v>280730.58345999941</v>
      </c>
      <c r="AM18" s="509">
        <f t="shared" si="21"/>
        <v>4.5537785270250437E-2</v>
      </c>
      <c r="AN18" s="236">
        <f>'FY 2013 by Agency'!BN242</f>
        <v>6748667</v>
      </c>
      <c r="AO18" s="527">
        <f t="shared" si="22"/>
        <v>303153</v>
      </c>
      <c r="AP18" s="276">
        <f t="shared" si="23"/>
        <v>4.7033176873093441E-2</v>
      </c>
      <c r="AQ18" s="20"/>
      <c r="AR18" s="20"/>
      <c r="AS18" s="20"/>
      <c r="AT18" s="20"/>
      <c r="AU18" s="20"/>
      <c r="AV18" s="20"/>
      <c r="AW18" s="20"/>
      <c r="AX18" s="20"/>
      <c r="AY18" s="20"/>
      <c r="AZ18" s="20"/>
      <c r="BA18" s="20"/>
      <c r="BB18" s="20"/>
      <c r="BC18" s="20"/>
      <c r="BD18" s="20"/>
      <c r="BE18" s="20"/>
      <c r="BF18" s="20"/>
      <c r="BG18" s="20"/>
      <c r="BH18" s="20"/>
      <c r="BI18" s="20"/>
      <c r="BJ18" s="20"/>
      <c r="BK18" s="20"/>
      <c r="BL18" s="20"/>
      <c r="BM18" s="20"/>
      <c r="BN18" s="20"/>
      <c r="BO18" s="20"/>
      <c r="BP18" s="20"/>
      <c r="BQ18" s="20"/>
      <c r="BR18" s="20"/>
      <c r="BS18" s="20"/>
      <c r="BT18" s="20"/>
      <c r="BU18" s="20"/>
    </row>
    <row r="19" spans="1:73" ht="19.5" customHeight="1">
      <c r="A19" s="6"/>
      <c r="B19" s="6"/>
      <c r="C19" s="6"/>
      <c r="D19" s="6"/>
      <c r="E19" s="6"/>
      <c r="F19" s="6"/>
      <c r="G19" s="6"/>
      <c r="H19" s="6"/>
      <c r="I19" s="6"/>
      <c r="J19" s="6"/>
      <c r="K19" s="6"/>
      <c r="AA19" s="27"/>
      <c r="AB19" s="219"/>
      <c r="AE19" s="27"/>
      <c r="AF19" s="27"/>
      <c r="AG19" s="27"/>
      <c r="AH19" s="27"/>
    </row>
    <row r="20" spans="1:73" ht="19.5" customHeight="1">
      <c r="A20" s="7"/>
      <c r="B20" s="7"/>
      <c r="C20" s="7"/>
      <c r="D20" s="7"/>
      <c r="E20" s="7"/>
      <c r="F20" s="7"/>
      <c r="G20" s="7"/>
      <c r="H20" s="7"/>
      <c r="I20" s="7"/>
      <c r="J20" s="7"/>
      <c r="K20" s="7"/>
      <c r="AA20" s="27"/>
      <c r="AB20" s="27"/>
      <c r="AE20" s="27"/>
      <c r="AF20" s="27"/>
      <c r="AG20" s="27"/>
      <c r="AH20" s="27"/>
    </row>
    <row r="21" spans="1:73" ht="19.5" customHeight="1">
      <c r="A21" s="7"/>
      <c r="B21" s="7"/>
      <c r="C21" s="7"/>
      <c r="D21" s="7"/>
      <c r="E21" s="7"/>
      <c r="F21" s="7"/>
      <c r="G21" s="7"/>
      <c r="H21" s="7"/>
      <c r="I21" s="7"/>
      <c r="J21" s="7"/>
      <c r="K21" s="7"/>
    </row>
    <row r="22" spans="1:73" ht="19.5" customHeight="1">
      <c r="A22" s="3"/>
      <c r="B22" s="3"/>
      <c r="C22" s="3"/>
      <c r="D22" s="3"/>
      <c r="E22" s="3"/>
      <c r="F22" s="3"/>
      <c r="G22" s="3"/>
      <c r="H22" s="3"/>
      <c r="I22" s="3"/>
      <c r="J22" s="3"/>
      <c r="K22" s="3"/>
      <c r="L22" s="11"/>
      <c r="M22" s="32"/>
      <c r="N22" s="29"/>
      <c r="O22" s="31"/>
      <c r="P22" s="10"/>
      <c r="Q22" s="10"/>
      <c r="R22" s="31"/>
    </row>
    <row r="23" spans="1:73" ht="19.5" customHeight="1">
      <c r="A23" s="3"/>
      <c r="B23" s="3"/>
      <c r="C23" s="3"/>
      <c r="D23" s="3"/>
      <c r="E23" s="3"/>
      <c r="F23" s="3"/>
      <c r="G23" s="3"/>
      <c r="H23" s="3"/>
      <c r="I23" s="3"/>
      <c r="J23" s="3"/>
      <c r="K23" s="3"/>
      <c r="L23" s="11"/>
      <c r="M23" s="32"/>
      <c r="N23" s="29"/>
      <c r="O23" s="31"/>
      <c r="P23" s="10"/>
      <c r="Q23" s="10"/>
      <c r="R23" s="31"/>
    </row>
    <row r="24" spans="1:73" ht="19.5" customHeight="1">
      <c r="A24" s="3"/>
      <c r="B24" s="3"/>
      <c r="C24" s="3"/>
      <c r="D24" s="3"/>
      <c r="E24" s="3"/>
      <c r="F24" s="3"/>
      <c r="G24" s="3"/>
      <c r="H24" s="3"/>
      <c r="I24" s="3"/>
      <c r="J24" s="3"/>
      <c r="K24" s="3"/>
      <c r="L24" s="11"/>
      <c r="M24" s="32"/>
      <c r="N24" s="29"/>
      <c r="O24" s="31"/>
      <c r="P24" s="10"/>
      <c r="Q24" s="10"/>
      <c r="R24" s="31"/>
    </row>
    <row r="25" spans="1:73" ht="19.5" customHeight="1">
      <c r="A25" s="3"/>
      <c r="B25" s="3"/>
      <c r="C25" s="3"/>
      <c r="D25" s="3"/>
      <c r="E25" s="3"/>
      <c r="F25" s="3"/>
      <c r="G25" s="3"/>
      <c r="H25" s="3"/>
      <c r="I25" s="3"/>
      <c r="J25" s="3"/>
      <c r="K25" s="3"/>
      <c r="L25" s="11"/>
      <c r="M25" s="32"/>
      <c r="N25" s="29"/>
      <c r="O25" s="31"/>
      <c r="P25" s="10"/>
      <c r="Q25" s="10"/>
      <c r="R25" s="31"/>
    </row>
    <row r="26" spans="1:73" ht="19.5" customHeight="1">
      <c r="A26" s="3"/>
      <c r="B26" s="3"/>
      <c r="C26" s="3"/>
      <c r="D26" s="3"/>
      <c r="E26" s="3"/>
      <c r="F26" s="3"/>
      <c r="G26" s="3"/>
      <c r="H26" s="3"/>
      <c r="I26" s="3"/>
      <c r="J26" s="3"/>
      <c r="K26" s="3"/>
      <c r="L26" s="11"/>
      <c r="M26" s="32"/>
      <c r="N26" s="29"/>
      <c r="O26" s="31"/>
      <c r="P26" s="10"/>
      <c r="Q26" s="10"/>
      <c r="R26" s="31"/>
    </row>
    <row r="27" spans="1:73" ht="19.5" customHeight="1">
      <c r="A27" s="3"/>
      <c r="B27" s="3"/>
      <c r="C27" s="3"/>
      <c r="D27" s="3"/>
      <c r="E27" s="3"/>
      <c r="F27" s="3"/>
      <c r="G27" s="3"/>
      <c r="H27" s="3"/>
      <c r="I27" s="3"/>
      <c r="J27" s="3"/>
      <c r="K27" s="3"/>
      <c r="L27" s="11"/>
      <c r="M27" s="32"/>
      <c r="N27" s="29"/>
      <c r="O27" s="31"/>
      <c r="P27" s="10"/>
      <c r="Q27" s="10"/>
      <c r="R27" s="31"/>
    </row>
    <row r="28" spans="1:73" ht="19.5" customHeight="1">
      <c r="A28" s="3"/>
      <c r="B28" s="3"/>
      <c r="C28" s="3"/>
      <c r="D28" s="3"/>
      <c r="E28" s="3"/>
      <c r="F28" s="3"/>
      <c r="G28" s="3"/>
      <c r="H28" s="3"/>
      <c r="I28" s="3"/>
      <c r="J28" s="3"/>
      <c r="K28" s="3"/>
      <c r="L28" s="11"/>
      <c r="M28" s="32"/>
      <c r="N28" s="29"/>
      <c r="O28" s="31"/>
      <c r="P28" s="10"/>
      <c r="Q28" s="10"/>
      <c r="R28" s="31"/>
    </row>
    <row r="29" spans="1:73" ht="19.5" customHeight="1">
      <c r="A29" s="49"/>
      <c r="B29" s="49"/>
      <c r="C29" s="49"/>
      <c r="D29" s="49"/>
      <c r="E29" s="49"/>
      <c r="F29" s="49"/>
      <c r="G29" s="49"/>
      <c r="H29" s="49"/>
      <c r="I29" s="49"/>
      <c r="J29" s="49"/>
      <c r="K29" s="49"/>
      <c r="L29" s="11"/>
      <c r="M29" s="32"/>
      <c r="N29" s="29"/>
      <c r="O29" s="31"/>
      <c r="P29" s="10"/>
      <c r="Q29" s="10"/>
      <c r="R29" s="31"/>
    </row>
    <row r="30" spans="1:73" ht="19.5" customHeight="1">
      <c r="A30" s="7"/>
      <c r="B30" s="7"/>
      <c r="C30" s="7"/>
      <c r="D30" s="7"/>
      <c r="E30" s="7"/>
      <c r="F30" s="7"/>
      <c r="G30" s="7"/>
      <c r="H30" s="7"/>
      <c r="I30" s="7"/>
      <c r="J30" s="7"/>
      <c r="K30" s="7"/>
      <c r="L30" s="7"/>
      <c r="M30" s="7"/>
      <c r="N30" s="11"/>
      <c r="O30" s="11"/>
    </row>
    <row r="31" spans="1:73" ht="19.5" customHeight="1">
      <c r="A31" s="23"/>
      <c r="B31" s="23"/>
      <c r="C31" s="23"/>
      <c r="D31" s="23"/>
      <c r="E31" s="23"/>
      <c r="F31" s="23"/>
      <c r="G31" s="23"/>
      <c r="H31" s="23"/>
      <c r="I31" s="23"/>
      <c r="J31" s="23"/>
      <c r="K31" s="23"/>
      <c r="L31" s="23"/>
      <c r="M31" s="23"/>
      <c r="N31" s="23"/>
      <c r="O31" s="23"/>
      <c r="P31" s="1"/>
      <c r="Q31" s="34"/>
    </row>
    <row r="32" spans="1:73" ht="19.5" customHeight="1">
      <c r="A32" s="23"/>
      <c r="B32" s="23"/>
      <c r="C32" s="23"/>
      <c r="D32" s="23"/>
      <c r="E32" s="23"/>
      <c r="F32" s="23"/>
      <c r="G32" s="23"/>
      <c r="H32" s="23"/>
      <c r="I32" s="23"/>
      <c r="J32" s="23"/>
      <c r="K32" s="23"/>
      <c r="L32" s="23"/>
      <c r="M32" s="23"/>
      <c r="N32" s="23"/>
      <c r="O32" s="23"/>
      <c r="P32" s="1"/>
      <c r="Q32" s="34"/>
    </row>
    <row r="33" spans="1:17" ht="19.5" customHeight="1">
      <c r="A33" s="23"/>
      <c r="B33" s="23"/>
      <c r="C33" s="23"/>
      <c r="D33" s="23"/>
      <c r="E33" s="23"/>
      <c r="F33" s="23"/>
      <c r="G33" s="23"/>
      <c r="H33" s="23"/>
      <c r="I33" s="23"/>
      <c r="J33" s="23"/>
      <c r="K33" s="23"/>
      <c r="L33" s="23"/>
      <c r="M33" s="23"/>
      <c r="N33" s="23"/>
      <c r="O33" s="23"/>
      <c r="P33" s="1"/>
      <c r="Q33" s="34"/>
    </row>
    <row r="34" spans="1:17" ht="19.5" customHeight="1">
      <c r="A34" s="23"/>
      <c r="B34" s="23"/>
      <c r="C34" s="23"/>
      <c r="D34" s="23"/>
      <c r="E34" s="23"/>
      <c r="F34" s="23"/>
      <c r="G34" s="23"/>
      <c r="H34" s="23"/>
      <c r="I34" s="23"/>
      <c r="J34" s="23"/>
      <c r="K34" s="23"/>
      <c r="L34" s="23"/>
      <c r="M34" s="23"/>
      <c r="N34" s="23"/>
      <c r="O34" s="23"/>
      <c r="P34" s="1"/>
      <c r="Q34" s="34"/>
    </row>
    <row r="35" spans="1:17" ht="19.5" customHeight="1">
      <c r="A35" s="23"/>
      <c r="B35" s="23"/>
      <c r="C35" s="23"/>
      <c r="D35" s="23"/>
      <c r="E35" s="23"/>
      <c r="F35" s="23"/>
      <c r="G35" s="23"/>
      <c r="H35" s="23"/>
      <c r="I35" s="23"/>
      <c r="J35" s="23"/>
      <c r="K35" s="23"/>
      <c r="L35" s="23"/>
      <c r="M35" s="23"/>
      <c r="N35" s="23"/>
      <c r="O35" s="23"/>
      <c r="P35" s="1"/>
      <c r="Q35" s="34"/>
    </row>
    <row r="36" spans="1:17" ht="19.5" customHeight="1">
      <c r="A36" s="23"/>
      <c r="B36" s="23"/>
      <c r="C36" s="23"/>
      <c r="D36" s="23"/>
      <c r="E36" s="23"/>
      <c r="F36" s="23"/>
      <c r="G36" s="23"/>
      <c r="H36" s="23"/>
      <c r="I36" s="23"/>
      <c r="J36" s="23"/>
      <c r="K36" s="23"/>
      <c r="L36" s="23"/>
      <c r="M36" s="23"/>
      <c r="N36" s="23"/>
      <c r="O36" s="23"/>
      <c r="P36" s="1"/>
      <c r="Q36" s="34"/>
    </row>
    <row r="37" spans="1:17" ht="19.5" customHeight="1">
      <c r="A37" s="23"/>
      <c r="B37" s="23"/>
      <c r="C37" s="23"/>
      <c r="D37" s="23"/>
      <c r="E37" s="23"/>
      <c r="F37" s="23"/>
      <c r="G37" s="23"/>
      <c r="H37" s="23"/>
      <c r="I37" s="23"/>
      <c r="J37" s="23"/>
      <c r="K37" s="23"/>
      <c r="L37" s="23"/>
      <c r="M37" s="23"/>
      <c r="N37" s="23"/>
      <c r="O37" s="23"/>
      <c r="P37" s="1"/>
      <c r="Q37" s="34"/>
    </row>
    <row r="38" spans="1:17" ht="19.5" customHeight="1">
      <c r="A38" s="23"/>
      <c r="B38" s="23"/>
      <c r="C38" s="23"/>
      <c r="D38" s="23"/>
      <c r="E38" s="23"/>
      <c r="F38" s="23"/>
      <c r="G38" s="23"/>
      <c r="H38" s="23"/>
      <c r="I38" s="23"/>
      <c r="J38" s="23"/>
      <c r="K38" s="23"/>
      <c r="L38" s="23"/>
      <c r="M38" s="23"/>
      <c r="N38" s="23"/>
      <c r="O38" s="23"/>
      <c r="P38" s="1"/>
      <c r="Q38" s="34"/>
    </row>
    <row r="39" spans="1:17" ht="19.5" customHeight="1">
      <c r="A39" s="23"/>
      <c r="B39" s="23"/>
      <c r="C39" s="23"/>
      <c r="D39" s="23"/>
      <c r="E39" s="23"/>
      <c r="F39" s="23"/>
      <c r="G39" s="23"/>
      <c r="H39" s="23"/>
      <c r="I39" s="23"/>
      <c r="J39" s="23"/>
      <c r="K39" s="23"/>
      <c r="L39" s="23"/>
      <c r="M39" s="23"/>
      <c r="N39" s="23"/>
      <c r="O39" s="23"/>
      <c r="P39" s="1"/>
      <c r="Q39" s="34"/>
    </row>
    <row r="40" spans="1:17" ht="19.5" customHeight="1">
      <c r="A40" s="23"/>
      <c r="B40" s="23"/>
      <c r="C40" s="23"/>
      <c r="D40" s="23"/>
      <c r="E40" s="23"/>
      <c r="F40" s="23"/>
      <c r="G40" s="23"/>
      <c r="H40" s="23"/>
      <c r="I40" s="23"/>
      <c r="J40" s="23"/>
      <c r="K40" s="23"/>
      <c r="L40" s="23"/>
      <c r="M40" s="23"/>
      <c r="N40" s="23"/>
      <c r="O40" s="23"/>
      <c r="P40" s="1"/>
      <c r="Q40" s="34"/>
    </row>
    <row r="41" spans="1:17" ht="19.5" customHeight="1">
      <c r="A41" s="23"/>
      <c r="B41" s="23"/>
      <c r="C41" s="23"/>
      <c r="D41" s="23"/>
      <c r="E41" s="23"/>
      <c r="F41" s="23"/>
      <c r="G41" s="23"/>
      <c r="H41" s="23"/>
      <c r="I41" s="23"/>
      <c r="J41" s="23"/>
      <c r="K41" s="23"/>
      <c r="L41" s="23"/>
      <c r="M41" s="23"/>
      <c r="N41" s="23"/>
      <c r="O41" s="23"/>
      <c r="P41" s="1"/>
      <c r="Q41" s="34"/>
    </row>
    <row r="42" spans="1:17" ht="19.5" customHeight="1">
      <c r="A42" s="23"/>
      <c r="B42" s="23"/>
      <c r="C42" s="23"/>
      <c r="D42" s="23"/>
      <c r="E42" s="23"/>
      <c r="F42" s="23"/>
      <c r="G42" s="23"/>
      <c r="H42" s="23"/>
      <c r="I42" s="23"/>
      <c r="J42" s="23"/>
      <c r="K42" s="23"/>
      <c r="L42" s="23"/>
      <c r="M42" s="23"/>
      <c r="N42" s="23"/>
      <c r="O42" s="23"/>
      <c r="P42" s="1"/>
      <c r="Q42" s="34"/>
    </row>
    <row r="43" spans="1:17" ht="19.5" customHeight="1">
      <c r="A43" s="23"/>
      <c r="B43" s="23"/>
      <c r="C43" s="23"/>
      <c r="D43" s="23"/>
      <c r="E43" s="23"/>
      <c r="F43" s="23"/>
      <c r="G43" s="23"/>
      <c r="H43" s="23"/>
      <c r="I43" s="23"/>
      <c r="J43" s="23"/>
      <c r="K43" s="23"/>
      <c r="L43" s="23"/>
      <c r="M43" s="23"/>
      <c r="N43" s="23"/>
      <c r="O43" s="23"/>
      <c r="P43" s="1"/>
      <c r="Q43" s="34"/>
    </row>
    <row r="44" spans="1:17" ht="19.5" customHeight="1">
      <c r="A44" s="23"/>
      <c r="B44" s="23"/>
      <c r="C44" s="23"/>
      <c r="D44" s="23"/>
      <c r="E44" s="23"/>
      <c r="F44" s="23"/>
      <c r="G44" s="23"/>
      <c r="H44" s="23"/>
      <c r="I44" s="23"/>
      <c r="J44" s="23"/>
      <c r="K44" s="23"/>
      <c r="L44" s="23"/>
      <c r="M44" s="23"/>
      <c r="N44" s="23"/>
      <c r="O44" s="23"/>
      <c r="P44" s="1"/>
      <c r="Q44" s="34"/>
    </row>
    <row r="45" spans="1:17" ht="19.5" customHeight="1">
      <c r="A45" s="23"/>
      <c r="B45" s="23"/>
      <c r="C45" s="23"/>
      <c r="D45" s="23"/>
      <c r="E45" s="23"/>
      <c r="F45" s="23"/>
      <c r="G45" s="23"/>
      <c r="H45" s="23"/>
      <c r="I45" s="23"/>
      <c r="J45" s="23"/>
      <c r="K45" s="23"/>
      <c r="L45" s="23"/>
      <c r="M45" s="23"/>
      <c r="N45" s="23"/>
      <c r="O45" s="23"/>
      <c r="P45" s="1"/>
      <c r="Q45" s="34"/>
    </row>
    <row r="46" spans="1:17" ht="19.5" customHeight="1">
      <c r="A46" s="23"/>
      <c r="B46" s="23"/>
      <c r="C46" s="23"/>
      <c r="D46" s="23"/>
      <c r="E46" s="23"/>
      <c r="F46" s="23"/>
      <c r="G46" s="23"/>
      <c r="H46" s="23"/>
      <c r="I46" s="23"/>
      <c r="J46" s="23"/>
      <c r="K46" s="23"/>
      <c r="L46" s="23"/>
      <c r="M46" s="23"/>
      <c r="N46" s="23"/>
      <c r="O46" s="23"/>
      <c r="P46" s="1"/>
      <c r="Q46" s="34"/>
    </row>
    <row r="47" spans="1:17" ht="19.5" customHeight="1">
      <c r="A47" s="23"/>
      <c r="B47" s="23"/>
      <c r="C47" s="23"/>
      <c r="D47" s="23"/>
      <c r="E47" s="23"/>
      <c r="F47" s="23"/>
      <c r="G47" s="23"/>
      <c r="H47" s="23"/>
      <c r="I47" s="23"/>
      <c r="J47" s="23"/>
      <c r="K47" s="23"/>
      <c r="L47" s="23"/>
      <c r="M47" s="23"/>
      <c r="N47" s="23"/>
      <c r="O47" s="23"/>
      <c r="P47" s="1"/>
      <c r="Q47" s="34"/>
    </row>
    <row r="48" spans="1:17" ht="19.5" customHeight="1">
      <c r="A48" s="23"/>
      <c r="B48" s="23"/>
      <c r="C48" s="23"/>
      <c r="D48" s="23"/>
      <c r="E48" s="23"/>
      <c r="F48" s="23"/>
      <c r="G48" s="23"/>
      <c r="H48" s="23"/>
      <c r="I48" s="23"/>
      <c r="J48" s="23"/>
      <c r="K48" s="23"/>
      <c r="L48" s="23"/>
      <c r="M48" s="23"/>
      <c r="N48" s="23"/>
      <c r="O48" s="23"/>
      <c r="P48" s="1"/>
      <c r="Q48" s="34"/>
    </row>
    <row r="49" spans="1:17" ht="19.5" customHeight="1">
      <c r="A49" s="23"/>
      <c r="B49" s="23"/>
      <c r="C49" s="23"/>
      <c r="D49" s="23"/>
      <c r="E49" s="23"/>
      <c r="F49" s="23"/>
      <c r="G49" s="23"/>
      <c r="H49" s="23"/>
      <c r="I49" s="23"/>
      <c r="J49" s="23"/>
      <c r="K49" s="23"/>
      <c r="L49" s="23"/>
      <c r="M49" s="23"/>
      <c r="N49" s="23"/>
      <c r="O49" s="23"/>
      <c r="P49" s="1"/>
      <c r="Q49" s="34"/>
    </row>
    <row r="50" spans="1:17" ht="19.5" customHeight="1">
      <c r="L50" s="23"/>
      <c r="M50" s="23"/>
      <c r="N50" s="23"/>
      <c r="O50" s="23"/>
      <c r="P50" s="1"/>
      <c r="Q50" s="34"/>
    </row>
    <row r="51" spans="1:17" ht="19.5" customHeight="1">
      <c r="A51" s="1"/>
      <c r="B51" s="1"/>
      <c r="C51" s="1"/>
      <c r="D51" s="1"/>
      <c r="E51" s="1"/>
      <c r="F51" s="1"/>
      <c r="G51" s="1"/>
      <c r="H51" s="1"/>
      <c r="I51" s="1"/>
      <c r="J51" s="1"/>
      <c r="K51" s="1"/>
      <c r="L51" s="1"/>
      <c r="M51" s="1"/>
      <c r="N51" s="1"/>
      <c r="O51" s="1"/>
      <c r="P51" s="1"/>
      <c r="Q51" s="34"/>
    </row>
    <row r="52" spans="1:17" ht="19.5" customHeight="1">
      <c r="A52" s="1"/>
      <c r="B52" s="1"/>
      <c r="C52" s="1"/>
      <c r="D52" s="1"/>
      <c r="E52" s="1"/>
      <c r="F52" s="1"/>
      <c r="G52" s="1"/>
      <c r="H52" s="1"/>
      <c r="I52" s="1"/>
      <c r="J52" s="1"/>
      <c r="K52" s="1"/>
      <c r="L52" s="1"/>
      <c r="M52" s="1"/>
      <c r="N52" s="1"/>
      <c r="O52" s="1"/>
      <c r="P52" s="1"/>
      <c r="Q52" s="34"/>
    </row>
    <row r="53" spans="1:17" ht="19.5" customHeight="1">
      <c r="A53" s="1"/>
      <c r="B53" s="1"/>
      <c r="C53" s="1"/>
      <c r="D53" s="1"/>
      <c r="E53" s="1"/>
      <c r="F53" s="1"/>
      <c r="G53" s="1"/>
      <c r="H53" s="1"/>
      <c r="I53" s="1"/>
      <c r="J53" s="1"/>
      <c r="K53" s="1"/>
      <c r="L53" s="1"/>
      <c r="M53" s="1"/>
      <c r="N53" s="1"/>
      <c r="O53" s="1"/>
      <c r="P53" s="1"/>
      <c r="Q53" s="34"/>
    </row>
    <row r="54" spans="1:17" ht="19.5" customHeight="1">
      <c r="A54" s="1"/>
      <c r="B54" s="1"/>
      <c r="C54" s="1"/>
      <c r="D54" s="1"/>
      <c r="E54" s="1"/>
      <c r="F54" s="1"/>
      <c r="G54" s="1"/>
      <c r="H54" s="1"/>
      <c r="I54" s="1"/>
      <c r="J54" s="1"/>
      <c r="K54" s="1"/>
      <c r="L54" s="1"/>
      <c r="M54" s="1"/>
      <c r="N54" s="1"/>
      <c r="O54" s="1"/>
      <c r="P54" s="1"/>
      <c r="Q54" s="34"/>
    </row>
    <row r="55" spans="1:17" ht="19.5" customHeight="1">
      <c r="A55" s="1"/>
      <c r="B55" s="1"/>
      <c r="C55" s="1"/>
      <c r="D55" s="1"/>
      <c r="E55" s="1"/>
      <c r="F55" s="1"/>
      <c r="G55" s="1"/>
      <c r="H55" s="1"/>
      <c r="I55" s="1"/>
      <c r="J55" s="1"/>
      <c r="K55" s="1"/>
      <c r="L55" s="1"/>
      <c r="M55" s="1"/>
      <c r="N55" s="1"/>
      <c r="O55" s="1"/>
      <c r="P55" s="1"/>
      <c r="Q55" s="34"/>
    </row>
    <row r="56" spans="1:17" ht="19.5" customHeight="1">
      <c r="A56" s="1"/>
      <c r="B56" s="1"/>
      <c r="C56" s="1"/>
      <c r="D56" s="1"/>
      <c r="E56" s="1"/>
      <c r="F56" s="1"/>
      <c r="G56" s="1"/>
      <c r="H56" s="1"/>
      <c r="I56" s="1"/>
      <c r="J56" s="1"/>
      <c r="K56" s="1"/>
      <c r="L56" s="1"/>
      <c r="M56" s="1"/>
      <c r="N56" s="1"/>
      <c r="O56" s="1"/>
      <c r="P56" s="1"/>
      <c r="Q56" s="34"/>
    </row>
    <row r="57" spans="1:17" ht="19.5" customHeight="1">
      <c r="A57" s="1"/>
      <c r="B57" s="1"/>
      <c r="C57" s="1"/>
      <c r="D57" s="1"/>
      <c r="E57" s="1"/>
      <c r="F57" s="1"/>
      <c r="G57" s="1"/>
      <c r="H57" s="1"/>
      <c r="I57" s="1"/>
      <c r="J57" s="1"/>
      <c r="K57" s="1"/>
      <c r="L57" s="1"/>
      <c r="M57" s="1"/>
      <c r="N57" s="1"/>
      <c r="O57" s="1"/>
      <c r="P57" s="1"/>
      <c r="Q57" s="34"/>
    </row>
    <row r="58" spans="1:17" ht="19.5" customHeight="1">
      <c r="A58" s="1"/>
      <c r="B58" s="1"/>
      <c r="C58" s="1"/>
      <c r="D58" s="1"/>
      <c r="E58" s="1"/>
      <c r="F58" s="1"/>
      <c r="G58" s="1"/>
      <c r="H58" s="1"/>
      <c r="I58" s="1"/>
      <c r="J58" s="1"/>
      <c r="K58" s="1"/>
      <c r="L58" s="1"/>
      <c r="M58" s="1"/>
      <c r="N58" s="1"/>
      <c r="O58" s="1"/>
      <c r="P58" s="1"/>
      <c r="Q58" s="34"/>
    </row>
    <row r="59" spans="1:17" ht="19.5" customHeight="1">
      <c r="A59" s="1"/>
      <c r="B59" s="1"/>
      <c r="C59" s="1"/>
      <c r="D59" s="1"/>
      <c r="E59" s="1"/>
      <c r="F59" s="1"/>
      <c r="G59" s="1"/>
      <c r="H59" s="1"/>
      <c r="I59" s="1"/>
      <c r="J59" s="1"/>
      <c r="K59" s="1"/>
      <c r="L59" s="1"/>
      <c r="M59" s="1"/>
      <c r="N59" s="1"/>
      <c r="O59" s="1"/>
      <c r="P59" s="1"/>
      <c r="Q59" s="34"/>
    </row>
    <row r="60" spans="1:17" ht="19.5" customHeight="1">
      <c r="A60" s="1"/>
      <c r="B60" s="1"/>
      <c r="C60" s="1"/>
      <c r="D60" s="1"/>
      <c r="E60" s="1"/>
      <c r="F60" s="1"/>
      <c r="G60" s="1"/>
      <c r="H60" s="1"/>
      <c r="I60" s="1"/>
      <c r="J60" s="1"/>
      <c r="K60" s="1"/>
      <c r="L60" s="1"/>
      <c r="M60" s="1"/>
      <c r="N60" s="1"/>
      <c r="O60" s="1"/>
      <c r="P60" s="1"/>
      <c r="Q60" s="34"/>
    </row>
    <row r="61" spans="1:17" ht="19.5" customHeight="1">
      <c r="A61" s="1"/>
      <c r="B61" s="1"/>
      <c r="C61" s="1"/>
      <c r="D61" s="1"/>
      <c r="E61" s="1"/>
      <c r="F61" s="1"/>
      <c r="G61" s="1"/>
      <c r="H61" s="1"/>
      <c r="I61" s="1"/>
      <c r="J61" s="1"/>
      <c r="K61" s="1"/>
      <c r="L61" s="1"/>
      <c r="M61" s="1"/>
      <c r="N61" s="1"/>
      <c r="O61" s="1"/>
      <c r="P61" s="1"/>
      <c r="Q61" s="34"/>
    </row>
    <row r="62" spans="1:17" ht="19.5" customHeight="1">
      <c r="A62" s="1"/>
      <c r="B62" s="1"/>
      <c r="C62" s="1"/>
      <c r="D62" s="1"/>
      <c r="E62" s="1"/>
      <c r="F62" s="1"/>
      <c r="G62" s="1"/>
      <c r="H62" s="1"/>
      <c r="I62" s="1"/>
      <c r="J62" s="1"/>
      <c r="K62" s="1"/>
      <c r="L62" s="1"/>
      <c r="M62" s="1"/>
      <c r="N62" s="1"/>
      <c r="O62" s="1"/>
      <c r="P62" s="1"/>
      <c r="Q62" s="34"/>
    </row>
    <row r="63" spans="1:17" ht="19.5" customHeight="1">
      <c r="A63" s="1"/>
      <c r="B63" s="1"/>
      <c r="C63" s="1"/>
      <c r="D63" s="1"/>
      <c r="E63" s="1"/>
      <c r="F63" s="1"/>
      <c r="G63" s="1"/>
      <c r="H63" s="1"/>
      <c r="I63" s="1"/>
      <c r="J63" s="1"/>
      <c r="K63" s="1"/>
      <c r="L63" s="1"/>
      <c r="M63" s="1"/>
      <c r="N63" s="1"/>
      <c r="O63" s="1"/>
      <c r="P63" s="1"/>
      <c r="Q63" s="34"/>
    </row>
    <row r="64" spans="1:17" ht="19.5" customHeight="1">
      <c r="A64" s="1"/>
      <c r="B64" s="1"/>
      <c r="C64" s="1"/>
      <c r="D64" s="1"/>
      <c r="E64" s="1"/>
      <c r="F64" s="1"/>
      <c r="G64" s="1"/>
      <c r="H64" s="1"/>
      <c r="I64" s="1"/>
      <c r="J64" s="1"/>
      <c r="K64" s="1"/>
      <c r="L64" s="1"/>
      <c r="M64" s="1"/>
      <c r="N64" s="1"/>
      <c r="O64" s="1"/>
      <c r="P64" s="1"/>
      <c r="Q64" s="34"/>
    </row>
  </sheetData>
  <customSheetViews>
    <customSheetView guid="{567C3053-2D8E-4705-8DC7-18896C5303CA}" scale="80" showPageBreaks="1" hiddenColumns="1" topLeftCell="A7">
      <pane xSplit="1" ySplit="4" topLeftCell="AJ11" activePane="bottomRight" state="frozen"/>
      <selection pane="bottomRight" activeCell="AO18" sqref="AO18"/>
      <pageMargins left="0.75" right="0.75" top="1" bottom="1" header="0.5" footer="0.5"/>
      <pageSetup orientation="portrait" r:id="rId1"/>
      <headerFooter alignWithMargins="0"/>
    </customSheetView>
    <customSheetView guid="{9D4F0482-B164-4671-805A-E0D2D4DD4720}" scale="80" hiddenColumns="1" topLeftCell="A7">
      <pane xSplit="1" ySplit="4" topLeftCell="B11" activePane="bottomRight" state="frozen"/>
      <selection pane="bottomRight" activeCell="A10" sqref="A10"/>
      <pageMargins left="0.75" right="0.75" top="1" bottom="1" header="0.5" footer="0.5"/>
      <pageSetup orientation="portrait" r:id="rId2"/>
      <headerFooter alignWithMargins="0"/>
    </customSheetView>
    <customSheetView guid="{78CA186D-B240-44D5-8A24-D241DE0B0FD9}" scale="80" hiddenColumns="1" topLeftCell="A7">
      <pane xSplit="1" ySplit="4" topLeftCell="AM11" activePane="bottomRight" state="frozen"/>
      <selection pane="bottomRight" activeCell="AN11" sqref="AN11"/>
      <pageMargins left="0.75" right="0.75" top="1" bottom="1" header="0.5" footer="0.5"/>
      <pageSetup orientation="portrait" r:id="rId3"/>
      <headerFooter alignWithMargins="0"/>
    </customSheetView>
    <customSheetView guid="{455630F5-40FC-47DB-8AD4-712C20B8FB91}" scale="80" hiddenColumns="1" topLeftCell="A7">
      <pane xSplit="1" ySplit="4" topLeftCell="AG11" activePane="bottomRight" state="frozen"/>
      <selection pane="bottomRight" activeCell="AN11" sqref="AN11"/>
      <pageMargins left="0.75" right="0.75" top="1" bottom="1" header="0.5" footer="0.5"/>
      <pageSetup orientation="portrait" r:id="rId4"/>
      <headerFooter alignWithMargins="0"/>
    </customSheetView>
    <customSheetView guid="{AEFEB150-9213-45F5-A178-7AC71E46DB11}" scale="80" hiddenColumns="1" topLeftCell="A7">
      <pane xSplit="1" ySplit="4" topLeftCell="B11" activePane="bottomRight" state="frozen"/>
      <selection pane="bottomRight" activeCell="A10" sqref="A10"/>
      <pageMargins left="0.75" right="0.75" top="1" bottom="1" header="0.5" footer="0.5"/>
      <pageSetup orientation="portrait" r:id="rId5"/>
      <headerFooter alignWithMargins="0"/>
    </customSheetView>
    <customSheetView guid="{1E5198E1-BA46-4CE0-8628-4F695B0D7A3B}" scale="80" hiddenColumns="1" topLeftCell="A7">
      <pane xSplit="1" ySplit="4" topLeftCell="B11" activePane="bottomRight" state="frozen"/>
      <selection pane="bottomRight" activeCell="A10" sqref="A10"/>
      <pageMargins left="0.75" right="0.75" top="1" bottom="1" header="0.5" footer="0.5"/>
      <pageSetup orientation="portrait" r:id="rId6"/>
      <headerFooter alignWithMargins="0"/>
    </customSheetView>
    <customSheetView guid="{F784130D-F647-4ABA-8943-C79CA5B0FDC4}" scale="80" hiddenColumns="1" topLeftCell="A7">
      <pane xSplit="1" ySplit="4" topLeftCell="AD11" activePane="bottomRight" state="frozen"/>
      <selection pane="bottomRight" activeCell="A8" sqref="A8"/>
      <pageMargins left="0.75" right="0.75" top="1" bottom="1" header="0.5" footer="0.5"/>
      <pageSetup orientation="portrait" r:id="rId7"/>
      <headerFooter alignWithMargins="0"/>
    </customSheetView>
    <customSheetView guid="{8F508F4D-4777-42BE-9707-8CB9355F7BDB}" scale="80" hiddenColumns="1" topLeftCell="A7">
      <pane xSplit="1" ySplit="4" topLeftCell="B11" activePane="bottomRight" state="frozen"/>
      <selection pane="bottomRight" activeCell="A10" sqref="A10"/>
      <pageMargins left="0.75" right="0.75" top="1" bottom="1" header="0.5" footer="0.5"/>
      <pageSetup orientation="portrait" r:id="rId8"/>
      <headerFooter alignWithMargins="0"/>
    </customSheetView>
    <customSheetView guid="{94DA13B6-7351-40F3-8CF7-A4211EC439DA}" scale="80" hiddenColumns="1" topLeftCell="A7">
      <pane xSplit="1" ySplit="4" topLeftCell="B11" activePane="bottomRight" state="frozen"/>
      <selection pane="bottomRight" activeCell="A10" sqref="A10"/>
      <pageMargins left="0.75" right="0.75" top="1" bottom="1" header="0.5" footer="0.5"/>
      <pageSetup orientation="portrait" r:id="rId9"/>
      <headerFooter alignWithMargins="0"/>
    </customSheetView>
    <customSheetView guid="{E44F5FE1-54FC-4AB3-84F9-7D65ACF2DDE7}" scale="80" hiddenColumns="1" topLeftCell="A7">
      <pane xSplit="1" ySplit="4" topLeftCell="B11" activePane="bottomRight" state="frozen"/>
      <selection pane="bottomRight" activeCell="A10" sqref="A10"/>
      <pageMargins left="0.75" right="0.75" top="1" bottom="1" header="0.5" footer="0.5"/>
      <pageSetup orientation="portrait" r:id="rId10"/>
      <headerFooter alignWithMargins="0"/>
    </customSheetView>
    <customSheetView guid="{50528D02-548E-47E0-94D7-D1E79CD3569C}" scale="80" hiddenColumns="1" topLeftCell="A7">
      <pane xSplit="1" ySplit="4" topLeftCell="AG11" activePane="bottomRight" state="frozen"/>
      <selection pane="bottomRight" activeCell="AN11" sqref="AN11"/>
      <pageMargins left="0.75" right="0.75" top="1" bottom="1" header="0.5" footer="0.5"/>
      <pageSetup orientation="portrait" r:id="rId11"/>
      <headerFooter alignWithMargins="0"/>
    </customSheetView>
    <customSheetView guid="{A2518DB3-3A80-4035-9307-EC50A7C923F2}" scale="80" hiddenColumns="1" topLeftCell="A7">
      <pane xSplit="1" ySplit="4" topLeftCell="AG11" activePane="bottomRight" state="frozen"/>
      <selection pane="bottomRight" activeCell="AN11" sqref="AN11"/>
      <pageMargins left="0.75" right="0.75" top="1" bottom="1" header="0.5" footer="0.5"/>
      <pageSetup orientation="portrait" r:id="rId12"/>
      <headerFooter alignWithMargins="0"/>
    </customSheetView>
    <customSheetView guid="{E81D05A4-5B21-42D3-A8D3-906ABCABC0F4}" scale="80" hiddenColumns="1" topLeftCell="A7">
      <pane xSplit="1" ySplit="4" topLeftCell="AM11" activePane="bottomRight" state="frozen"/>
      <selection pane="bottomRight" activeCell="AN11" sqref="AN11"/>
      <pageMargins left="0.75" right="0.75" top="1" bottom="1" header="0.5" footer="0.5"/>
      <pageSetup orientation="portrait" r:id="rId13"/>
      <headerFooter alignWithMargins="0"/>
    </customSheetView>
  </customSheetViews>
  <mergeCells count="10">
    <mergeCell ref="AI9:AJ9"/>
    <mergeCell ref="AF9:AG9"/>
    <mergeCell ref="AE9:AE10"/>
    <mergeCell ref="AH9:AH10"/>
    <mergeCell ref="M9:N9"/>
    <mergeCell ref="P9:Q9"/>
    <mergeCell ref="AC9:AD9"/>
    <mergeCell ref="Y9:Z9"/>
    <mergeCell ref="V9:W9"/>
    <mergeCell ref="S9:T9"/>
  </mergeCells>
  <phoneticPr fontId="0" type="noConversion"/>
  <pageMargins left="0.75" right="0.75" top="1" bottom="1" header="0.5" footer="0.5"/>
  <pageSetup orientation="portrait" r:id="rId14"/>
  <headerFooter alignWithMargins="0"/>
</worksheet>
</file>

<file path=xl/worksheets/sheet3.xml><?xml version="1.0" encoding="utf-8"?>
<worksheet xmlns="http://schemas.openxmlformats.org/spreadsheetml/2006/main" xmlns:r="http://schemas.openxmlformats.org/officeDocument/2006/relationships">
  <dimension ref="A1:BU64"/>
  <sheetViews>
    <sheetView topLeftCell="AH7" zoomScale="85" zoomScaleNormal="85" workbookViewId="0">
      <selection activeCell="AN20" sqref="AN20"/>
    </sheetView>
  </sheetViews>
  <sheetFormatPr defaultRowHeight="19.5" customHeight="1"/>
  <cols>
    <col min="1" max="1" width="47" customWidth="1"/>
    <col min="2" max="9" width="12" customWidth="1"/>
    <col min="10" max="11" width="11.81640625" customWidth="1"/>
    <col min="12" max="12" width="14" customWidth="1"/>
    <col min="13" max="16" width="13.7265625" customWidth="1"/>
    <col min="17" max="17" width="13.7265625" style="14" customWidth="1"/>
    <col min="18" max="18" width="13.26953125" customWidth="1"/>
    <col min="19" max="19" width="13.7265625" customWidth="1"/>
    <col min="20" max="20" width="11.54296875" style="14" customWidth="1"/>
    <col min="21" max="21" width="15.1796875" customWidth="1"/>
    <col min="22" max="22" width="13.7265625" customWidth="1"/>
    <col min="23" max="23" width="13.7265625" style="14" customWidth="1"/>
    <col min="24" max="24" width="14.1796875" customWidth="1"/>
    <col min="25" max="25" width="13.54296875" customWidth="1"/>
    <col min="26" max="26" width="14" style="14" customWidth="1"/>
    <col min="27" max="27" width="15.1796875" hidden="1" customWidth="1"/>
    <col min="28" max="28" width="15.1796875" customWidth="1"/>
    <col min="29" max="29" width="15.453125" customWidth="1"/>
    <col min="30" max="30" width="14.453125" customWidth="1"/>
    <col min="31" max="32" width="15.1796875" customWidth="1"/>
    <col min="33" max="33" width="16.26953125" customWidth="1"/>
    <col min="34" max="34" width="15.1796875" customWidth="1"/>
    <col min="35" max="35" width="16.81640625" customWidth="1"/>
    <col min="36" max="36" width="14.54296875" customWidth="1"/>
    <col min="37" max="37" width="17" style="5" customWidth="1"/>
    <col min="38" max="38" width="14.81640625" style="5" customWidth="1"/>
    <col min="39" max="39" width="14.54296875" style="5" customWidth="1"/>
    <col min="40" max="40" width="17.453125" style="5" customWidth="1"/>
    <col min="41" max="41" width="16.54296875" style="5" customWidth="1"/>
    <col min="42" max="42" width="13.26953125" style="5" customWidth="1"/>
    <col min="43" max="73" width="9.1796875" style="5"/>
  </cols>
  <sheetData>
    <row r="1" spans="1:73" ht="19.5" customHeight="1">
      <c r="A1" s="518" t="s">
        <v>49</v>
      </c>
    </row>
    <row r="2" spans="1:73" ht="19.5" customHeight="1">
      <c r="A2" s="518" t="s">
        <v>377</v>
      </c>
    </row>
    <row r="4" spans="1:73" ht="19.5" customHeight="1">
      <c r="A4" s="220" t="s">
        <v>116</v>
      </c>
      <c r="B4" s="5"/>
      <c r="C4" s="5"/>
      <c r="D4" s="5"/>
      <c r="E4" s="5"/>
      <c r="F4" s="5"/>
      <c r="G4" s="5"/>
      <c r="H4" s="5"/>
      <c r="I4" s="5"/>
    </row>
    <row r="5" spans="1:73" ht="19.5" customHeight="1">
      <c r="A5" s="220" t="s">
        <v>396</v>
      </c>
      <c r="B5" s="5"/>
      <c r="C5" s="5"/>
      <c r="D5" s="5"/>
      <c r="E5" s="5"/>
      <c r="F5" s="5"/>
      <c r="G5" s="5"/>
      <c r="H5" s="5"/>
      <c r="I5" s="5"/>
    </row>
    <row r="6" spans="1:73" ht="19.5" customHeight="1">
      <c r="A6" s="245" t="s">
        <v>130</v>
      </c>
      <c r="B6" s="5"/>
      <c r="C6" s="5"/>
      <c r="D6" s="5"/>
      <c r="E6" s="5"/>
      <c r="F6" s="5"/>
      <c r="G6" s="5"/>
      <c r="H6" s="5"/>
      <c r="I6" s="5"/>
    </row>
    <row r="7" spans="1:73" ht="19.5" customHeight="1">
      <c r="A7" s="2"/>
      <c r="B7" s="2"/>
      <c r="C7" s="2"/>
      <c r="D7" s="2"/>
      <c r="E7" s="2"/>
      <c r="F7" s="2"/>
      <c r="G7" s="2"/>
      <c r="H7" s="2"/>
      <c r="I7" s="2"/>
      <c r="J7" s="2"/>
      <c r="K7" s="2"/>
      <c r="L7" s="6"/>
      <c r="M7" s="6"/>
      <c r="N7" s="6"/>
      <c r="O7" s="6"/>
      <c r="P7" s="6"/>
      <c r="Q7" s="17"/>
    </row>
    <row r="8" spans="1:73" ht="19.5" customHeight="1" thickBot="1">
      <c r="A8" s="2"/>
      <c r="B8" s="402"/>
      <c r="C8" s="402"/>
      <c r="D8" s="402"/>
      <c r="E8" s="402"/>
      <c r="F8" s="402"/>
      <c r="G8" s="402"/>
      <c r="H8" s="402"/>
      <c r="I8" s="402"/>
      <c r="J8" s="2"/>
      <c r="K8" s="2"/>
      <c r="L8" s="4"/>
      <c r="M8" s="4"/>
      <c r="N8" s="4"/>
      <c r="O8" s="4"/>
      <c r="P8" s="4"/>
      <c r="Q8" s="16"/>
      <c r="R8" s="4"/>
      <c r="S8" s="6"/>
      <c r="U8" s="4"/>
      <c r="X8" s="4"/>
      <c r="AA8" s="4"/>
      <c r="AB8" s="6"/>
      <c r="AE8" s="6"/>
      <c r="AF8" s="6"/>
      <c r="AG8" s="6"/>
      <c r="AH8" s="6"/>
    </row>
    <row r="9" spans="1:73" ht="39" customHeight="1" thickBot="1">
      <c r="A9" s="404"/>
      <c r="B9" s="406" t="s">
        <v>365</v>
      </c>
      <c r="C9" s="408" t="s">
        <v>368</v>
      </c>
      <c r="D9" s="411" t="s">
        <v>380</v>
      </c>
      <c r="E9" s="411"/>
      <c r="F9" s="406" t="s">
        <v>367</v>
      </c>
      <c r="G9" s="416" t="s">
        <v>379</v>
      </c>
      <c r="H9" s="406"/>
      <c r="I9" s="408" t="s">
        <v>366</v>
      </c>
      <c r="J9" s="412" t="s">
        <v>378</v>
      </c>
      <c r="K9" s="412"/>
      <c r="L9" s="406" t="s">
        <v>47</v>
      </c>
      <c r="M9" s="708" t="s">
        <v>91</v>
      </c>
      <c r="N9" s="709"/>
      <c r="O9" s="408" t="s">
        <v>46</v>
      </c>
      <c r="P9" s="710" t="s">
        <v>92</v>
      </c>
      <c r="Q9" s="711"/>
      <c r="R9" s="406" t="s">
        <v>87</v>
      </c>
      <c r="S9" s="708" t="s">
        <v>100</v>
      </c>
      <c r="T9" s="709"/>
      <c r="U9" s="419" t="s">
        <v>95</v>
      </c>
      <c r="V9" s="710" t="s">
        <v>128</v>
      </c>
      <c r="W9" s="711"/>
      <c r="X9" s="421" t="s">
        <v>106</v>
      </c>
      <c r="Y9" s="706" t="s">
        <v>216</v>
      </c>
      <c r="Z9" s="707"/>
      <c r="AA9" s="21" t="s">
        <v>129</v>
      </c>
      <c r="AB9" s="400" t="s">
        <v>129</v>
      </c>
      <c r="AC9" s="443" t="s">
        <v>390</v>
      </c>
      <c r="AD9" s="442"/>
      <c r="AE9" s="438" t="s">
        <v>382</v>
      </c>
      <c r="AF9" s="444" t="s">
        <v>387</v>
      </c>
      <c r="AG9" s="439"/>
      <c r="AH9" s="440" t="s">
        <v>391</v>
      </c>
      <c r="AI9" s="443" t="s">
        <v>393</v>
      </c>
      <c r="AJ9" s="437"/>
      <c r="AK9" s="430" t="s">
        <v>385</v>
      </c>
      <c r="AL9" s="431" t="s">
        <v>389</v>
      </c>
      <c r="AM9" s="429"/>
      <c r="AN9" s="633" t="s">
        <v>437</v>
      </c>
      <c r="AO9" s="443" t="s">
        <v>438</v>
      </c>
      <c r="AP9" s="632"/>
    </row>
    <row r="10" spans="1:73" ht="36" customHeight="1" thickBot="1">
      <c r="A10" s="519" t="s">
        <v>43</v>
      </c>
      <c r="B10" s="407" t="s">
        <v>76</v>
      </c>
      <c r="C10" s="409" t="s">
        <v>76</v>
      </c>
      <c r="D10" s="403" t="s">
        <v>89</v>
      </c>
      <c r="E10" s="403" t="s">
        <v>90</v>
      </c>
      <c r="F10" s="407" t="s">
        <v>76</v>
      </c>
      <c r="G10" s="410" t="s">
        <v>89</v>
      </c>
      <c r="H10" s="410" t="s">
        <v>90</v>
      </c>
      <c r="I10" s="409" t="s">
        <v>76</v>
      </c>
      <c r="J10" s="403" t="s">
        <v>89</v>
      </c>
      <c r="K10" s="403" t="s">
        <v>90</v>
      </c>
      <c r="L10" s="407" t="s">
        <v>76</v>
      </c>
      <c r="M10" s="432" t="s">
        <v>89</v>
      </c>
      <c r="N10" s="415" t="s">
        <v>90</v>
      </c>
      <c r="O10" s="409" t="s">
        <v>76</v>
      </c>
      <c r="P10" s="433" t="s">
        <v>89</v>
      </c>
      <c r="Q10" s="434" t="s">
        <v>90</v>
      </c>
      <c r="R10" s="407" t="s">
        <v>76</v>
      </c>
      <c r="S10" s="432" t="s">
        <v>89</v>
      </c>
      <c r="T10" s="435" t="s">
        <v>90</v>
      </c>
      <c r="U10" s="420" t="s">
        <v>76</v>
      </c>
      <c r="V10" s="433" t="s">
        <v>89</v>
      </c>
      <c r="W10" s="434" t="s">
        <v>90</v>
      </c>
      <c r="X10" s="422" t="s">
        <v>76</v>
      </c>
      <c r="Y10" s="436" t="s">
        <v>89</v>
      </c>
      <c r="Z10" s="427" t="s">
        <v>90</v>
      </c>
      <c r="AA10" s="21" t="s">
        <v>45</v>
      </c>
      <c r="AB10" s="401" t="s">
        <v>76</v>
      </c>
      <c r="AC10" s="424" t="s">
        <v>89</v>
      </c>
      <c r="AD10" s="414" t="s">
        <v>90</v>
      </c>
      <c r="AE10" s="441" t="s">
        <v>76</v>
      </c>
      <c r="AF10" s="410" t="s">
        <v>89</v>
      </c>
      <c r="AG10" s="427" t="s">
        <v>90</v>
      </c>
      <c r="AH10" s="445" t="s">
        <v>392</v>
      </c>
      <c r="AI10" s="425" t="s">
        <v>89</v>
      </c>
      <c r="AJ10" s="414" t="s">
        <v>90</v>
      </c>
      <c r="AK10" s="417" t="s">
        <v>392</v>
      </c>
      <c r="AL10" s="410" t="s">
        <v>89</v>
      </c>
      <c r="AM10" s="410" t="s">
        <v>90</v>
      </c>
      <c r="AN10" s="445" t="s">
        <v>386</v>
      </c>
      <c r="AO10" s="425" t="s">
        <v>89</v>
      </c>
      <c r="AP10" s="414" t="s">
        <v>90</v>
      </c>
    </row>
    <row r="11" spans="1:73" s="5" customFormat="1" ht="19.5" customHeight="1" thickBot="1">
      <c r="A11" s="9" t="s">
        <v>0</v>
      </c>
      <c r="B11" s="503">
        <f>'FY2013 by Approp Title'!B11*Inflator!$E$2</f>
        <v>277354.29824561405</v>
      </c>
      <c r="C11" s="503">
        <f>'FY2013 by Approp Title'!C11*Inflator!$E$3</f>
        <v>288965.2372488408</v>
      </c>
      <c r="D11" s="499">
        <f>C11-B11</f>
        <v>11610.939003226755</v>
      </c>
      <c r="E11" s="500">
        <f>D11/B11</f>
        <v>4.1863201964674669E-2</v>
      </c>
      <c r="F11" s="503">
        <f>'FY2013 by Approp Title'!F11*Inflator!$E$4</f>
        <v>303320.97601827182</v>
      </c>
      <c r="G11" s="499">
        <f>F11-C11</f>
        <v>14355.738769431016</v>
      </c>
      <c r="H11" s="500">
        <f>G11/C11</f>
        <v>4.9679812375038913E-2</v>
      </c>
      <c r="I11" s="503">
        <f>'FY2013 by Approp Title'!I11*Inflator!$E$5</f>
        <v>261407.16697657126</v>
      </c>
      <c r="J11" s="499">
        <f>I11-F11</f>
        <v>-41913.809041700559</v>
      </c>
      <c r="K11" s="500">
        <f>J11/F11</f>
        <v>-0.13818302180056188</v>
      </c>
      <c r="L11" s="503">
        <f>'FY2013 by Approp Title'!L11*Inflator!$E$6</f>
        <v>285777.85241730278</v>
      </c>
      <c r="M11" s="499">
        <f>L11-I11</f>
        <v>24370.685440731526</v>
      </c>
      <c r="N11" s="505">
        <f>M11/I11</f>
        <v>9.3228834245832906E-2</v>
      </c>
      <c r="O11" s="506">
        <f>'FY2013 by Approp Title'!O11*Inflator!$E$7</f>
        <v>337781.05455825408</v>
      </c>
      <c r="P11" s="18">
        <f>O11-L11</f>
        <v>52003.202140951296</v>
      </c>
      <c r="Q11" s="42">
        <f>P11/L11</f>
        <v>0.18197072201737455</v>
      </c>
      <c r="R11" s="506">
        <f>'FY2013 by Approp Title'!R11*Inflator!$E$8</f>
        <v>384791.78071961977</v>
      </c>
      <c r="S11" s="18">
        <f>R11-O11</f>
        <v>47010.726161365688</v>
      </c>
      <c r="T11" s="42">
        <f>S11/O11</f>
        <v>0.13917514178776469</v>
      </c>
      <c r="U11" s="506">
        <f>'FY2013 by Approp Title'!U11*Inflator!$E$9</f>
        <v>412647.44164456229</v>
      </c>
      <c r="V11" s="22">
        <f>U11-R11</f>
        <v>27855.660924942524</v>
      </c>
      <c r="W11" s="41">
        <f>V11/R11</f>
        <v>7.2391517492520652E-2</v>
      </c>
      <c r="X11" s="506">
        <f>'FY2013 by Approp Title'!X11*Inflator!$E$10</f>
        <v>412280.23563035892</v>
      </c>
      <c r="Y11" s="35">
        <f>X11-U11</f>
        <v>-367.20601420337334</v>
      </c>
      <c r="Z11" s="41">
        <f>Y11/U11</f>
        <v>-8.8987832504162153E-4</v>
      </c>
      <c r="AA11" s="43" t="e">
        <f>'FY 2013 by Agency'!#REF!</f>
        <v>#REF!</v>
      </c>
      <c r="AB11" s="506">
        <f>'FY2013 by Approp Title'!AB11*Inflator!$E$11</f>
        <v>439332.4969735585</v>
      </c>
      <c r="AC11" s="35">
        <f t="shared" ref="AC11:AC18" si="0">AB11-X11</f>
        <v>27052.261343199585</v>
      </c>
      <c r="AD11" s="42">
        <f t="shared" ref="AD11:AD18" si="1">AC11/X11</f>
        <v>6.5616197443561244E-2</v>
      </c>
      <c r="AE11" s="506">
        <f>'FY2013 by Approp Title'!AE11*Inflator!$E$12</f>
        <v>371593.44235588977</v>
      </c>
      <c r="AF11" s="35">
        <f t="shared" ref="AF11:AF18" si="2">AE11-AB11</f>
        <v>-67739.054617668735</v>
      </c>
      <c r="AG11" s="508">
        <f t="shared" ref="AG11:AG18" si="3">AF11/AB11</f>
        <v>-0.15418630555286614</v>
      </c>
      <c r="AH11" s="506">
        <f>'FY2013 by Approp Title'!AH11*Inflator!$E$13</f>
        <v>494446.86577942636</v>
      </c>
      <c r="AI11" s="22">
        <f>AH11-AE11</f>
        <v>122853.42342353659</v>
      </c>
      <c r="AJ11" s="508">
        <f>AI11/AE11</f>
        <v>0.33061246356945934</v>
      </c>
      <c r="AK11" s="506">
        <f>'FY2013 by Approp Title'!AK11*Inflator!$E$14</f>
        <v>487474.5028366677</v>
      </c>
      <c r="AL11" s="510">
        <f>AK11-AH11</f>
        <v>-6972.3629427586566</v>
      </c>
      <c r="AM11" s="507">
        <f>AL11/AH11</f>
        <v>-1.4101339143423836E-2</v>
      </c>
      <c r="AN11" s="675">
        <f>'FY2013 by Approp Title'!AN11*Inflator!E15</f>
        <v>541241</v>
      </c>
      <c r="AO11" s="652">
        <f>AN11-AK11</f>
        <v>53766.4971633323</v>
      </c>
      <c r="AP11" s="276">
        <f>AO11/AK11</f>
        <v>0.11029601927989904</v>
      </c>
    </row>
    <row r="12" spans="1:73" s="115" customFormat="1" ht="19.5" customHeight="1" thickBot="1">
      <c r="A12" s="229" t="s">
        <v>50</v>
      </c>
      <c r="B12" s="504">
        <f>'FY2013 by Approp Title'!B12*Inflator!$E$2</f>
        <v>122608.45693779906</v>
      </c>
      <c r="C12" s="504">
        <f>'FY2013 by Approp Title'!C12*Inflator!$E$3</f>
        <v>140688.75425038641</v>
      </c>
      <c r="D12" s="501">
        <f t="shared" ref="D12:D18" si="4">C12-B12</f>
        <v>18080.297312587354</v>
      </c>
      <c r="E12" s="502">
        <f t="shared" ref="E12:E18" si="5">D12/B12</f>
        <v>0.14746370490381211</v>
      </c>
      <c r="F12" s="504">
        <f>'FY2013 by Approp Title'!F12*Inflator!$E$4</f>
        <v>147747.67872097451</v>
      </c>
      <c r="G12" s="501">
        <f t="shared" ref="G12:G18" si="6">F12-C12</f>
        <v>7058.9244705880992</v>
      </c>
      <c r="H12" s="502">
        <f t="shared" ref="H12:H18" si="7">G12/C12</f>
        <v>5.0174049149836093E-2</v>
      </c>
      <c r="I12" s="504">
        <f>'FY2013 by Approp Title'!I12*Inflator!$E$5</f>
        <v>170524.25139457051</v>
      </c>
      <c r="J12" s="501">
        <f t="shared" ref="J12:J18" si="8">I12-F12</f>
        <v>22776.572673596005</v>
      </c>
      <c r="K12" s="502">
        <f t="shared" ref="K12:K18" si="9">J12/F12</f>
        <v>0.15415858219072381</v>
      </c>
      <c r="L12" s="504">
        <f>'FY2013 by Approp Title'!L12*Inflator!$E$6</f>
        <v>186889.99999999997</v>
      </c>
      <c r="M12" s="501">
        <f t="shared" ref="M12:M18" si="10">L12-I12</f>
        <v>16365.748605429457</v>
      </c>
      <c r="N12" s="511">
        <f t="shared" ref="N12:N18" si="11">M12/I12</f>
        <v>9.5973144415460787E-2</v>
      </c>
      <c r="O12" s="512">
        <f>'FY2013 by Approp Title'!O12*Inflator!$E$7</f>
        <v>236330.24216825058</v>
      </c>
      <c r="P12" s="230">
        <f t="shared" ref="P12:P18" si="12">O12-L12</f>
        <v>49440.24216825061</v>
      </c>
      <c r="Q12" s="231">
        <f t="shared" ref="Q12:Q18" si="13">P12/L12</f>
        <v>0.26454193465809095</v>
      </c>
      <c r="R12" s="512">
        <f>'FY2013 by Approp Title'!R12*Inflator!$E$8</f>
        <v>290390.58859470469</v>
      </c>
      <c r="S12" s="230">
        <f t="shared" ref="S12:S18" si="14">R12-O12</f>
        <v>54060.346426454111</v>
      </c>
      <c r="T12" s="231">
        <f t="shared" ref="T12:T18" si="15">S12/O12</f>
        <v>0.22874916866529055</v>
      </c>
      <c r="U12" s="512">
        <f>'FY2013 by Approp Title'!U12*Inflator!$E$9</f>
        <v>420592.63262599468</v>
      </c>
      <c r="V12" s="233">
        <f t="shared" ref="V12:V18" si="16">U12-R12</f>
        <v>130202.04403128999</v>
      </c>
      <c r="W12" s="234">
        <f t="shared" ref="W12:W17" si="17">V12/R12</f>
        <v>0.44836867703385425</v>
      </c>
      <c r="X12" s="512">
        <f>'FY2013 by Approp Title'!X12*Inflator!$E$10</f>
        <v>435146.86567164183</v>
      </c>
      <c r="Y12" s="235">
        <f t="shared" ref="Y12:Y18" si="18">X12-U12</f>
        <v>14554.233045647154</v>
      </c>
      <c r="Z12" s="234">
        <f t="shared" ref="Z12:Z18" si="19">Y12/U12</f>
        <v>3.4604108385772117E-2</v>
      </c>
      <c r="AA12" s="236" t="e">
        <f>'FY 2013 by Agency'!#REF!</f>
        <v>#REF!</v>
      </c>
      <c r="AB12" s="512">
        <f>'FY2013 by Approp Title'!AB12*Inflator!$E$11</f>
        <v>423284.2809812043</v>
      </c>
      <c r="AC12" s="235">
        <f t="shared" si="0"/>
        <v>-11862.584690437536</v>
      </c>
      <c r="AD12" s="231">
        <f t="shared" si="1"/>
        <v>-2.7261105677798773E-2</v>
      </c>
      <c r="AE12" s="512">
        <f>'FY2013 by Approp Title'!AE12*Inflator!$E$12</f>
        <v>283022.95426065166</v>
      </c>
      <c r="AF12" s="235">
        <f t="shared" si="2"/>
        <v>-140261.32672055264</v>
      </c>
      <c r="AG12" s="509">
        <f t="shared" si="3"/>
        <v>-0.3313643643827654</v>
      </c>
      <c r="AH12" s="512">
        <f>'FY2013 by Approp Title'!AH12*Inflator!$E$13</f>
        <v>287271.14839985973</v>
      </c>
      <c r="AI12" s="233">
        <f t="shared" ref="AI12:AI18" si="20">AH12-AE12</f>
        <v>4248.1941392080626</v>
      </c>
      <c r="AJ12" s="509">
        <f t="shared" ref="AJ12:AJ18" si="21">AI12/AE12</f>
        <v>1.5010069237337064E-2</v>
      </c>
      <c r="AK12" s="512">
        <f>'FY2013 by Approp Title'!AK12*Inflator!$E$14</f>
        <v>272596.91489997017</v>
      </c>
      <c r="AL12" s="513">
        <f t="shared" ref="AL12:AL18" si="22">AK12-AH12</f>
        <v>-14674.233499889553</v>
      </c>
      <c r="AM12" s="514">
        <f t="shared" ref="AM12:AM18" si="23">AL12/AH12</f>
        <v>-5.1081473310588536E-2</v>
      </c>
      <c r="AN12" s="676">
        <f>'FY2013 by Approp Title'!AN12*Inflator!E15</f>
        <v>297349</v>
      </c>
      <c r="AO12" s="200">
        <f t="shared" ref="AO12:AO18" si="24">AN12-AK12</f>
        <v>24752.085100029828</v>
      </c>
      <c r="AP12" s="364">
        <f t="shared" ref="AP12:AP18" si="25">AO12/AK12</f>
        <v>9.0801046332870797E-2</v>
      </c>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row>
    <row r="13" spans="1:73" s="5" customFormat="1" ht="19.5" customHeight="1" thickBot="1">
      <c r="A13" s="9" t="s">
        <v>51</v>
      </c>
      <c r="B13" s="503">
        <f>'FY2013 by Approp Title'!B13*Inflator!$E$2</f>
        <v>957546.37400318985</v>
      </c>
      <c r="C13" s="503">
        <f>'FY2013 by Approp Title'!C13*Inflator!$E$3</f>
        <v>941919.56027820718</v>
      </c>
      <c r="D13" s="499">
        <f t="shared" si="4"/>
        <v>-15626.813724982669</v>
      </c>
      <c r="E13" s="500">
        <f t="shared" si="5"/>
        <v>-1.631964168967822E-2</v>
      </c>
      <c r="F13" s="503">
        <f>'FY2013 by Approp Title'!F13*Inflator!$E$4</f>
        <v>822867.02702702698</v>
      </c>
      <c r="G13" s="499">
        <f t="shared" si="6"/>
        <v>-119052.5332511802</v>
      </c>
      <c r="H13" s="500">
        <f t="shared" si="7"/>
        <v>-0.12639352474644078</v>
      </c>
      <c r="I13" s="503">
        <f>'FY2013 by Approp Title'!I13*Inflator!$E$5</f>
        <v>833361.71141688374</v>
      </c>
      <c r="J13" s="499">
        <f t="shared" si="8"/>
        <v>10494.68438985676</v>
      </c>
      <c r="K13" s="500">
        <f t="shared" si="9"/>
        <v>1.2753803524943118E-2</v>
      </c>
      <c r="L13" s="503">
        <f>'FY2013 by Approp Title'!L13*Inflator!$E$6</f>
        <v>921528.70665212639</v>
      </c>
      <c r="M13" s="499">
        <f t="shared" si="10"/>
        <v>88166.995235242648</v>
      </c>
      <c r="N13" s="505">
        <f t="shared" si="11"/>
        <v>0.10579679151006458</v>
      </c>
      <c r="O13" s="506">
        <f>'FY2013 by Approp Title'!O13*Inflator!$E$7</f>
        <v>963385.02851108753</v>
      </c>
      <c r="P13" s="18">
        <f t="shared" si="12"/>
        <v>41856.321858961135</v>
      </c>
      <c r="Q13" s="42">
        <f t="shared" si="13"/>
        <v>4.5420529557916138E-2</v>
      </c>
      <c r="R13" s="506">
        <f>'FY2013 by Approp Title'!R13*Inflator!$E$8</f>
        <v>1032027.7338764425</v>
      </c>
      <c r="S13" s="18">
        <f t="shared" si="14"/>
        <v>68642.70536535501</v>
      </c>
      <c r="T13" s="42">
        <f t="shared" si="15"/>
        <v>7.1251579933147166E-2</v>
      </c>
      <c r="U13" s="506">
        <f>'FY2013 by Approp Title'!U13*Inflator!$E$9</f>
        <v>1083202.6326259947</v>
      </c>
      <c r="V13" s="22">
        <f t="shared" si="16"/>
        <v>51174.898749552201</v>
      </c>
      <c r="W13" s="41">
        <f t="shared" si="17"/>
        <v>4.9586747593819036E-2</v>
      </c>
      <c r="X13" s="506">
        <f>'FY2013 by Approp Title'!X13*Inflator!$E$10</f>
        <v>1127049.3737694507</v>
      </c>
      <c r="Y13" s="35">
        <f t="shared" si="18"/>
        <v>43846.741143455962</v>
      </c>
      <c r="Z13" s="41">
        <f t="shared" si="19"/>
        <v>4.0478798539437491E-2</v>
      </c>
      <c r="AA13" s="43" t="e">
        <f>'FY 2013 by Agency'!#REF!</f>
        <v>#REF!</v>
      </c>
      <c r="AB13" s="506">
        <f>'FY2013 by Approp Title'!AB13*Inflator!$E$11</f>
        <v>1096828.7180630777</v>
      </c>
      <c r="AC13" s="35">
        <f t="shared" si="0"/>
        <v>-30220.655706373043</v>
      </c>
      <c r="AD13" s="42">
        <f t="shared" si="1"/>
        <v>-2.6813959006338071E-2</v>
      </c>
      <c r="AE13" s="506">
        <f>'FY2013 by Approp Title'!AE13*Inflator!$E$12</f>
        <v>1071048.1096491229</v>
      </c>
      <c r="AF13" s="35">
        <f t="shared" si="2"/>
        <v>-25780.608413954731</v>
      </c>
      <c r="AG13" s="508">
        <f t="shared" si="3"/>
        <v>-2.3504680347430609E-2</v>
      </c>
      <c r="AH13" s="506">
        <f>'FY2013 by Approp Title'!AH13*Inflator!$E$13</f>
        <v>1069193.0762376997</v>
      </c>
      <c r="AI13" s="22">
        <f t="shared" si="20"/>
        <v>-1855.0334114232101</v>
      </c>
      <c r="AJ13" s="508">
        <f t="shared" si="21"/>
        <v>-1.7319795392112889E-3</v>
      </c>
      <c r="AK13" s="506">
        <f>'FY2013 by Approp Title'!AK13*Inflator!$E$14</f>
        <v>987575.07673932519</v>
      </c>
      <c r="AL13" s="510">
        <f t="shared" si="22"/>
        <v>-81617.999498374527</v>
      </c>
      <c r="AM13" s="507">
        <f t="shared" si="23"/>
        <v>-7.6336071858577451E-2</v>
      </c>
      <c r="AN13" s="675">
        <f>'FY2013 by Approp Title'!AN13*Inflator!E15</f>
        <v>994221</v>
      </c>
      <c r="AO13" s="652">
        <f t="shared" si="24"/>
        <v>6645.9232606748119</v>
      </c>
      <c r="AP13" s="276">
        <f t="shared" si="25"/>
        <v>6.7295372445177982E-3</v>
      </c>
    </row>
    <row r="14" spans="1:73" s="115" customFormat="1" ht="19.5" customHeight="1" thickBot="1">
      <c r="A14" s="229" t="s">
        <v>52</v>
      </c>
      <c r="B14" s="504">
        <f>'FY2013 by Approp Title'!B14*Inflator!$E$2</f>
        <v>1029210.5733652313</v>
      </c>
      <c r="C14" s="504">
        <f>'FY2013 by Approp Title'!C14*Inflator!$E$3</f>
        <v>1286729.9034003092</v>
      </c>
      <c r="D14" s="501">
        <f t="shared" si="4"/>
        <v>257519.33003507787</v>
      </c>
      <c r="E14" s="502">
        <f t="shared" si="5"/>
        <v>0.25021053679332261</v>
      </c>
      <c r="F14" s="504">
        <f>'FY2013 by Approp Title'!F14*Inflator!$E$4</f>
        <v>1235522.8892272555</v>
      </c>
      <c r="G14" s="501">
        <f t="shared" si="6"/>
        <v>-51207.014173053671</v>
      </c>
      <c r="H14" s="502">
        <f t="shared" si="7"/>
        <v>-3.9796241649264659E-2</v>
      </c>
      <c r="I14" s="504">
        <f>'FY2013 by Approp Title'!I14*Inflator!$E$5</f>
        <v>1186092.813685385</v>
      </c>
      <c r="J14" s="501">
        <f t="shared" si="8"/>
        <v>-49430.075541870436</v>
      </c>
      <c r="K14" s="502">
        <f t="shared" si="9"/>
        <v>-4.0007413843045792E-2</v>
      </c>
      <c r="L14" s="504">
        <f>'FY2013 by Approp Title'!L14*Inflator!$E$6</f>
        <v>1296981.1501272263</v>
      </c>
      <c r="M14" s="501">
        <f t="shared" si="10"/>
        <v>110888.33644184121</v>
      </c>
      <c r="N14" s="511">
        <f t="shared" si="11"/>
        <v>9.3490437815985872E-2</v>
      </c>
      <c r="O14" s="512">
        <f>'FY2013 by Approp Title'!O14*Inflator!$E$7</f>
        <v>1370628.3315733895</v>
      </c>
      <c r="P14" s="230">
        <f t="shared" si="12"/>
        <v>73647.181446163217</v>
      </c>
      <c r="Q14" s="231">
        <f t="shared" si="13"/>
        <v>5.6783540330512021E-2</v>
      </c>
      <c r="R14" s="512">
        <f>'FY2013 by Approp Title'!R14*Inflator!$E$8</f>
        <v>1413606.0631364561</v>
      </c>
      <c r="S14" s="230">
        <f t="shared" si="14"/>
        <v>42977.731563066598</v>
      </c>
      <c r="T14" s="231">
        <f t="shared" si="15"/>
        <v>3.1356225880528124E-2</v>
      </c>
      <c r="U14" s="512">
        <f>'FY2013 by Approp Title'!U14*Inflator!$E$9</f>
        <v>1448416.6531830237</v>
      </c>
      <c r="V14" s="233">
        <f t="shared" si="16"/>
        <v>34810.59004656761</v>
      </c>
      <c r="W14" s="234">
        <f t="shared" si="17"/>
        <v>2.4625382526537259E-2</v>
      </c>
      <c r="X14" s="512">
        <f>'FY2013 by Approp Title'!X14*Inflator!$E$10</f>
        <v>1561917.8386789458</v>
      </c>
      <c r="Y14" s="235">
        <f t="shared" si="18"/>
        <v>113501.18549592211</v>
      </c>
      <c r="Z14" s="234">
        <f t="shared" si="19"/>
        <v>7.8362248353395558E-2</v>
      </c>
      <c r="AA14" s="236" t="e">
        <f>'FY 2013 by Agency'!#REF!</f>
        <v>#REF!</v>
      </c>
      <c r="AB14" s="512">
        <f>'FY2013 by Approp Title'!AB14*Inflator!$E$11</f>
        <v>1549178.4020388662</v>
      </c>
      <c r="AC14" s="235">
        <f t="shared" si="0"/>
        <v>-12739.436640079599</v>
      </c>
      <c r="AD14" s="231">
        <f t="shared" si="1"/>
        <v>-8.1562783423067154E-3</v>
      </c>
      <c r="AE14" s="512">
        <f>'FY2013 by Approp Title'!AE14*Inflator!$E$12</f>
        <v>1497785.598997494</v>
      </c>
      <c r="AF14" s="235">
        <f t="shared" si="2"/>
        <v>-51392.803041372215</v>
      </c>
      <c r="AG14" s="509">
        <f t="shared" si="3"/>
        <v>-3.3174231562829948E-2</v>
      </c>
      <c r="AH14" s="512">
        <f>'FY2013 by Approp Title'!AH14*Inflator!$E$13</f>
        <v>1557586.1806060306</v>
      </c>
      <c r="AI14" s="233">
        <f t="shared" si="20"/>
        <v>59800.581608536653</v>
      </c>
      <c r="AJ14" s="509">
        <f t="shared" si="21"/>
        <v>3.9925995849180752E-2</v>
      </c>
      <c r="AK14" s="512">
        <f>'FY2013 by Approp Title'!AK14*Inflator!$E$14</f>
        <v>1627026.1188414453</v>
      </c>
      <c r="AL14" s="513">
        <f t="shared" si="22"/>
        <v>69439.93823541468</v>
      </c>
      <c r="AM14" s="514">
        <f t="shared" si="23"/>
        <v>4.4581763179483765E-2</v>
      </c>
      <c r="AN14" s="676">
        <f>'FY2013 by Approp Title'!AN14*Inflator!E15</f>
        <v>1661274</v>
      </c>
      <c r="AO14" s="200">
        <f t="shared" si="24"/>
        <v>34247.881158554694</v>
      </c>
      <c r="AP14" s="364">
        <f t="shared" si="25"/>
        <v>2.1049373923352592E-2</v>
      </c>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row>
    <row r="15" spans="1:73" s="5" customFormat="1" ht="19.5" customHeight="1" thickBot="1">
      <c r="A15" s="9" t="s">
        <v>53</v>
      </c>
      <c r="B15" s="503">
        <f>'FY2013 by Approp Title'!B15*Inflator!$E$2</f>
        <v>1071684.2185007976</v>
      </c>
      <c r="C15" s="503">
        <f>'FY2013 by Approp Title'!C15*Inflator!$E$3</f>
        <v>1225865.2635239568</v>
      </c>
      <c r="D15" s="499">
        <f t="shared" si="4"/>
        <v>154181.04502315912</v>
      </c>
      <c r="E15" s="500">
        <f t="shared" si="5"/>
        <v>0.14386798122197444</v>
      </c>
      <c r="F15" s="503">
        <f>'FY2013 by Approp Title'!F15*Inflator!$E$4</f>
        <v>1350305.9581271412</v>
      </c>
      <c r="G15" s="499">
        <f t="shared" si="6"/>
        <v>124440.69460318447</v>
      </c>
      <c r="H15" s="500">
        <f t="shared" si="7"/>
        <v>0.10151253837265824</v>
      </c>
      <c r="I15" s="503">
        <f>'FY2013 by Approp Title'!I15*Inflator!$E$5</f>
        <v>1345479.105987356</v>
      </c>
      <c r="J15" s="499">
        <f t="shared" si="8"/>
        <v>-4826.8521397851873</v>
      </c>
      <c r="K15" s="500">
        <f t="shared" si="9"/>
        <v>-3.5746358895431193E-3</v>
      </c>
      <c r="L15" s="503">
        <f>'FY2013 by Approp Title'!L15*Inflator!$E$6</f>
        <v>1348661.3827699018</v>
      </c>
      <c r="M15" s="499">
        <f t="shared" si="10"/>
        <v>3182.2767825457267</v>
      </c>
      <c r="N15" s="505">
        <f t="shared" si="11"/>
        <v>2.3651625420154474E-3</v>
      </c>
      <c r="O15" s="506">
        <f>'FY2013 by Approp Title'!O15*Inflator!$E$7</f>
        <v>1415632.3956353394</v>
      </c>
      <c r="P15" s="18">
        <f t="shared" si="12"/>
        <v>66971.01286543766</v>
      </c>
      <c r="Q15" s="42">
        <f t="shared" si="13"/>
        <v>4.965739637913525E-2</v>
      </c>
      <c r="R15" s="506">
        <f>'FY2013 by Approp Title'!R15*Inflator!$E$8</f>
        <v>1457412.119484046</v>
      </c>
      <c r="S15" s="18">
        <f t="shared" si="14"/>
        <v>41779.723848706577</v>
      </c>
      <c r="T15" s="42">
        <f t="shared" si="15"/>
        <v>2.9513116524827569E-2</v>
      </c>
      <c r="U15" s="506">
        <f>'FY2013 by Approp Title'!U15*Inflator!$E$9</f>
        <v>1653695.9622015913</v>
      </c>
      <c r="V15" s="22">
        <f t="shared" si="16"/>
        <v>196283.84271754534</v>
      </c>
      <c r="W15" s="41">
        <f t="shared" si="17"/>
        <v>0.1346797107650195</v>
      </c>
      <c r="X15" s="506">
        <f>'FY2013 by Approp Title'!X15*Inflator!$E$10</f>
        <v>1734046.1238488411</v>
      </c>
      <c r="Y15" s="35">
        <f t="shared" si="18"/>
        <v>80350.161647249712</v>
      </c>
      <c r="Z15" s="41">
        <f t="shared" si="19"/>
        <v>4.858823114031087E-2</v>
      </c>
      <c r="AA15" s="43" t="e">
        <f>'FY 2013 by Agency'!#REF!</f>
        <v>#REF!</v>
      </c>
      <c r="AB15" s="506">
        <f>'FY2013 by Approp Title'!AB15*Inflator!$E$11</f>
        <v>1564635.5673781461</v>
      </c>
      <c r="AC15" s="35">
        <f t="shared" si="0"/>
        <v>-169410.55647069495</v>
      </c>
      <c r="AD15" s="42">
        <f t="shared" si="1"/>
        <v>-9.7696684154326849E-2</v>
      </c>
      <c r="AE15" s="506">
        <f>'FY2013 by Approp Title'!AE15*Inflator!$E$12</f>
        <v>1566069.2180451129</v>
      </c>
      <c r="AF15" s="35">
        <f t="shared" si="2"/>
        <v>1433.6506669668015</v>
      </c>
      <c r="AG15" s="508">
        <f t="shared" si="3"/>
        <v>9.1628408356404963E-4</v>
      </c>
      <c r="AH15" s="506">
        <f>'FY2013 by Approp Title'!AH15*Inflator!$E$13</f>
        <v>1531832.1712737936</v>
      </c>
      <c r="AI15" s="22">
        <f t="shared" si="20"/>
        <v>-34237.04677131935</v>
      </c>
      <c r="AJ15" s="508">
        <f t="shared" si="21"/>
        <v>-2.18617710997836E-2</v>
      </c>
      <c r="AK15" s="506">
        <f>'FY2013 by Approp Title'!AK15*Inflator!$E$14</f>
        <v>1609728.6855777844</v>
      </c>
      <c r="AL15" s="510">
        <f t="shared" si="22"/>
        <v>77896.514303990873</v>
      </c>
      <c r="AM15" s="507">
        <f t="shared" si="23"/>
        <v>5.0851859469184607E-2</v>
      </c>
      <c r="AN15" s="675">
        <f>'FY2013 by Approp Title'!AN15*Inflator!E15</f>
        <v>1646039</v>
      </c>
      <c r="AO15" s="652">
        <f t="shared" si="24"/>
        <v>36310.314422215568</v>
      </c>
      <c r="AP15" s="276">
        <f t="shared" si="25"/>
        <v>2.2556791555952551E-2</v>
      </c>
    </row>
    <row r="16" spans="1:73" s="115" customFormat="1" ht="19.5" customHeight="1" thickBot="1">
      <c r="A16" s="229" t="s">
        <v>30</v>
      </c>
      <c r="B16" s="504">
        <f>'FY2013 by Approp Title'!B16*Inflator!$E$2</f>
        <v>364290.52950558218</v>
      </c>
      <c r="C16" s="504">
        <f>'FY2013 by Approp Title'!C16*Inflator!$E$3</f>
        <v>388467.02782071102</v>
      </c>
      <c r="D16" s="501">
        <f t="shared" si="4"/>
        <v>24176.498315128847</v>
      </c>
      <c r="E16" s="502">
        <f t="shared" si="5"/>
        <v>6.6365980877793801E-2</v>
      </c>
      <c r="F16" s="504">
        <f>'FY2013 by Approp Title'!F16*Inflator!$E$4</f>
        <v>398484.3783783784</v>
      </c>
      <c r="G16" s="501">
        <f t="shared" si="6"/>
        <v>10017.350557667378</v>
      </c>
      <c r="H16" s="502">
        <f t="shared" si="7"/>
        <v>2.5786874664406989E-2</v>
      </c>
      <c r="I16" s="504">
        <f>'FY2013 by Approp Title'!I16*Inflator!$E$5</f>
        <v>391150.36370397924</v>
      </c>
      <c r="J16" s="501">
        <f t="shared" si="8"/>
        <v>-7334.0146743991645</v>
      </c>
      <c r="K16" s="502">
        <f t="shared" si="9"/>
        <v>-1.8404773367138614E-2</v>
      </c>
      <c r="L16" s="504">
        <f>'FY2013 by Approp Title'!L16*Inflator!$E$6</f>
        <v>391056.56343147944</v>
      </c>
      <c r="M16" s="501">
        <f t="shared" si="10"/>
        <v>-93.800272499793209</v>
      </c>
      <c r="N16" s="511">
        <f t="shared" si="11"/>
        <v>-2.3980617482125319E-4</v>
      </c>
      <c r="O16" s="512">
        <f>'FY2013 by Approp Title'!O16*Inflator!$E$7</f>
        <v>485124.60190073913</v>
      </c>
      <c r="P16" s="230">
        <f t="shared" si="12"/>
        <v>94068.038469259685</v>
      </c>
      <c r="Q16" s="231">
        <f t="shared" si="13"/>
        <v>0.2405484200132654</v>
      </c>
      <c r="R16" s="512">
        <f>'FY2013 by Approp Title'!R16*Inflator!$E$8</f>
        <v>423078.68228105904</v>
      </c>
      <c r="S16" s="230">
        <f t="shared" si="14"/>
        <v>-62045.919619680091</v>
      </c>
      <c r="T16" s="231">
        <f t="shared" si="15"/>
        <v>-0.12789687304371186</v>
      </c>
      <c r="U16" s="512">
        <f>'FY2013 by Approp Title'!U16*Inflator!$E$9</f>
        <v>484431.31830238726</v>
      </c>
      <c r="V16" s="233">
        <f t="shared" si="16"/>
        <v>61352.636021328217</v>
      </c>
      <c r="W16" s="234">
        <f t="shared" si="17"/>
        <v>0.14501471851652056</v>
      </c>
      <c r="X16" s="512">
        <f>'FY2013 by Approp Title'!X16*Inflator!$E$10</f>
        <v>608356.3817084789</v>
      </c>
      <c r="Y16" s="235">
        <f t="shared" si="18"/>
        <v>123925.06340609165</v>
      </c>
      <c r="Z16" s="234">
        <f t="shared" si="19"/>
        <v>0.25581554850823307</v>
      </c>
      <c r="AA16" s="236" t="e">
        <f>'FY 2013 by Agency'!#REF!</f>
        <v>#REF!</v>
      </c>
      <c r="AB16" s="512">
        <f>'FY2013 by Approp Title'!AB16*Inflator!$E$11</f>
        <v>651978.66581713932</v>
      </c>
      <c r="AC16" s="235">
        <f t="shared" si="0"/>
        <v>43622.284108660417</v>
      </c>
      <c r="AD16" s="231">
        <f t="shared" si="1"/>
        <v>7.1705147542224651E-2</v>
      </c>
      <c r="AE16" s="512">
        <f>'FY2013 by Approp Title'!AE16*Inflator!$E$12</f>
        <v>596356.45175438607</v>
      </c>
      <c r="AF16" s="235">
        <f t="shared" si="2"/>
        <v>-55622.21406275325</v>
      </c>
      <c r="AG16" s="509">
        <f t="shared" si="3"/>
        <v>-8.5312935804487858E-2</v>
      </c>
      <c r="AH16" s="512">
        <f>'FY2013 by Approp Title'!AH16*Inflator!$E$13</f>
        <v>558734.58228872146</v>
      </c>
      <c r="AI16" s="233">
        <f t="shared" si="20"/>
        <v>-37621.869465664611</v>
      </c>
      <c r="AJ16" s="509">
        <f t="shared" si="21"/>
        <v>-6.3086211870412467E-2</v>
      </c>
      <c r="AK16" s="512">
        <f>'FY2013 by Approp Title'!AK16*Inflator!$E$14</f>
        <v>538278.1033144223</v>
      </c>
      <c r="AL16" s="513">
        <f t="shared" si="22"/>
        <v>-20456.478974299156</v>
      </c>
      <c r="AM16" s="514">
        <f t="shared" si="23"/>
        <v>-3.6612158299749627E-2</v>
      </c>
      <c r="AN16" s="676">
        <f>'FY2013 by Approp Title'!AN16*Inflator!E15</f>
        <v>574847</v>
      </c>
      <c r="AO16" s="200">
        <f t="shared" si="24"/>
        <v>36568.896685577696</v>
      </c>
      <c r="AP16" s="364">
        <f t="shared" si="25"/>
        <v>6.7936808984809929E-2</v>
      </c>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row>
    <row r="17" spans="1:73" s="5" customFormat="1" ht="19.5" customHeight="1" thickBot="1">
      <c r="A17" s="8" t="s">
        <v>54</v>
      </c>
      <c r="B17" s="503">
        <f>'FY2013 by Approp Title'!B17*Inflator!$E$2</f>
        <v>534836.79984051036</v>
      </c>
      <c r="C17" s="503">
        <f>'FY2013 by Approp Title'!C17*Inflator!$E$3</f>
        <v>357224.59737248841</v>
      </c>
      <c r="D17" s="499">
        <f t="shared" si="4"/>
        <v>-177612.20246802195</v>
      </c>
      <c r="E17" s="500">
        <f t="shared" si="5"/>
        <v>-0.33208672724275207</v>
      </c>
      <c r="F17" s="503">
        <f>'FY2013 by Approp Title'!F17*Inflator!$E$4</f>
        <v>360211.28283212788</v>
      </c>
      <c r="G17" s="499">
        <f t="shared" si="6"/>
        <v>2986.6854596394696</v>
      </c>
      <c r="H17" s="500">
        <f t="shared" si="7"/>
        <v>8.3608057272863724E-3</v>
      </c>
      <c r="I17" s="503">
        <f>'FY2013 by Approp Title'!I17*Inflator!$E$5</f>
        <v>371609.02045370033</v>
      </c>
      <c r="J17" s="499">
        <f t="shared" si="8"/>
        <v>11397.737621572451</v>
      </c>
      <c r="K17" s="500">
        <f t="shared" si="9"/>
        <v>3.1641811805445938E-2</v>
      </c>
      <c r="L17" s="503">
        <f>'FY2013 by Approp Title'!L17*Inflator!$E$6</f>
        <v>492868.10396219551</v>
      </c>
      <c r="M17" s="499">
        <f t="shared" si="10"/>
        <v>121259.08350849518</v>
      </c>
      <c r="N17" s="505">
        <f t="shared" si="11"/>
        <v>0.32630823482284965</v>
      </c>
      <c r="O17" s="506">
        <f>'FY2013 by Approp Title'!O17*Inflator!$E$7</f>
        <v>512813.33826117555</v>
      </c>
      <c r="P17" s="18">
        <f t="shared" si="12"/>
        <v>19945.234298980038</v>
      </c>
      <c r="Q17" s="42">
        <f t="shared" si="13"/>
        <v>4.0467691332912663E-2</v>
      </c>
      <c r="R17" s="506">
        <f>'FY2013 by Approp Title'!R17*Inflator!$E$8</f>
        <v>989985.26951799041</v>
      </c>
      <c r="S17" s="18">
        <f t="shared" si="14"/>
        <v>477171.93125681486</v>
      </c>
      <c r="T17" s="42">
        <f t="shared" si="15"/>
        <v>0.93049828398533474</v>
      </c>
      <c r="U17" s="506">
        <f>'FY2013 by Approp Title'!U17*Inflator!$E$9</f>
        <v>682529.31034482759</v>
      </c>
      <c r="V17" s="22">
        <f t="shared" si="16"/>
        <v>-307455.95917316282</v>
      </c>
      <c r="W17" s="41">
        <f t="shared" si="17"/>
        <v>-0.31056619592214607</v>
      </c>
      <c r="X17" s="506">
        <f>'FY2013 by Approp Title'!X17*Inflator!$E$10</f>
        <v>901978.54366465553</v>
      </c>
      <c r="Y17" s="35">
        <f t="shared" si="18"/>
        <v>219449.23331982794</v>
      </c>
      <c r="Z17" s="41">
        <f t="shared" si="19"/>
        <v>0.3215235301894328</v>
      </c>
      <c r="AA17" s="44" t="e">
        <f>'FY 2013 by Agency'!#REF!</f>
        <v>#REF!</v>
      </c>
      <c r="AB17" s="506">
        <f>'FY2013 by Approp Title'!AB17*Inflator!$E$11</f>
        <v>1047682.7480089202</v>
      </c>
      <c r="AC17" s="35">
        <f t="shared" si="0"/>
        <v>145704.2043442647</v>
      </c>
      <c r="AD17" s="42">
        <f t="shared" si="1"/>
        <v>0.16153843721412925</v>
      </c>
      <c r="AE17" s="506">
        <f>'FY2013 by Approp Title'!AE17*Inflator!$E$12</f>
        <v>813824.19360902265</v>
      </c>
      <c r="AF17" s="35">
        <f t="shared" si="2"/>
        <v>-233858.55439989758</v>
      </c>
      <c r="AG17" s="508">
        <f t="shared" si="3"/>
        <v>-0.22321504753641935</v>
      </c>
      <c r="AH17" s="506">
        <f>'FY2013 by Approp Title'!AH17*Inflator!$E$13</f>
        <v>893347.95265063795</v>
      </c>
      <c r="AI17" s="22">
        <f t="shared" si="20"/>
        <v>79523.759041615296</v>
      </c>
      <c r="AJ17" s="508">
        <f t="shared" si="21"/>
        <v>9.7716140250089553E-2</v>
      </c>
      <c r="AK17" s="506">
        <f>'FY2013 by Approp Title'!AK17*Inflator!$E$14</f>
        <v>1017140.4162436549</v>
      </c>
      <c r="AL17" s="510">
        <f t="shared" si="22"/>
        <v>123792.46359301696</v>
      </c>
      <c r="AM17" s="507">
        <f t="shared" si="23"/>
        <v>0.13857138556786791</v>
      </c>
      <c r="AN17" s="675">
        <f>'FY2013 by Approp Title'!AN17*Inflator!E15</f>
        <v>1033696</v>
      </c>
      <c r="AO17" s="652">
        <f t="shared" si="24"/>
        <v>16555.583756345091</v>
      </c>
      <c r="AP17" s="276">
        <f t="shared" si="25"/>
        <v>1.6276596123754088E-2</v>
      </c>
    </row>
    <row r="18" spans="1:73" s="239" customFormat="1" ht="19.5" customHeight="1" thickBot="1">
      <c r="A18" s="237" t="s">
        <v>48</v>
      </c>
      <c r="B18" s="504">
        <f>'FY2013 by Approp Title'!B18*Inflator!$E$2</f>
        <v>4357531.2503987243</v>
      </c>
      <c r="C18" s="504">
        <f>'FY2013 by Approp Title'!C18*Inflator!$E$3</f>
        <v>4629860.3438948998</v>
      </c>
      <c r="D18" s="501">
        <f t="shared" si="4"/>
        <v>272329.09349617548</v>
      </c>
      <c r="E18" s="502">
        <f t="shared" si="5"/>
        <v>6.2496188288094716E-2</v>
      </c>
      <c r="F18" s="504">
        <f>'FY2013 by Approp Title'!F18*Inflator!$E$4</f>
        <v>4618460.1903311759</v>
      </c>
      <c r="G18" s="501">
        <f t="shared" si="6"/>
        <v>-11400.153563723899</v>
      </c>
      <c r="H18" s="502">
        <f t="shared" si="7"/>
        <v>-2.4623104622921404E-3</v>
      </c>
      <c r="I18" s="504">
        <f>'FY2013 by Approp Title'!I18*Inflator!$E$5</f>
        <v>4559624.4336184459</v>
      </c>
      <c r="J18" s="501">
        <f t="shared" si="8"/>
        <v>-58835.756712730043</v>
      </c>
      <c r="K18" s="502">
        <f t="shared" si="9"/>
        <v>-1.2739258170050635E-2</v>
      </c>
      <c r="L18" s="504">
        <f>'FY2013 by Approp Title'!L18*Inflator!$E$6</f>
        <v>4923763.7593602324</v>
      </c>
      <c r="M18" s="501">
        <f t="shared" si="10"/>
        <v>364139.32574178651</v>
      </c>
      <c r="N18" s="511">
        <f t="shared" si="11"/>
        <v>7.986169278701126E-2</v>
      </c>
      <c r="O18" s="512">
        <f>'FY2013 by Approp Title'!O18*Inflator!$E$7</f>
        <v>5321694.9926082361</v>
      </c>
      <c r="P18" s="230">
        <f t="shared" si="12"/>
        <v>397931.23324800376</v>
      </c>
      <c r="Q18" s="231">
        <f t="shared" si="13"/>
        <v>8.0818506471096174E-2</v>
      </c>
      <c r="R18" s="512">
        <f>'FY2013 by Approp Title'!R18*Inflator!$E$8</f>
        <v>5991292.2376103187</v>
      </c>
      <c r="S18" s="230">
        <f t="shared" si="14"/>
        <v>669597.24500208255</v>
      </c>
      <c r="T18" s="231">
        <f t="shared" si="15"/>
        <v>0.12582405529293661</v>
      </c>
      <c r="U18" s="512">
        <f>'FY2013 by Approp Title'!U18*Inflator!$E$9</f>
        <v>6185515.9509283816</v>
      </c>
      <c r="V18" s="233">
        <f t="shared" si="16"/>
        <v>194223.71331806295</v>
      </c>
      <c r="W18" s="234">
        <f>V18/R18</f>
        <v>3.2417666442445287E-2</v>
      </c>
      <c r="X18" s="512">
        <f>'FY2013 by Approp Title'!X18*Inflator!$E$10</f>
        <v>6780775.3629723731</v>
      </c>
      <c r="Y18" s="235">
        <f t="shared" si="18"/>
        <v>595259.4120439915</v>
      </c>
      <c r="Z18" s="234">
        <f t="shared" si="19"/>
        <v>9.6234399323576109E-2</v>
      </c>
      <c r="AA18" s="238" t="e">
        <f>'FY 2013 by Agency'!#REF!</f>
        <v>#REF!</v>
      </c>
      <c r="AB18" s="512">
        <f>'FY2013 by Approp Title'!AB18*Inflator!$E$11</f>
        <v>6772920.8792609125</v>
      </c>
      <c r="AC18" s="235">
        <f t="shared" si="0"/>
        <v>-7854.4837114606053</v>
      </c>
      <c r="AD18" s="231">
        <f t="shared" si="1"/>
        <v>-1.1583459547047387E-3</v>
      </c>
      <c r="AE18" s="512">
        <f>'FY2013 by Approp Title'!AE18*Inflator!$E$12</f>
        <v>6199699.9686716795</v>
      </c>
      <c r="AF18" s="235">
        <f t="shared" si="2"/>
        <v>-573220.91058923304</v>
      </c>
      <c r="AG18" s="509">
        <f t="shared" si="3"/>
        <v>-8.4634225145678227E-2</v>
      </c>
      <c r="AH18" s="512">
        <f>'FY2013 by Approp Title'!AH18*Inflator!$E$13</f>
        <v>6392411.9772361694</v>
      </c>
      <c r="AI18" s="233">
        <f t="shared" si="20"/>
        <v>192712.00856448989</v>
      </c>
      <c r="AJ18" s="509">
        <f t="shared" si="21"/>
        <v>3.108408625228674E-2</v>
      </c>
      <c r="AK18" s="512">
        <f>'FY2013 by Approp Title'!AK18*Inflator!$E$14</f>
        <v>6539819.81845327</v>
      </c>
      <c r="AL18" s="230">
        <f t="shared" si="22"/>
        <v>147407.84121710062</v>
      </c>
      <c r="AM18" s="515">
        <f t="shared" si="23"/>
        <v>2.3059815566022709E-2</v>
      </c>
      <c r="AN18" s="676">
        <f>'FY2013 by Approp Title'!AN18*Inflator!E15</f>
        <v>6748667</v>
      </c>
      <c r="AO18" s="200">
        <f t="shared" si="24"/>
        <v>208847.18154672999</v>
      </c>
      <c r="AP18" s="364">
        <f t="shared" si="25"/>
        <v>3.1934699631544945E-2</v>
      </c>
      <c r="AQ18" s="20"/>
      <c r="AR18" s="20"/>
      <c r="AS18" s="20"/>
      <c r="AT18" s="20"/>
      <c r="AU18" s="20"/>
      <c r="AV18" s="20"/>
      <c r="AW18" s="20"/>
      <c r="AX18" s="20"/>
      <c r="AY18" s="20"/>
      <c r="AZ18" s="20"/>
      <c r="BA18" s="20"/>
      <c r="BB18" s="20"/>
      <c r="BC18" s="20"/>
      <c r="BD18" s="20"/>
      <c r="BE18" s="20"/>
      <c r="BF18" s="20"/>
      <c r="BG18" s="20"/>
      <c r="BH18" s="20"/>
      <c r="BI18" s="20"/>
      <c r="BJ18" s="20"/>
      <c r="BK18" s="20"/>
      <c r="BL18" s="20"/>
      <c r="BM18" s="20"/>
      <c r="BN18" s="20"/>
      <c r="BO18" s="20"/>
      <c r="BP18" s="20"/>
      <c r="BQ18" s="20"/>
      <c r="BR18" s="20"/>
      <c r="BS18" s="20"/>
      <c r="BT18" s="20"/>
      <c r="BU18" s="20"/>
    </row>
    <row r="19" spans="1:73" ht="19.5" customHeight="1">
      <c r="A19" s="6"/>
      <c r="B19" s="6"/>
      <c r="C19" s="6"/>
      <c r="D19" s="6"/>
      <c r="E19" s="6"/>
      <c r="F19" s="6"/>
      <c r="G19" s="6"/>
      <c r="H19" s="6"/>
      <c r="I19" s="6"/>
      <c r="J19" s="6"/>
      <c r="K19" s="6"/>
      <c r="AA19" s="27"/>
      <c r="AB19" s="219"/>
      <c r="AE19" s="27"/>
      <c r="AF19" s="27"/>
      <c r="AG19" s="27"/>
      <c r="AH19" s="27"/>
    </row>
    <row r="20" spans="1:73" ht="19.5" customHeight="1">
      <c r="A20" s="7"/>
      <c r="B20" s="7"/>
      <c r="C20" s="7"/>
      <c r="D20" s="7"/>
      <c r="E20" s="7"/>
      <c r="F20" s="7"/>
      <c r="G20" s="7"/>
      <c r="H20" s="7"/>
      <c r="I20" s="7"/>
      <c r="J20" s="7"/>
      <c r="K20" s="7"/>
      <c r="AA20" s="27"/>
      <c r="AB20" s="27"/>
      <c r="AE20" s="27"/>
      <c r="AF20" s="27"/>
      <c r="AG20" s="27"/>
      <c r="AH20" s="27"/>
    </row>
    <row r="21" spans="1:73" ht="19.5" customHeight="1">
      <c r="A21" s="7"/>
      <c r="B21" s="7"/>
      <c r="C21" s="7"/>
      <c r="D21" s="7"/>
      <c r="E21" s="7"/>
      <c r="F21" s="7"/>
      <c r="G21" s="7"/>
      <c r="H21" s="7"/>
      <c r="I21" s="7"/>
      <c r="J21" s="7"/>
      <c r="K21" s="7"/>
      <c r="AH21" s="14"/>
    </row>
    <row r="22" spans="1:73" ht="19.5" customHeight="1">
      <c r="A22" s="3"/>
      <c r="B22" s="3"/>
      <c r="C22" s="3"/>
      <c r="D22" s="3"/>
      <c r="E22" s="3"/>
      <c r="F22" s="3"/>
      <c r="G22" s="3"/>
      <c r="H22" s="3"/>
      <c r="I22" s="3"/>
      <c r="J22" s="3"/>
      <c r="K22" s="3"/>
      <c r="L22" s="11"/>
      <c r="M22" s="32"/>
      <c r="N22" s="29"/>
      <c r="O22" s="31"/>
      <c r="P22" s="10"/>
      <c r="Q22" s="10"/>
      <c r="R22" s="31"/>
      <c r="AH22" s="26"/>
    </row>
    <row r="23" spans="1:73" ht="19.5" customHeight="1">
      <c r="A23" s="3"/>
      <c r="B23" s="3"/>
      <c r="C23" s="3"/>
      <c r="D23" s="3"/>
      <c r="E23" s="3"/>
      <c r="F23" s="3"/>
      <c r="G23" s="3"/>
      <c r="H23" s="3"/>
      <c r="I23" s="3"/>
      <c r="J23" s="3"/>
      <c r="K23" s="3"/>
      <c r="L23" s="11"/>
      <c r="M23" s="32"/>
      <c r="N23" s="29"/>
      <c r="O23" s="31"/>
      <c r="P23" s="10"/>
      <c r="Q23" s="10"/>
      <c r="R23" s="31"/>
    </row>
    <row r="24" spans="1:73" ht="19.5" customHeight="1">
      <c r="A24" s="3"/>
      <c r="B24" s="3"/>
      <c r="C24" s="3"/>
      <c r="D24" s="3"/>
      <c r="E24" s="3"/>
      <c r="F24" s="3"/>
      <c r="G24" s="3"/>
      <c r="H24" s="3"/>
      <c r="I24" s="3"/>
      <c r="J24" s="3"/>
      <c r="K24" s="3"/>
      <c r="L24" s="11"/>
      <c r="M24" s="32"/>
      <c r="N24" s="29"/>
      <c r="O24" s="31"/>
      <c r="P24" s="10"/>
      <c r="Q24" s="10"/>
      <c r="R24" s="31"/>
    </row>
    <row r="25" spans="1:73" ht="19.5" customHeight="1">
      <c r="A25" s="3"/>
      <c r="B25" s="3"/>
      <c r="C25" s="3"/>
      <c r="D25" s="3"/>
      <c r="E25" s="3"/>
      <c r="F25" s="3"/>
      <c r="G25" s="3"/>
      <c r="H25" s="3"/>
      <c r="I25" s="3"/>
      <c r="J25" s="3"/>
      <c r="K25" s="3"/>
      <c r="L25" s="11"/>
      <c r="M25" s="32"/>
      <c r="N25" s="29"/>
      <c r="O25" s="31"/>
      <c r="P25" s="10"/>
      <c r="Q25" s="10"/>
      <c r="R25" s="31"/>
    </row>
    <row r="26" spans="1:73" ht="19.5" customHeight="1">
      <c r="A26" s="3"/>
      <c r="B26" s="3"/>
      <c r="C26" s="3"/>
      <c r="D26" s="3"/>
      <c r="E26" s="3"/>
      <c r="F26" s="3"/>
      <c r="G26" s="3"/>
      <c r="H26" s="3"/>
      <c r="I26" s="3"/>
      <c r="J26" s="3"/>
      <c r="K26" s="3"/>
      <c r="L26" s="11"/>
      <c r="M26" s="32"/>
      <c r="N26" s="29"/>
      <c r="O26" s="31"/>
      <c r="P26" s="10"/>
      <c r="Q26" s="10"/>
      <c r="R26" s="31"/>
    </row>
    <row r="27" spans="1:73" ht="19.5" customHeight="1">
      <c r="A27" s="3"/>
      <c r="B27" s="3"/>
      <c r="C27" s="3"/>
      <c r="D27" s="3"/>
      <c r="E27" s="3"/>
      <c r="F27" s="3"/>
      <c r="G27" s="3"/>
      <c r="H27" s="3"/>
      <c r="I27" s="3"/>
      <c r="J27" s="3"/>
      <c r="K27" s="3"/>
      <c r="L27" s="11"/>
      <c r="M27" s="32"/>
      <c r="N27" s="29"/>
      <c r="O27" s="31"/>
      <c r="P27" s="10"/>
      <c r="Q27" s="10"/>
      <c r="R27" s="31"/>
    </row>
    <row r="28" spans="1:73" ht="19.5" customHeight="1">
      <c r="A28" s="3"/>
      <c r="B28" s="3"/>
      <c r="C28" s="3"/>
      <c r="D28" s="3"/>
      <c r="E28" s="3"/>
      <c r="F28" s="3"/>
      <c r="G28" s="3"/>
      <c r="H28" s="3"/>
      <c r="I28" s="3"/>
      <c r="J28" s="3"/>
      <c r="K28" s="3"/>
      <c r="L28" s="11"/>
      <c r="M28" s="32"/>
      <c r="N28" s="29"/>
      <c r="O28" s="31"/>
      <c r="P28" s="10"/>
      <c r="Q28" s="10"/>
      <c r="R28" s="31"/>
    </row>
    <row r="29" spans="1:73" ht="19.5" customHeight="1">
      <c r="A29" s="49"/>
      <c r="B29" s="49"/>
      <c r="C29" s="49"/>
      <c r="D29" s="49"/>
      <c r="E29" s="49"/>
      <c r="F29" s="49"/>
      <c r="G29" s="49"/>
      <c r="H29" s="49"/>
      <c r="I29" s="49"/>
      <c r="J29" s="49"/>
      <c r="K29" s="49"/>
      <c r="L29" s="11"/>
      <c r="M29" s="32"/>
      <c r="N29" s="29"/>
      <c r="O29" s="31"/>
      <c r="P29" s="10"/>
      <c r="Q29" s="10"/>
      <c r="R29" s="31"/>
    </row>
    <row r="30" spans="1:73" ht="19.5" customHeight="1">
      <c r="A30" s="7"/>
      <c r="B30" s="7"/>
      <c r="C30" s="7"/>
      <c r="D30" s="7"/>
      <c r="E30" s="7"/>
      <c r="F30" s="7"/>
      <c r="G30" s="7"/>
      <c r="H30" s="7"/>
      <c r="I30" s="7"/>
      <c r="J30" s="7"/>
      <c r="K30" s="7"/>
      <c r="L30" s="7"/>
      <c r="M30" s="7"/>
      <c r="N30" s="11"/>
      <c r="O30" s="11"/>
    </row>
    <row r="31" spans="1:73" ht="19.5" customHeight="1">
      <c r="A31" s="23"/>
      <c r="B31" s="23"/>
      <c r="C31" s="23"/>
      <c r="D31" s="23"/>
      <c r="E31" s="23"/>
      <c r="F31" s="23"/>
      <c r="G31" s="23"/>
      <c r="H31" s="23"/>
      <c r="I31" s="23"/>
      <c r="J31" s="23"/>
      <c r="K31" s="23"/>
      <c r="L31" s="23"/>
      <c r="M31" s="23"/>
      <c r="N31" s="23"/>
      <c r="O31" s="23"/>
      <c r="P31" s="1"/>
      <c r="Q31" s="34"/>
    </row>
    <row r="32" spans="1:73" ht="19.5" customHeight="1">
      <c r="A32" s="23"/>
      <c r="B32" s="23"/>
      <c r="C32" s="23"/>
      <c r="D32" s="23"/>
      <c r="E32" s="23"/>
      <c r="F32" s="23"/>
      <c r="G32" s="23"/>
      <c r="H32" s="23"/>
      <c r="I32" s="23"/>
      <c r="J32" s="23"/>
      <c r="K32" s="23"/>
      <c r="L32" s="23"/>
      <c r="M32" s="23"/>
      <c r="N32" s="23"/>
      <c r="O32" s="23"/>
      <c r="P32" s="1"/>
      <c r="Q32" s="34"/>
    </row>
    <row r="33" spans="1:17" ht="19.5" customHeight="1">
      <c r="A33" s="23"/>
      <c r="B33" s="23"/>
      <c r="C33" s="23"/>
      <c r="D33" s="23"/>
      <c r="E33" s="23"/>
      <c r="F33" s="23"/>
      <c r="G33" s="23"/>
      <c r="H33" s="23"/>
      <c r="I33" s="23"/>
      <c r="J33" s="23"/>
      <c r="K33" s="23"/>
      <c r="L33" s="23"/>
      <c r="M33" s="23"/>
      <c r="N33" s="23"/>
      <c r="O33" s="23"/>
      <c r="P33" s="1"/>
      <c r="Q33" s="34"/>
    </row>
    <row r="34" spans="1:17" ht="19.5" customHeight="1">
      <c r="A34" s="23"/>
      <c r="B34" s="23"/>
      <c r="C34" s="23"/>
      <c r="D34" s="23"/>
      <c r="E34" s="23"/>
      <c r="F34" s="23"/>
      <c r="G34" s="23"/>
      <c r="H34" s="23"/>
      <c r="I34" s="23"/>
      <c r="J34" s="23"/>
      <c r="K34" s="23"/>
      <c r="L34" s="23"/>
      <c r="M34" s="23"/>
      <c r="N34" s="23"/>
      <c r="O34" s="23"/>
      <c r="P34" s="1"/>
      <c r="Q34" s="34"/>
    </row>
    <row r="35" spans="1:17" ht="19.5" customHeight="1">
      <c r="A35" s="23"/>
      <c r="B35" s="23"/>
      <c r="C35" s="23"/>
      <c r="D35" s="23"/>
      <c r="E35" s="23"/>
      <c r="F35" s="23"/>
      <c r="G35" s="23"/>
      <c r="H35" s="23"/>
      <c r="I35" s="23"/>
      <c r="J35" s="23"/>
      <c r="K35" s="23"/>
      <c r="L35" s="23"/>
      <c r="M35" s="23"/>
      <c r="N35" s="23"/>
      <c r="O35" s="23"/>
      <c r="P35" s="1"/>
      <c r="Q35" s="34"/>
    </row>
    <row r="36" spans="1:17" ht="19.5" customHeight="1">
      <c r="A36" s="23"/>
      <c r="B36" s="23"/>
      <c r="C36" s="23"/>
      <c r="D36" s="23"/>
      <c r="E36" s="23"/>
      <c r="F36" s="23"/>
      <c r="G36" s="23"/>
      <c r="H36" s="23"/>
      <c r="I36" s="23"/>
      <c r="J36" s="23"/>
      <c r="K36" s="23"/>
      <c r="L36" s="23"/>
      <c r="M36" s="23"/>
      <c r="N36" s="23"/>
      <c r="O36" s="23"/>
      <c r="P36" s="1"/>
      <c r="Q36" s="34"/>
    </row>
    <row r="37" spans="1:17" ht="19.5" customHeight="1">
      <c r="A37" s="23"/>
      <c r="B37" s="23"/>
      <c r="C37" s="23"/>
      <c r="D37" s="23"/>
      <c r="E37" s="23"/>
      <c r="F37" s="23"/>
      <c r="G37" s="23"/>
      <c r="H37" s="23"/>
      <c r="I37" s="23"/>
      <c r="J37" s="23"/>
      <c r="K37" s="23"/>
      <c r="L37" s="23"/>
      <c r="M37" s="23"/>
      <c r="N37" s="23"/>
      <c r="O37" s="23"/>
      <c r="P37" s="1"/>
      <c r="Q37" s="34"/>
    </row>
    <row r="38" spans="1:17" ht="19.5" customHeight="1">
      <c r="A38" s="23"/>
      <c r="B38" s="23"/>
      <c r="C38" s="23"/>
      <c r="D38" s="23"/>
      <c r="E38" s="23"/>
      <c r="F38" s="23"/>
      <c r="G38" s="23"/>
      <c r="H38" s="23"/>
      <c r="I38" s="23"/>
      <c r="J38" s="23"/>
      <c r="K38" s="23"/>
      <c r="L38" s="23"/>
      <c r="M38" s="23"/>
      <c r="N38" s="23"/>
      <c r="O38" s="23"/>
      <c r="P38" s="1"/>
      <c r="Q38" s="34"/>
    </row>
    <row r="39" spans="1:17" ht="19.5" customHeight="1">
      <c r="A39" s="23"/>
      <c r="B39" s="23"/>
      <c r="C39" s="23"/>
      <c r="D39" s="23"/>
      <c r="E39" s="23"/>
      <c r="F39" s="23"/>
      <c r="G39" s="23"/>
      <c r="H39" s="23"/>
      <c r="I39" s="23"/>
      <c r="J39" s="23"/>
      <c r="K39" s="23"/>
      <c r="L39" s="23"/>
      <c r="M39" s="23"/>
      <c r="N39" s="23"/>
      <c r="O39" s="23"/>
      <c r="P39" s="1"/>
      <c r="Q39" s="34"/>
    </row>
    <row r="40" spans="1:17" ht="19.5" customHeight="1">
      <c r="A40" s="23"/>
      <c r="B40" s="23"/>
      <c r="C40" s="23"/>
      <c r="D40" s="23"/>
      <c r="E40" s="23"/>
      <c r="F40" s="23"/>
      <c r="G40" s="23"/>
      <c r="H40" s="23"/>
      <c r="I40" s="23"/>
      <c r="J40" s="23"/>
      <c r="K40" s="23"/>
      <c r="L40" s="23"/>
      <c r="M40" s="23"/>
      <c r="N40" s="23"/>
      <c r="O40" s="23"/>
      <c r="P40" s="1"/>
      <c r="Q40" s="34"/>
    </row>
    <row r="41" spans="1:17" ht="19.5" customHeight="1">
      <c r="A41" s="23"/>
      <c r="B41" s="23"/>
      <c r="C41" s="23"/>
      <c r="D41" s="23"/>
      <c r="E41" s="23"/>
      <c r="F41" s="23"/>
      <c r="G41" s="23"/>
      <c r="H41" s="23"/>
      <c r="I41" s="23"/>
      <c r="J41" s="23"/>
      <c r="K41" s="23"/>
      <c r="L41" s="23"/>
      <c r="M41" s="23"/>
      <c r="N41" s="23"/>
      <c r="O41" s="23"/>
      <c r="P41" s="1"/>
      <c r="Q41" s="34"/>
    </row>
    <row r="42" spans="1:17" ht="19.5" customHeight="1">
      <c r="A42" s="23"/>
      <c r="B42" s="23"/>
      <c r="C42" s="23"/>
      <c r="D42" s="23"/>
      <c r="E42" s="23"/>
      <c r="F42" s="23"/>
      <c r="G42" s="23"/>
      <c r="H42" s="23"/>
      <c r="I42" s="23"/>
      <c r="J42" s="23"/>
      <c r="K42" s="23"/>
      <c r="L42" s="23"/>
      <c r="M42" s="23"/>
      <c r="N42" s="23"/>
      <c r="O42" s="23"/>
      <c r="P42" s="1"/>
      <c r="Q42" s="34"/>
    </row>
    <row r="43" spans="1:17" ht="19.5" customHeight="1">
      <c r="A43" s="23"/>
      <c r="B43" s="23"/>
      <c r="C43" s="23"/>
      <c r="D43" s="23"/>
      <c r="E43" s="23"/>
      <c r="F43" s="23"/>
      <c r="G43" s="23"/>
      <c r="H43" s="23"/>
      <c r="I43" s="23"/>
      <c r="J43" s="23"/>
      <c r="K43" s="23"/>
      <c r="L43" s="23"/>
      <c r="M43" s="23"/>
      <c r="N43" s="23"/>
      <c r="O43" s="23"/>
      <c r="P43" s="1"/>
      <c r="Q43" s="34"/>
    </row>
    <row r="44" spans="1:17" ht="19.5" customHeight="1">
      <c r="A44" s="23"/>
      <c r="B44" s="23"/>
      <c r="C44" s="23"/>
      <c r="D44" s="23"/>
      <c r="E44" s="23"/>
      <c r="F44" s="23"/>
      <c r="G44" s="23"/>
      <c r="H44" s="23"/>
      <c r="I44" s="23"/>
      <c r="J44" s="23"/>
      <c r="K44" s="23"/>
      <c r="L44" s="23"/>
      <c r="M44" s="23"/>
      <c r="N44" s="23"/>
      <c r="O44" s="23"/>
      <c r="P44" s="1"/>
      <c r="Q44" s="34"/>
    </row>
    <row r="45" spans="1:17" ht="19.5" customHeight="1">
      <c r="A45" s="23"/>
      <c r="B45" s="23"/>
      <c r="C45" s="23"/>
      <c r="D45" s="23"/>
      <c r="E45" s="23"/>
      <c r="F45" s="23"/>
      <c r="G45" s="23"/>
      <c r="H45" s="23"/>
      <c r="I45" s="23"/>
      <c r="J45" s="23"/>
      <c r="K45" s="23"/>
      <c r="L45" s="23"/>
      <c r="M45" s="23"/>
      <c r="N45" s="23"/>
      <c r="O45" s="23"/>
      <c r="P45" s="1"/>
      <c r="Q45" s="34"/>
    </row>
    <row r="46" spans="1:17" ht="19.5" customHeight="1">
      <c r="A46" s="23"/>
      <c r="B46" s="23"/>
      <c r="C46" s="23"/>
      <c r="D46" s="23"/>
      <c r="E46" s="23"/>
      <c r="F46" s="23"/>
      <c r="G46" s="23"/>
      <c r="H46" s="23"/>
      <c r="I46" s="23"/>
      <c r="J46" s="23"/>
      <c r="K46" s="23"/>
      <c r="L46" s="23"/>
      <c r="M46" s="23"/>
      <c r="N46" s="23"/>
      <c r="O46" s="23"/>
      <c r="P46" s="1"/>
      <c r="Q46" s="34"/>
    </row>
    <row r="47" spans="1:17" ht="19.5" customHeight="1">
      <c r="A47" s="23"/>
      <c r="B47" s="23"/>
      <c r="C47" s="23"/>
      <c r="D47" s="23"/>
      <c r="E47" s="23"/>
      <c r="F47" s="23"/>
      <c r="G47" s="23"/>
      <c r="H47" s="23"/>
      <c r="I47" s="23"/>
      <c r="J47" s="23"/>
      <c r="K47" s="23"/>
      <c r="L47" s="23"/>
      <c r="M47" s="23"/>
      <c r="N47" s="23"/>
      <c r="O47" s="23"/>
      <c r="P47" s="1"/>
      <c r="Q47" s="34"/>
    </row>
    <row r="48" spans="1:17" ht="19.5" customHeight="1">
      <c r="A48" s="23"/>
      <c r="B48" s="23"/>
      <c r="C48" s="23"/>
      <c r="D48" s="23"/>
      <c r="E48" s="23"/>
      <c r="F48" s="23"/>
      <c r="G48" s="23"/>
      <c r="H48" s="23"/>
      <c r="I48" s="23"/>
      <c r="J48" s="23"/>
      <c r="K48" s="23"/>
      <c r="L48" s="23"/>
      <c r="M48" s="23"/>
      <c r="N48" s="23"/>
      <c r="O48" s="23"/>
      <c r="P48" s="1"/>
      <c r="Q48" s="34"/>
    </row>
    <row r="49" spans="1:17" ht="19.5" customHeight="1">
      <c r="A49" s="23"/>
      <c r="B49" s="23"/>
      <c r="C49" s="23"/>
      <c r="D49" s="23"/>
      <c r="E49" s="23"/>
      <c r="F49" s="23"/>
      <c r="G49" s="23"/>
      <c r="H49" s="23"/>
      <c r="I49" s="23"/>
      <c r="J49" s="23"/>
      <c r="K49" s="23"/>
      <c r="L49" s="23"/>
      <c r="M49" s="23"/>
      <c r="N49" s="23"/>
      <c r="O49" s="23"/>
      <c r="P49" s="1"/>
      <c r="Q49" s="34"/>
    </row>
    <row r="50" spans="1:17" ht="19.5" customHeight="1">
      <c r="L50" s="23"/>
      <c r="M50" s="23"/>
      <c r="N50" s="23"/>
      <c r="O50" s="23"/>
      <c r="P50" s="1"/>
      <c r="Q50" s="34"/>
    </row>
    <row r="51" spans="1:17" ht="19.5" customHeight="1">
      <c r="A51" s="1"/>
      <c r="B51" s="1"/>
      <c r="C51" s="1"/>
      <c r="D51" s="1"/>
      <c r="E51" s="1"/>
      <c r="F51" s="1"/>
      <c r="G51" s="1"/>
      <c r="H51" s="1"/>
      <c r="I51" s="1"/>
      <c r="J51" s="1"/>
      <c r="K51" s="1"/>
      <c r="L51" s="1"/>
      <c r="M51" s="1"/>
      <c r="N51" s="1"/>
      <c r="O51" s="1"/>
      <c r="P51" s="1"/>
      <c r="Q51" s="34"/>
    </row>
    <row r="52" spans="1:17" ht="19.5" customHeight="1">
      <c r="A52" s="1"/>
      <c r="B52" s="1"/>
      <c r="C52" s="1"/>
      <c r="D52" s="1"/>
      <c r="E52" s="1"/>
      <c r="F52" s="1"/>
      <c r="G52" s="1"/>
      <c r="H52" s="1"/>
      <c r="I52" s="1"/>
      <c r="J52" s="1"/>
      <c r="K52" s="1"/>
      <c r="L52" s="1"/>
      <c r="M52" s="1"/>
      <c r="N52" s="1"/>
      <c r="O52" s="1"/>
      <c r="P52" s="1"/>
      <c r="Q52" s="34"/>
    </row>
    <row r="53" spans="1:17" ht="19.5" customHeight="1">
      <c r="A53" s="1"/>
      <c r="B53" s="1"/>
      <c r="C53" s="1"/>
      <c r="D53" s="1"/>
      <c r="E53" s="1"/>
      <c r="F53" s="1"/>
      <c r="G53" s="1"/>
      <c r="H53" s="1"/>
      <c r="I53" s="1"/>
      <c r="J53" s="1"/>
      <c r="K53" s="1"/>
      <c r="L53" s="1"/>
      <c r="M53" s="1"/>
      <c r="N53" s="1"/>
      <c r="O53" s="1"/>
      <c r="P53" s="1"/>
      <c r="Q53" s="34"/>
    </row>
    <row r="54" spans="1:17" ht="19.5" customHeight="1">
      <c r="A54" s="1"/>
      <c r="B54" s="1"/>
      <c r="C54" s="1"/>
      <c r="D54" s="1"/>
      <c r="E54" s="1"/>
      <c r="F54" s="1"/>
      <c r="G54" s="1"/>
      <c r="H54" s="1"/>
      <c r="I54" s="1"/>
      <c r="J54" s="1"/>
      <c r="K54" s="1"/>
      <c r="L54" s="1"/>
      <c r="M54" s="1"/>
      <c r="N54" s="1"/>
      <c r="O54" s="1"/>
      <c r="P54" s="1"/>
      <c r="Q54" s="34"/>
    </row>
    <row r="55" spans="1:17" ht="19.5" customHeight="1">
      <c r="A55" s="1"/>
      <c r="B55" s="1"/>
      <c r="C55" s="1"/>
      <c r="D55" s="1"/>
      <c r="E55" s="1"/>
      <c r="F55" s="1"/>
      <c r="G55" s="1"/>
      <c r="H55" s="1"/>
      <c r="I55" s="1"/>
      <c r="J55" s="1"/>
      <c r="K55" s="1"/>
      <c r="L55" s="1"/>
      <c r="M55" s="1"/>
      <c r="N55" s="1"/>
      <c r="O55" s="1"/>
      <c r="P55" s="1"/>
      <c r="Q55" s="34"/>
    </row>
    <row r="56" spans="1:17" ht="19.5" customHeight="1">
      <c r="A56" s="1"/>
      <c r="B56" s="1"/>
      <c r="C56" s="1"/>
      <c r="D56" s="1"/>
      <c r="E56" s="1"/>
      <c r="F56" s="1"/>
      <c r="G56" s="1"/>
      <c r="H56" s="1"/>
      <c r="I56" s="1"/>
      <c r="J56" s="1"/>
      <c r="K56" s="1"/>
      <c r="L56" s="1"/>
      <c r="M56" s="1"/>
      <c r="N56" s="1"/>
      <c r="O56" s="1"/>
      <c r="P56" s="1"/>
      <c r="Q56" s="34"/>
    </row>
    <row r="57" spans="1:17" ht="19.5" customHeight="1">
      <c r="A57" s="1"/>
      <c r="B57" s="1"/>
      <c r="C57" s="1"/>
      <c r="D57" s="1"/>
      <c r="E57" s="1"/>
      <c r="F57" s="1"/>
      <c r="G57" s="1"/>
      <c r="H57" s="1"/>
      <c r="I57" s="1"/>
      <c r="J57" s="1"/>
      <c r="K57" s="1"/>
      <c r="L57" s="1"/>
      <c r="M57" s="1"/>
      <c r="N57" s="1"/>
      <c r="O57" s="1"/>
      <c r="P57" s="1"/>
      <c r="Q57" s="34"/>
    </row>
    <row r="58" spans="1:17" ht="19.5" customHeight="1">
      <c r="A58" s="1"/>
      <c r="B58" s="1"/>
      <c r="C58" s="1"/>
      <c r="D58" s="1"/>
      <c r="E58" s="1"/>
      <c r="F58" s="1"/>
      <c r="G58" s="1"/>
      <c r="H58" s="1"/>
      <c r="I58" s="1"/>
      <c r="J58" s="1"/>
      <c r="K58" s="1"/>
      <c r="L58" s="1"/>
      <c r="M58" s="1"/>
      <c r="N58" s="1"/>
      <c r="O58" s="1"/>
      <c r="P58" s="1"/>
      <c r="Q58" s="34"/>
    </row>
    <row r="59" spans="1:17" ht="19.5" customHeight="1">
      <c r="A59" s="1"/>
      <c r="B59" s="1"/>
      <c r="C59" s="1"/>
      <c r="D59" s="1"/>
      <c r="E59" s="1"/>
      <c r="F59" s="1"/>
      <c r="G59" s="1"/>
      <c r="H59" s="1"/>
      <c r="I59" s="1"/>
      <c r="J59" s="1"/>
      <c r="K59" s="1"/>
      <c r="L59" s="1"/>
      <c r="M59" s="1"/>
      <c r="N59" s="1"/>
      <c r="O59" s="1"/>
      <c r="P59" s="1"/>
      <c r="Q59" s="34"/>
    </row>
    <row r="60" spans="1:17" ht="19.5" customHeight="1">
      <c r="A60" s="1"/>
      <c r="B60" s="1"/>
      <c r="C60" s="1"/>
      <c r="D60" s="1"/>
      <c r="E60" s="1"/>
      <c r="F60" s="1"/>
      <c r="G60" s="1"/>
      <c r="H60" s="1"/>
      <c r="I60" s="1"/>
      <c r="J60" s="1"/>
      <c r="K60" s="1"/>
      <c r="L60" s="1"/>
      <c r="M60" s="1"/>
      <c r="N60" s="1"/>
      <c r="O60" s="1"/>
      <c r="P60" s="1"/>
      <c r="Q60" s="34"/>
    </row>
    <row r="61" spans="1:17" ht="19.5" customHeight="1">
      <c r="A61" s="1"/>
      <c r="B61" s="1"/>
      <c r="C61" s="1"/>
      <c r="D61" s="1"/>
      <c r="E61" s="1"/>
      <c r="F61" s="1"/>
      <c r="G61" s="1"/>
      <c r="H61" s="1"/>
      <c r="I61" s="1"/>
      <c r="J61" s="1"/>
      <c r="K61" s="1"/>
      <c r="L61" s="1"/>
      <c r="M61" s="1"/>
      <c r="N61" s="1"/>
      <c r="O61" s="1"/>
      <c r="P61" s="1"/>
      <c r="Q61" s="34"/>
    </row>
    <row r="62" spans="1:17" ht="19.5" customHeight="1">
      <c r="A62" s="1"/>
      <c r="B62" s="1"/>
      <c r="C62" s="1"/>
      <c r="D62" s="1"/>
      <c r="E62" s="1"/>
      <c r="F62" s="1"/>
      <c r="G62" s="1"/>
      <c r="H62" s="1"/>
      <c r="I62" s="1"/>
      <c r="J62" s="1"/>
      <c r="K62" s="1"/>
      <c r="L62" s="1"/>
      <c r="M62" s="1"/>
      <c r="N62" s="1"/>
      <c r="O62" s="1"/>
      <c r="P62" s="1"/>
      <c r="Q62" s="34"/>
    </row>
    <row r="63" spans="1:17" ht="19.5" customHeight="1">
      <c r="A63" s="1"/>
      <c r="B63" s="1"/>
      <c r="C63" s="1"/>
      <c r="D63" s="1"/>
      <c r="E63" s="1"/>
      <c r="F63" s="1"/>
      <c r="G63" s="1"/>
      <c r="H63" s="1"/>
      <c r="I63" s="1"/>
      <c r="J63" s="1"/>
      <c r="K63" s="1"/>
      <c r="L63" s="1"/>
      <c r="M63" s="1"/>
      <c r="N63" s="1"/>
      <c r="O63" s="1"/>
      <c r="P63" s="1"/>
      <c r="Q63" s="34"/>
    </row>
    <row r="64" spans="1:17" ht="19.5" customHeight="1">
      <c r="A64" s="1"/>
      <c r="B64" s="1"/>
      <c r="C64" s="1"/>
      <c r="D64" s="1"/>
      <c r="E64" s="1"/>
      <c r="F64" s="1"/>
      <c r="G64" s="1"/>
      <c r="H64" s="1"/>
      <c r="I64" s="1"/>
      <c r="J64" s="1"/>
      <c r="K64" s="1"/>
      <c r="L64" s="1"/>
      <c r="M64" s="1"/>
      <c r="N64" s="1"/>
      <c r="O64" s="1"/>
      <c r="P64" s="1"/>
      <c r="Q64" s="34"/>
    </row>
  </sheetData>
  <customSheetViews>
    <customSheetView guid="{567C3053-2D8E-4705-8DC7-18896C5303CA}" scale="85" showPageBreaks="1" hiddenColumns="1" topLeftCell="AH7">
      <selection activeCell="AN20" sqref="AN20"/>
      <pageMargins left="0.75" right="0.75" top="1" bottom="1" header="0.5" footer="0.5"/>
      <pageSetup orientation="portrait" r:id="rId1"/>
      <headerFooter alignWithMargins="0"/>
    </customSheetView>
    <customSheetView guid="{9D4F0482-B164-4671-805A-E0D2D4DD4720}" scale="85" hiddenColumns="1" topLeftCell="K1">
      <selection activeCell="W14" sqref="W14"/>
      <pageMargins left="0.75" right="0.75" top="1" bottom="1" header="0.5" footer="0.5"/>
      <headerFooter alignWithMargins="0"/>
    </customSheetView>
    <customSheetView guid="{78CA186D-B240-44D5-8A24-D241DE0B0FD9}" scale="85" hiddenColumns="1" topLeftCell="AH6">
      <selection activeCell="AN11" sqref="AN11"/>
      <pageMargins left="0.75" right="0.75" top="1" bottom="1" header="0.5" footer="0.5"/>
      <headerFooter alignWithMargins="0"/>
    </customSheetView>
    <customSheetView guid="{455630F5-40FC-47DB-8AD4-712C20B8FB91}" scale="85" hiddenColumns="1" topLeftCell="AG6">
      <selection activeCell="AN15" sqref="AN15"/>
      <pageMargins left="0.75" right="0.75" top="1" bottom="1" header="0.5" footer="0.5"/>
      <pageSetup orientation="portrait" r:id="rId2"/>
      <headerFooter alignWithMargins="0"/>
    </customSheetView>
    <customSheetView guid="{AEFEB150-9213-45F5-A178-7AC71E46DB11}" scale="85" hiddenColumns="1" topLeftCell="K1">
      <selection activeCell="W14" sqref="W14"/>
      <pageMargins left="0.75" right="0.75" top="1" bottom="1" header="0.5" footer="0.5"/>
      <headerFooter alignWithMargins="0"/>
    </customSheetView>
    <customSheetView guid="{1E5198E1-BA46-4CE0-8628-4F695B0D7A3B}" scale="85" hiddenColumns="1" topLeftCell="K1">
      <selection activeCell="W14" sqref="W14"/>
      <pageMargins left="0.75" right="0.75" top="1" bottom="1" header="0.5" footer="0.5"/>
      <headerFooter alignWithMargins="0"/>
    </customSheetView>
    <customSheetView guid="{F784130D-F647-4ABA-8943-C79CA5B0FDC4}" scale="85" hiddenColumns="1">
      <selection activeCell="A4" sqref="A4:A6"/>
      <pageMargins left="0.75" right="0.75" top="1" bottom="1" header="0.5" footer="0.5"/>
      <headerFooter alignWithMargins="0"/>
    </customSheetView>
    <customSheetView guid="{8F508F4D-4777-42BE-9707-8CB9355F7BDB}" scale="85" hiddenColumns="1" topLeftCell="X1">
      <selection activeCell="AE8" sqref="AE8"/>
      <pageMargins left="0.75" right="0.75" top="1" bottom="1" header="0.5" footer="0.5"/>
      <headerFooter alignWithMargins="0"/>
    </customSheetView>
    <customSheetView guid="{94DA13B6-7351-40F3-8CF7-A4211EC439DA}" scale="85" hiddenColumns="1" topLeftCell="K1">
      <selection activeCell="W14" sqref="W14"/>
      <pageMargins left="0.75" right="0.75" top="1" bottom="1" header="0.5" footer="0.5"/>
      <headerFooter alignWithMargins="0"/>
    </customSheetView>
    <customSheetView guid="{E44F5FE1-54FC-4AB3-84F9-7D65ACF2DDE7}" scale="85" hiddenColumns="1" topLeftCell="K1">
      <selection activeCell="W14" sqref="W14"/>
      <pageMargins left="0.75" right="0.75" top="1" bottom="1" header="0.5" footer="0.5"/>
      <headerFooter alignWithMargins="0"/>
    </customSheetView>
    <customSheetView guid="{50528D02-548E-47E0-94D7-D1E79CD3569C}" scale="85" hiddenColumns="1" topLeftCell="AE6">
      <selection activeCell="AN11" sqref="AN11"/>
      <pageMargins left="0.75" right="0.75" top="1" bottom="1" header="0.5" footer="0.5"/>
      <headerFooter alignWithMargins="0"/>
    </customSheetView>
    <customSheetView guid="{A2518DB3-3A80-4035-9307-EC50A7C923F2}" scale="85" hiddenColumns="1" topLeftCell="AE6">
      <selection activeCell="AN11" sqref="AN11"/>
      <pageMargins left="0.75" right="0.75" top="1" bottom="1" header="0.5" footer="0.5"/>
      <headerFooter alignWithMargins="0"/>
    </customSheetView>
    <customSheetView guid="{E81D05A4-5B21-42D3-A8D3-906ABCABC0F4}" scale="85" hiddenColumns="1" topLeftCell="AH6">
      <selection activeCell="AN11" sqref="AN11"/>
      <pageMargins left="0.75" right="0.75" top="1" bottom="1" header="0.5" footer="0.5"/>
      <headerFooter alignWithMargins="0"/>
    </customSheetView>
  </customSheetViews>
  <mergeCells count="5">
    <mergeCell ref="M9:N9"/>
    <mergeCell ref="P9:Q9"/>
    <mergeCell ref="S9:T9"/>
    <mergeCell ref="V9:W9"/>
    <mergeCell ref="Y9:Z9"/>
  </mergeCells>
  <phoneticPr fontId="8" type="noConversion"/>
  <pageMargins left="0.75" right="0.75" top="1" bottom="1" header="0.5" footer="0.5"/>
  <pageSetup orientation="portrait" r:id="rId3"/>
  <headerFooter alignWithMargins="0"/>
</worksheet>
</file>

<file path=xl/worksheets/sheet4.xml><?xml version="1.0" encoding="utf-8"?>
<worksheet xmlns="http://schemas.openxmlformats.org/spreadsheetml/2006/main" xmlns:r="http://schemas.openxmlformats.org/officeDocument/2006/relationships">
  <dimension ref="A1:IC258"/>
  <sheetViews>
    <sheetView topLeftCell="A211" zoomScale="85" zoomScaleNormal="100" workbookViewId="0">
      <pane xSplit="1" topLeftCell="BN1" activePane="topRight" state="frozen"/>
      <selection activeCell="A211" sqref="A211"/>
      <selection pane="topRight" activeCell="BN213" sqref="BN213"/>
    </sheetView>
  </sheetViews>
  <sheetFormatPr defaultColWidth="8.7265625" defaultRowHeight="18" customHeight="1"/>
  <cols>
    <col min="1" max="1" width="63.81640625" style="50" customWidth="1"/>
    <col min="2" max="2" width="10.81640625" bestFit="1" customWidth="1"/>
    <col min="3" max="3" width="11.1796875" customWidth="1"/>
    <col min="4" max="4" width="12.1796875" customWidth="1"/>
    <col min="5" max="5" width="13.1796875" style="14" customWidth="1"/>
    <col min="6" max="6" width="10.81640625" customWidth="1"/>
    <col min="7" max="7" width="14.26953125" customWidth="1"/>
    <col min="8" max="8" width="15.26953125" style="14" customWidth="1"/>
    <col min="9" max="9" width="13.7265625" bestFit="1" customWidth="1"/>
    <col min="10" max="10" width="13.7265625" customWidth="1"/>
    <col min="11" max="11" width="13.7265625" style="14" customWidth="1"/>
    <col min="12" max="12" width="11.453125" style="50" customWidth="1"/>
    <col min="13" max="13" width="10.81640625" style="50" customWidth="1"/>
    <col min="14" max="14" width="8.7265625" style="51" customWidth="1"/>
    <col min="15" max="15" width="12" style="50" customWidth="1"/>
    <col min="16" max="16" width="9.81640625" style="50" customWidth="1"/>
    <col min="17" max="17" width="9.1796875" style="50" customWidth="1"/>
    <col min="18" max="18" width="11.26953125" style="50" customWidth="1"/>
    <col min="19" max="19" width="10" style="50" customWidth="1"/>
    <col min="20" max="20" width="8.7265625" style="50" customWidth="1"/>
    <col min="21" max="21" width="11.453125" style="50" customWidth="1"/>
    <col min="22" max="22" width="9.7265625" style="50" customWidth="1"/>
    <col min="23" max="23" width="7.81640625" style="50" customWidth="1"/>
    <col min="24" max="24" width="13.7265625" style="166" customWidth="1"/>
    <col min="25" max="25" width="12.26953125" style="157" customWidth="1"/>
    <col min="26" max="26" width="10.453125" style="95" customWidth="1"/>
    <col min="27" max="27" width="13.54296875" style="202" customWidth="1"/>
    <col min="28" max="28" width="12.7265625" style="52" customWidth="1"/>
    <col min="29" max="29" width="12" style="100" customWidth="1"/>
    <col min="30" max="30" width="10.7265625" style="50" customWidth="1"/>
    <col min="31" max="31" width="13.1796875" style="50" customWidth="1"/>
    <col min="32" max="33" width="13.1796875" style="52" customWidth="1"/>
    <col min="34" max="34" width="13.1796875" style="50" customWidth="1"/>
    <col min="35" max="36" width="13.81640625" style="50" customWidth="1"/>
    <col min="37" max="37" width="10.54296875" style="50" customWidth="1"/>
    <col min="38" max="38" width="16.1796875" style="50" customWidth="1"/>
    <col min="39" max="39" width="12.26953125" style="50" customWidth="1"/>
    <col min="40" max="40" width="14.7265625" style="50" customWidth="1"/>
    <col min="41" max="43" width="13.54296875" style="50" customWidth="1"/>
    <col min="44" max="44" width="15.1796875" style="50" customWidth="1"/>
    <col min="45" max="45" width="13.54296875" style="50" customWidth="1"/>
    <col min="46" max="46" width="17.54296875" style="50" customWidth="1"/>
    <col min="47" max="47" width="14.453125" style="50" customWidth="1"/>
    <col min="48" max="48" width="13.26953125" style="50" customWidth="1"/>
    <col min="49" max="49" width="23" style="50" customWidth="1"/>
    <col min="50" max="50" width="13.1796875" style="52" customWidth="1"/>
    <col min="51" max="51" width="12.54296875" style="52" customWidth="1"/>
    <col min="52" max="53" width="12.7265625" style="58" customWidth="1"/>
    <col min="54" max="54" width="16" style="58" customWidth="1"/>
    <col min="55" max="56" width="12.7265625" style="58" customWidth="1"/>
    <col min="57" max="57" width="13.1796875" style="52" customWidth="1"/>
    <col min="58" max="58" width="13.7265625" style="52" customWidth="1"/>
    <col min="59" max="63" width="11.81640625" style="58" customWidth="1"/>
    <col min="64" max="64" width="21.26953125" style="50" customWidth="1"/>
    <col min="65" max="67" width="13.26953125" style="50" customWidth="1"/>
    <col min="68" max="68" width="12.54296875" style="50" hidden="1" customWidth="1"/>
    <col min="69" max="69" width="11.54296875" style="39" customWidth="1"/>
    <col min="70" max="70" width="8.54296875" style="39" customWidth="1"/>
    <col min="71" max="71" width="4.81640625" style="50" customWidth="1"/>
    <col min="72" max="72" width="6.7265625" style="50" customWidth="1"/>
    <col min="73" max="73" width="7.54296875" style="50" customWidth="1"/>
    <col min="74" max="74" width="21.26953125" style="50" customWidth="1"/>
    <col min="75" max="75" width="18" style="50" customWidth="1"/>
    <col min="76" max="76" width="14.54296875" style="50" customWidth="1"/>
    <col min="77" max="237" width="47" style="50" bestFit="1" customWidth="1"/>
    <col min="238" max="16384" width="8.7265625" style="50"/>
  </cols>
  <sheetData>
    <row r="1" spans="1:76" ht="12.5" hidden="1">
      <c r="A1" s="50" t="s">
        <v>114</v>
      </c>
    </row>
    <row r="2" spans="1:76" ht="24" hidden="1" customHeight="1">
      <c r="A2" s="53" t="s">
        <v>153</v>
      </c>
      <c r="R2" s="52"/>
    </row>
    <row r="3" spans="1:76" ht="13" hidden="1" thickBot="1">
      <c r="L3" s="54"/>
      <c r="M3" s="54"/>
      <c r="N3" s="55"/>
      <c r="O3" s="54"/>
      <c r="P3" s="54"/>
      <c r="Q3" s="54"/>
      <c r="R3" s="54"/>
      <c r="U3" s="54"/>
    </row>
    <row r="4" spans="1:76" ht="18" customHeight="1" thickBot="1">
      <c r="A4" s="446"/>
      <c r="B4" s="447" t="s">
        <v>365</v>
      </c>
      <c r="C4" s="449" t="s">
        <v>368</v>
      </c>
      <c r="D4" s="450" t="s">
        <v>375</v>
      </c>
      <c r="E4" s="451"/>
      <c r="F4" s="447" t="s">
        <v>367</v>
      </c>
      <c r="G4" s="455" t="s">
        <v>373</v>
      </c>
      <c r="H4" s="456"/>
      <c r="I4" s="449" t="s">
        <v>366</v>
      </c>
      <c r="J4" s="450" t="s">
        <v>374</v>
      </c>
      <c r="K4" s="451"/>
      <c r="L4" s="447" t="s">
        <v>47</v>
      </c>
      <c r="M4" s="714" t="s">
        <v>91</v>
      </c>
      <c r="N4" s="715"/>
      <c r="O4" s="449" t="s">
        <v>46</v>
      </c>
      <c r="P4" s="716" t="s">
        <v>92</v>
      </c>
      <c r="Q4" s="717"/>
      <c r="R4" s="462" t="s">
        <v>44</v>
      </c>
      <c r="S4" s="714" t="s">
        <v>96</v>
      </c>
      <c r="T4" s="715"/>
      <c r="U4" s="465" t="s">
        <v>95</v>
      </c>
      <c r="V4" s="716" t="s">
        <v>128</v>
      </c>
      <c r="W4" s="717"/>
      <c r="X4" s="467" t="s">
        <v>106</v>
      </c>
      <c r="Y4" s="718" t="s">
        <v>154</v>
      </c>
      <c r="Z4" s="719"/>
      <c r="AA4" s="470" t="s">
        <v>155</v>
      </c>
      <c r="AB4" s="712" t="s">
        <v>157</v>
      </c>
      <c r="AC4" s="713"/>
      <c r="AD4" s="279" t="s">
        <v>156</v>
      </c>
      <c r="AE4" s="279" t="s">
        <v>156</v>
      </c>
      <c r="AF4" s="537" t="s">
        <v>156</v>
      </c>
      <c r="AG4" s="535" t="s">
        <v>200</v>
      </c>
      <c r="AH4" s="475"/>
      <c r="AI4" s="257" t="s">
        <v>156</v>
      </c>
      <c r="AJ4" s="257" t="s">
        <v>156</v>
      </c>
      <c r="AK4" s="257" t="s">
        <v>225</v>
      </c>
      <c r="AL4" s="257" t="s">
        <v>225</v>
      </c>
      <c r="AM4" s="257" t="s">
        <v>225</v>
      </c>
      <c r="AN4" s="257" t="s">
        <v>225</v>
      </c>
      <c r="AO4" s="257" t="s">
        <v>225</v>
      </c>
      <c r="AP4" s="563" t="s">
        <v>225</v>
      </c>
      <c r="AQ4" s="564" t="s">
        <v>225</v>
      </c>
      <c r="AR4" s="563" t="s">
        <v>225</v>
      </c>
      <c r="AS4" s="564" t="s">
        <v>225</v>
      </c>
      <c r="AT4" s="552" t="s">
        <v>404</v>
      </c>
      <c r="AU4" s="565"/>
      <c r="AX4" s="488" t="s">
        <v>225</v>
      </c>
      <c r="AY4" s="536" t="s">
        <v>394</v>
      </c>
      <c r="AZ4" s="529"/>
      <c r="BA4" s="488" t="s">
        <v>225</v>
      </c>
      <c r="BB4" s="488" t="s">
        <v>225</v>
      </c>
      <c r="BC4" s="488" t="s">
        <v>225</v>
      </c>
      <c r="BD4" s="488"/>
      <c r="BE4" s="537" t="s">
        <v>385</v>
      </c>
      <c r="BF4" s="535" t="s">
        <v>395</v>
      </c>
      <c r="BG4" s="531"/>
      <c r="BH4" s="555" t="s">
        <v>385</v>
      </c>
      <c r="BI4" s="559" t="s">
        <v>385</v>
      </c>
      <c r="BJ4" s="560" t="s">
        <v>385</v>
      </c>
      <c r="BK4" s="559" t="s">
        <v>385</v>
      </c>
      <c r="BL4" s="552" t="s">
        <v>385</v>
      </c>
      <c r="BM4" s="556" t="s">
        <v>406</v>
      </c>
      <c r="BN4" s="654" t="s">
        <v>423</v>
      </c>
      <c r="BO4" s="677" t="s">
        <v>482</v>
      </c>
      <c r="BP4" s="678"/>
      <c r="BQ4" s="679"/>
      <c r="BR4" s="654" t="s">
        <v>423</v>
      </c>
      <c r="BS4" s="635" t="s">
        <v>423</v>
      </c>
      <c r="BT4" s="636" t="s">
        <v>423</v>
      </c>
      <c r="BU4" s="635" t="s">
        <v>423</v>
      </c>
      <c r="BV4" s="637" t="s">
        <v>423</v>
      </c>
      <c r="BW4" s="638" t="s">
        <v>435</v>
      </c>
      <c r="BX4" s="639"/>
    </row>
    <row r="5" spans="1:76" ht="46.5" customHeight="1" thickBot="1">
      <c r="A5" s="517" t="s">
        <v>43</v>
      </c>
      <c r="B5" s="448" t="s">
        <v>372</v>
      </c>
      <c r="C5" s="452" t="s">
        <v>76</v>
      </c>
      <c r="D5" s="453" t="s">
        <v>89</v>
      </c>
      <c r="E5" s="454" t="s">
        <v>90</v>
      </c>
      <c r="F5" s="448" t="s">
        <v>372</v>
      </c>
      <c r="G5" s="457" t="s">
        <v>89</v>
      </c>
      <c r="H5" s="458" t="s">
        <v>90</v>
      </c>
      <c r="I5" s="452" t="s">
        <v>76</v>
      </c>
      <c r="J5" s="453" t="s">
        <v>89</v>
      </c>
      <c r="K5" s="454" t="s">
        <v>90</v>
      </c>
      <c r="L5" s="459" t="s">
        <v>76</v>
      </c>
      <c r="M5" s="457" t="s">
        <v>89</v>
      </c>
      <c r="N5" s="458" t="s">
        <v>90</v>
      </c>
      <c r="O5" s="460" t="s">
        <v>76</v>
      </c>
      <c r="P5" s="453" t="s">
        <v>89</v>
      </c>
      <c r="Q5" s="461" t="s">
        <v>90</v>
      </c>
      <c r="R5" s="463" t="s">
        <v>76</v>
      </c>
      <c r="S5" s="464" t="s">
        <v>89</v>
      </c>
      <c r="T5" s="458" t="s">
        <v>90</v>
      </c>
      <c r="U5" s="466" t="s">
        <v>76</v>
      </c>
      <c r="V5" s="453" t="s">
        <v>89</v>
      </c>
      <c r="W5" s="454" t="s">
        <v>90</v>
      </c>
      <c r="X5" s="463" t="s">
        <v>76</v>
      </c>
      <c r="Y5" s="468" t="s">
        <v>89</v>
      </c>
      <c r="Z5" s="469" t="s">
        <v>90</v>
      </c>
      <c r="AA5" s="471" t="s">
        <v>76</v>
      </c>
      <c r="AB5" s="472" t="s">
        <v>89</v>
      </c>
      <c r="AC5" s="473" t="s">
        <v>90</v>
      </c>
      <c r="AD5" s="280" t="s">
        <v>222</v>
      </c>
      <c r="AE5" s="280" t="s">
        <v>223</v>
      </c>
      <c r="AF5" s="538" t="s">
        <v>76</v>
      </c>
      <c r="AG5" s="463" t="s">
        <v>89</v>
      </c>
      <c r="AH5" s="476" t="s">
        <v>90</v>
      </c>
      <c r="AI5" s="252" t="s">
        <v>228</v>
      </c>
      <c r="AJ5" s="252" t="s">
        <v>229</v>
      </c>
      <c r="AK5" s="252" t="s">
        <v>226</v>
      </c>
      <c r="AL5" s="252" t="s">
        <v>227</v>
      </c>
      <c r="AM5" s="252" t="s">
        <v>230</v>
      </c>
      <c r="AN5" s="252" t="s">
        <v>240</v>
      </c>
      <c r="AO5" s="252" t="s">
        <v>231</v>
      </c>
      <c r="AP5" s="553" t="s">
        <v>232</v>
      </c>
      <c r="AQ5" s="566" t="s">
        <v>239</v>
      </c>
      <c r="AR5" s="567" t="s">
        <v>403</v>
      </c>
      <c r="AS5" s="566" t="s">
        <v>441</v>
      </c>
      <c r="AT5" s="567" t="s">
        <v>89</v>
      </c>
      <c r="AU5" s="566" t="s">
        <v>405</v>
      </c>
      <c r="AV5" s="252" t="s">
        <v>237</v>
      </c>
      <c r="AW5" s="254" t="s">
        <v>238</v>
      </c>
      <c r="AX5" s="471" t="s">
        <v>392</v>
      </c>
      <c r="AY5" s="472" t="s">
        <v>89</v>
      </c>
      <c r="AZ5" s="530" t="s">
        <v>90</v>
      </c>
      <c r="BA5" s="530" t="s">
        <v>417</v>
      </c>
      <c r="BB5" s="530" t="s">
        <v>76</v>
      </c>
      <c r="BC5" s="530" t="s">
        <v>421</v>
      </c>
      <c r="BD5" s="530" t="s">
        <v>422</v>
      </c>
      <c r="BE5" s="538" t="s">
        <v>392</v>
      </c>
      <c r="BF5" s="463" t="s">
        <v>89</v>
      </c>
      <c r="BG5" s="532" t="s">
        <v>90</v>
      </c>
      <c r="BH5" s="555" t="s">
        <v>232</v>
      </c>
      <c r="BI5" s="558" t="s">
        <v>407</v>
      </c>
      <c r="BJ5" s="561" t="s">
        <v>408</v>
      </c>
      <c r="BK5" s="558" t="s">
        <v>409</v>
      </c>
      <c r="BL5" s="554" t="s">
        <v>402</v>
      </c>
      <c r="BM5" s="557" t="s">
        <v>89</v>
      </c>
      <c r="BN5" s="655" t="s">
        <v>386</v>
      </c>
      <c r="BO5" s="644" t="s">
        <v>89</v>
      </c>
      <c r="BP5" s="644" t="s">
        <v>90</v>
      </c>
      <c r="BQ5" s="679" t="s">
        <v>90</v>
      </c>
      <c r="BR5" s="654" t="s">
        <v>232</v>
      </c>
      <c r="BS5" s="640" t="s">
        <v>407</v>
      </c>
      <c r="BT5" s="641" t="s">
        <v>408</v>
      </c>
      <c r="BU5" s="640" t="s">
        <v>409</v>
      </c>
      <c r="BV5" s="642" t="s">
        <v>402</v>
      </c>
      <c r="BW5" s="643" t="s">
        <v>89</v>
      </c>
      <c r="BX5" s="644" t="s">
        <v>90</v>
      </c>
    </row>
    <row r="6" spans="1:76" s="109" customFormat="1" ht="13">
      <c r="A6" s="104" t="s">
        <v>0</v>
      </c>
      <c r="E6" s="108"/>
      <c r="H6" s="108"/>
      <c r="K6" s="108"/>
      <c r="L6" s="105"/>
      <c r="M6" s="105"/>
      <c r="N6" s="106"/>
      <c r="O6" s="105"/>
      <c r="P6" s="105"/>
      <c r="Q6" s="105"/>
      <c r="R6" s="107"/>
      <c r="S6" s="107"/>
      <c r="T6" s="108"/>
      <c r="U6" s="108"/>
      <c r="V6" s="108"/>
      <c r="W6" s="108"/>
      <c r="X6" s="175"/>
      <c r="Y6" s="158"/>
      <c r="Z6" s="111"/>
      <c r="AA6" s="158"/>
      <c r="AB6" s="159"/>
      <c r="AC6" s="113"/>
      <c r="AF6" s="107"/>
      <c r="AG6" s="107"/>
      <c r="AX6" s="107"/>
      <c r="AY6" s="107"/>
      <c r="AZ6" s="125"/>
      <c r="BA6" s="125"/>
      <c r="BB6" s="125"/>
      <c r="BC6" s="125"/>
      <c r="BD6" s="125"/>
      <c r="BE6" s="107"/>
      <c r="BF6" s="107"/>
      <c r="BG6" s="125"/>
      <c r="BH6" s="125"/>
      <c r="BI6" s="125"/>
      <c r="BJ6" s="125"/>
      <c r="BK6" s="125"/>
      <c r="BN6" s="562"/>
      <c r="BR6" s="562"/>
    </row>
    <row r="7" spans="1:76" ht="18" customHeight="1">
      <c r="A7" s="53" t="s">
        <v>1</v>
      </c>
      <c r="B7" s="326">
        <v>10531</v>
      </c>
      <c r="C7" s="326">
        <v>12271</v>
      </c>
      <c r="D7" s="326">
        <f>C7-B7</f>
        <v>1740</v>
      </c>
      <c r="E7" s="355">
        <f>(C7-B7)/B7</f>
        <v>0.16522647421897255</v>
      </c>
      <c r="F7" s="10">
        <v>12525</v>
      </c>
      <c r="G7" s="10">
        <f>F7-C7</f>
        <v>254</v>
      </c>
      <c r="H7" s="14">
        <f>(F7-C7)/F7</f>
        <v>2.0279441117764471E-2</v>
      </c>
      <c r="I7" s="10">
        <v>11397</v>
      </c>
      <c r="J7" s="10">
        <f>I7-F7</f>
        <v>-1128</v>
      </c>
      <c r="K7" s="14">
        <f>(I7-F7)/F7</f>
        <v>-9.0059880239520954E-2</v>
      </c>
      <c r="L7" s="52">
        <v>11819</v>
      </c>
      <c r="M7" s="52">
        <v>422</v>
      </c>
      <c r="N7" s="58">
        <v>3.7027287882776171E-2</v>
      </c>
      <c r="O7" s="52">
        <v>12366</v>
      </c>
      <c r="P7" s="52">
        <f>O7-L7</f>
        <v>547</v>
      </c>
      <c r="Q7" s="58">
        <f t="shared" ref="Q7:Q34" si="0">P7/L7</f>
        <v>4.6281411286910906E-2</v>
      </c>
      <c r="R7" s="52">
        <v>13430</v>
      </c>
      <c r="S7" s="52">
        <f t="shared" ref="S7:S41" si="1">R7-O7</f>
        <v>1064</v>
      </c>
      <c r="T7" s="58">
        <f t="shared" ref="T7:T34" si="2">S7/O7</f>
        <v>8.6042374251981232E-2</v>
      </c>
      <c r="U7" s="52">
        <v>16665</v>
      </c>
      <c r="V7" s="52">
        <f>U7-R7</f>
        <v>3235</v>
      </c>
      <c r="W7" s="58">
        <f>V7/R7</f>
        <v>0.24087862993298587</v>
      </c>
      <c r="X7" s="166">
        <v>18824</v>
      </c>
      <c r="Y7" s="52">
        <f t="shared" ref="Y7:Y21" si="3">X7-U7</f>
        <v>2159</v>
      </c>
      <c r="Z7" s="95">
        <f>Y7/U7</f>
        <v>0.12955295529552954</v>
      </c>
      <c r="AA7" s="202">
        <v>20396</v>
      </c>
      <c r="AB7" s="172">
        <f t="shared" ref="AB7:AB34" si="4">AA7-X7</f>
        <v>1572</v>
      </c>
      <c r="AC7" s="100">
        <f t="shared" ref="AC7:AC13" si="5">AB7/X7</f>
        <v>8.3510412239694007E-2</v>
      </c>
      <c r="AD7" s="65">
        <v>19833</v>
      </c>
      <c r="AE7" s="65"/>
      <c r="AF7" s="52">
        <v>18768</v>
      </c>
      <c r="AG7" s="52">
        <f>AF7-AA7</f>
        <v>-1628</v>
      </c>
      <c r="AH7" s="58">
        <f>AG7/AA7</f>
        <v>-7.9819572465189254E-2</v>
      </c>
      <c r="AI7" s="65">
        <f>19833-133</f>
        <v>19700</v>
      </c>
      <c r="AJ7" s="50">
        <f>19833-133</f>
        <v>19700</v>
      </c>
      <c r="AK7" s="136">
        <v>20211</v>
      </c>
      <c r="AM7" s="258">
        <f>+AL7+AK7</f>
        <v>20211</v>
      </c>
      <c r="AN7" s="50">
        <v>19175</v>
      </c>
      <c r="AO7" s="50">
        <v>19175</v>
      </c>
      <c r="AP7" s="263">
        <v>0</v>
      </c>
      <c r="AQ7" s="263">
        <v>0</v>
      </c>
      <c r="AR7" s="65">
        <f>AP7+AQ7</f>
        <v>0</v>
      </c>
      <c r="AS7" s="52">
        <f>BB7+AR7</f>
        <v>18265.161779999999</v>
      </c>
      <c r="AT7" s="65">
        <f>AS7-AF7</f>
        <v>-502.83822000000146</v>
      </c>
      <c r="AU7" s="99">
        <f>AT7/AF7</f>
        <v>-2.6792317774936139E-2</v>
      </c>
      <c r="AV7" s="65">
        <f t="shared" ref="AV7:AV13" si="6">+AS7-AF7</f>
        <v>-502.83822000000146</v>
      </c>
      <c r="AW7" s="99">
        <f t="shared" ref="AW7:AW13" si="7">+AV7/AF7</f>
        <v>-2.6792317774936139E-2</v>
      </c>
      <c r="AX7" s="52">
        <v>19225</v>
      </c>
      <c r="AY7" s="52">
        <f>AX7-AF7</f>
        <v>457</v>
      </c>
      <c r="AZ7" s="58">
        <f>AY7/AF7</f>
        <v>2.434995737425405E-2</v>
      </c>
      <c r="BA7" s="624">
        <v>18265.161779999999</v>
      </c>
      <c r="BB7" s="624">
        <v>18265.161779999999</v>
      </c>
      <c r="BC7" s="624">
        <f>BA7-BB7</f>
        <v>0</v>
      </c>
      <c r="BD7" s="31">
        <f>BC7/BA7</f>
        <v>0</v>
      </c>
      <c r="BE7" s="52">
        <v>19026</v>
      </c>
      <c r="BF7" s="52">
        <f>BE7-AX7</f>
        <v>-199</v>
      </c>
      <c r="BG7" s="58">
        <f>BF7/AX7</f>
        <v>-1.035110533159948E-2</v>
      </c>
      <c r="BH7" s="65">
        <v>0</v>
      </c>
      <c r="BI7" s="65"/>
      <c r="BJ7" s="65"/>
      <c r="BK7" s="65"/>
      <c r="BL7" s="39">
        <f>BE7+BH7+BI7+BJ7+BK7</f>
        <v>19026</v>
      </c>
      <c r="BM7" s="39">
        <f>BL7-AS7</f>
        <v>760.83822000000146</v>
      </c>
      <c r="BN7" s="39">
        <v>20194</v>
      </c>
      <c r="BO7" s="39">
        <f>BN7-BE7</f>
        <v>1168</v>
      </c>
      <c r="BP7" s="51">
        <f t="shared" ref="BP7:BP38" si="8">BM7/AS7</f>
        <v>4.1655159103660647E-2</v>
      </c>
      <c r="BQ7" s="99">
        <f>BO7/BE7</f>
        <v>6.1389677283717019E-2</v>
      </c>
      <c r="BR7" s="39">
        <v>5.5339999999999998</v>
      </c>
      <c r="BU7" s="39">
        <v>4.569</v>
      </c>
      <c r="BV7" s="282">
        <f t="shared" ref="BV7:BV13" si="9">BN7+BR7+BS7+BT7+BU7</f>
        <v>20204.102999999999</v>
      </c>
      <c r="BW7" s="39">
        <f>BV7-BL7</f>
        <v>1178.1029999999992</v>
      </c>
      <c r="BX7" s="51">
        <f t="shared" ref="BX7:BX49" si="10">BW7/BL7</f>
        <v>6.1920687480290088E-2</v>
      </c>
    </row>
    <row r="8" spans="1:76" ht="18" customHeight="1">
      <c r="A8" s="53" t="s">
        <v>201</v>
      </c>
      <c r="B8" s="326">
        <v>1049</v>
      </c>
      <c r="C8" s="326">
        <v>1274</v>
      </c>
      <c r="D8" s="326">
        <f t="shared" ref="D8:D34" si="11">C8-B8</f>
        <v>225</v>
      </c>
      <c r="E8" s="355">
        <f t="shared" ref="E8:E41" si="12">(C8-B8)/B8</f>
        <v>0.21448999046711154</v>
      </c>
      <c r="F8" s="10">
        <v>1283</v>
      </c>
      <c r="G8" s="10">
        <f t="shared" ref="G8:G41" si="13">F8-C8</f>
        <v>9</v>
      </c>
      <c r="H8" s="14">
        <f t="shared" ref="H8:H41" si="14">(F8-C8)/F8</f>
        <v>7.014809041309431E-3</v>
      </c>
      <c r="I8" s="10">
        <v>1429</v>
      </c>
      <c r="J8" s="10">
        <f t="shared" ref="J8:J34" si="15">I8-F8</f>
        <v>146</v>
      </c>
      <c r="K8" s="14">
        <f t="shared" ref="K8:K34" si="16">(I8-F8)/F8</f>
        <v>0.11379579111457522</v>
      </c>
      <c r="L8" s="52">
        <v>1555</v>
      </c>
      <c r="M8" s="52">
        <v>126</v>
      </c>
      <c r="N8" s="58">
        <v>8.8173547935619309E-2</v>
      </c>
      <c r="O8" s="52">
        <v>1663</v>
      </c>
      <c r="P8" s="52">
        <f t="shared" ref="P8:P34" si="17">O8-L8</f>
        <v>108</v>
      </c>
      <c r="Q8" s="58">
        <f t="shared" si="0"/>
        <v>6.9453376205787787E-2</v>
      </c>
      <c r="R8" s="52">
        <v>1928</v>
      </c>
      <c r="S8" s="52">
        <f t="shared" si="1"/>
        <v>265</v>
      </c>
      <c r="T8" s="58">
        <f t="shared" si="2"/>
        <v>0.15935057125676488</v>
      </c>
      <c r="U8" s="52">
        <v>1949</v>
      </c>
      <c r="V8" s="52">
        <f t="shared" ref="V8:V10" si="18">U8-R8</f>
        <v>21</v>
      </c>
      <c r="W8" s="58">
        <f t="shared" ref="W8:W34" si="19">V8/R8</f>
        <v>1.0892116182572614E-2</v>
      </c>
      <c r="X8" s="166">
        <v>2419</v>
      </c>
      <c r="Y8" s="52">
        <f t="shared" si="3"/>
        <v>470</v>
      </c>
      <c r="Z8" s="95">
        <f>Y8/U8</f>
        <v>0.24114930733709594</v>
      </c>
      <c r="AA8" s="202">
        <v>4036</v>
      </c>
      <c r="AB8" s="172">
        <f t="shared" si="4"/>
        <v>1617</v>
      </c>
      <c r="AC8" s="100">
        <f t="shared" si="5"/>
        <v>0.66845804051260849</v>
      </c>
      <c r="AD8" s="65">
        <v>4119</v>
      </c>
      <c r="AE8" s="65"/>
      <c r="AF8" s="52">
        <v>3858</v>
      </c>
      <c r="AG8" s="52">
        <f t="shared" ref="AG8:AG37" si="20">AF8-AA8</f>
        <v>-178</v>
      </c>
      <c r="AH8" s="58">
        <f t="shared" ref="AH8:AH37" si="21">AG8/AA8</f>
        <v>-4.410307234886026E-2</v>
      </c>
      <c r="AI8" s="65">
        <f>4119-30</f>
        <v>4089</v>
      </c>
      <c r="AJ8" s="50">
        <f>4119-30</f>
        <v>4089</v>
      </c>
      <c r="AK8" s="136">
        <v>4151</v>
      </c>
      <c r="AM8" s="258">
        <f t="shared" ref="AM8:AM41" si="22">+AL8+AK8</f>
        <v>4151</v>
      </c>
      <c r="AN8" s="50">
        <v>3968</v>
      </c>
      <c r="AO8" s="50">
        <v>3968</v>
      </c>
      <c r="AP8" s="263">
        <v>0</v>
      </c>
      <c r="AQ8" s="263">
        <v>0</v>
      </c>
      <c r="AR8" s="65">
        <f t="shared" ref="AR8:AR38" si="23">AP8+AQ8</f>
        <v>0</v>
      </c>
      <c r="AS8" s="52">
        <f t="shared" ref="AS8:AS40" si="24">BB8+AR8</f>
        <v>3435.5985900000001</v>
      </c>
      <c r="AT8" s="65">
        <f t="shared" ref="AT8:AT41" si="25">AS8-AF8</f>
        <v>-422.40140999999994</v>
      </c>
      <c r="AU8" s="99">
        <f t="shared" ref="AU8:AU41" si="26">AT8/AF8</f>
        <v>-0.1094871461897356</v>
      </c>
      <c r="AV8" s="65">
        <f t="shared" si="6"/>
        <v>-422.40140999999994</v>
      </c>
      <c r="AW8" s="99">
        <f t="shared" si="7"/>
        <v>-0.1094871461897356</v>
      </c>
      <c r="AX8" s="52">
        <v>3840</v>
      </c>
      <c r="AY8" s="52">
        <f t="shared" ref="AY8:AY72" si="27">AX8-AF8</f>
        <v>-18</v>
      </c>
      <c r="AZ8" s="58">
        <f t="shared" ref="AZ8:AZ72" si="28">AY8/AF8</f>
        <v>-4.6656298600311046E-3</v>
      </c>
      <c r="BA8" s="624">
        <v>3839.6687700000002</v>
      </c>
      <c r="BB8" s="624">
        <v>3435.5985900000001</v>
      </c>
      <c r="BC8" s="624">
        <f t="shared" ref="BC8:BC40" si="29">BA8-BB8</f>
        <v>404.07018000000016</v>
      </c>
      <c r="BD8" s="31">
        <f t="shared" ref="BD8:BD39" si="30">BC8/BA8</f>
        <v>0.1052356867751382</v>
      </c>
      <c r="BE8" s="52">
        <v>3686</v>
      </c>
      <c r="BF8" s="52">
        <f>BE8-AX8</f>
        <v>-154</v>
      </c>
      <c r="BG8" s="58">
        <f>BF8/AX8</f>
        <v>-4.010416666666667E-2</v>
      </c>
      <c r="BH8" s="65">
        <v>0</v>
      </c>
      <c r="BI8" s="65"/>
      <c r="BJ8" s="65"/>
      <c r="BK8" s="65">
        <v>1</v>
      </c>
      <c r="BL8" s="39">
        <f t="shared" ref="BL8:BL72" si="31">BE8+BH8+BI8+BJ8+BK8</f>
        <v>3687</v>
      </c>
      <c r="BM8" s="39">
        <f t="shared" ref="BM8:BM38" si="32">BL8-AS8</f>
        <v>251.40140999999994</v>
      </c>
      <c r="BN8" s="39">
        <v>3751</v>
      </c>
      <c r="BO8" s="39">
        <f t="shared" ref="BO8:BO71" si="33">BN8-BE8</f>
        <v>65</v>
      </c>
      <c r="BP8" s="51">
        <f t="shared" si="8"/>
        <v>7.3175431708394065E-2</v>
      </c>
      <c r="BQ8" s="99">
        <f t="shared" ref="BQ8:BQ71" si="34">BO8/BE8</f>
        <v>1.7634291915355399E-2</v>
      </c>
      <c r="BR8" s="39">
        <v>569.24900000000002</v>
      </c>
      <c r="BU8" s="39">
        <v>0.67200000000000004</v>
      </c>
      <c r="BV8" s="282">
        <f t="shared" si="9"/>
        <v>4320.9209999999994</v>
      </c>
      <c r="BW8" s="39">
        <f t="shared" ref="BW8:BW49" si="35">BV8-BL8</f>
        <v>633.92099999999937</v>
      </c>
      <c r="BX8" s="51">
        <f t="shared" si="10"/>
        <v>0.17193409275833993</v>
      </c>
    </row>
    <row r="9" spans="1:76" ht="18" customHeight="1">
      <c r="A9" s="53" t="s">
        <v>202</v>
      </c>
      <c r="B9" s="326">
        <v>464</v>
      </c>
      <c r="C9" s="326">
        <v>593</v>
      </c>
      <c r="D9" s="326">
        <f t="shared" si="11"/>
        <v>129</v>
      </c>
      <c r="E9" s="355">
        <f t="shared" si="12"/>
        <v>0.27801724137931033</v>
      </c>
      <c r="F9" s="10">
        <v>521</v>
      </c>
      <c r="G9" s="10">
        <f t="shared" si="13"/>
        <v>-72</v>
      </c>
      <c r="H9" s="14">
        <f t="shared" si="14"/>
        <v>-0.13819577735124761</v>
      </c>
      <c r="I9" s="10">
        <v>843</v>
      </c>
      <c r="J9" s="10">
        <f t="shared" si="15"/>
        <v>322</v>
      </c>
      <c r="K9" s="14">
        <f t="shared" si="16"/>
        <v>0.61804222648752394</v>
      </c>
      <c r="L9" s="52">
        <v>779</v>
      </c>
      <c r="M9" s="52">
        <v>-64</v>
      </c>
      <c r="N9" s="58">
        <v>-7.591933570581258E-2</v>
      </c>
      <c r="O9" s="52">
        <v>893</v>
      </c>
      <c r="P9" s="52">
        <f t="shared" si="17"/>
        <v>114</v>
      </c>
      <c r="Q9" s="58">
        <f t="shared" si="0"/>
        <v>0.14634146341463414</v>
      </c>
      <c r="R9" s="52">
        <v>956</v>
      </c>
      <c r="S9" s="52">
        <f t="shared" si="1"/>
        <v>63</v>
      </c>
      <c r="T9" s="58">
        <f t="shared" si="2"/>
        <v>7.0548712206047026E-2</v>
      </c>
      <c r="U9" s="52">
        <v>883</v>
      </c>
      <c r="V9" s="52">
        <f t="shared" si="18"/>
        <v>-73</v>
      </c>
      <c r="W9" s="58">
        <f t="shared" si="19"/>
        <v>-7.6359832635983269E-2</v>
      </c>
      <c r="X9" s="166">
        <v>945</v>
      </c>
      <c r="Y9" s="52">
        <f t="shared" si="3"/>
        <v>62</v>
      </c>
      <c r="Z9" s="95">
        <f>Y9/U9</f>
        <v>7.0215175537938851E-2</v>
      </c>
      <c r="AA9" s="202">
        <v>1092</v>
      </c>
      <c r="AB9" s="172">
        <f t="shared" si="4"/>
        <v>147</v>
      </c>
      <c r="AC9" s="100">
        <f t="shared" si="5"/>
        <v>0.15555555555555556</v>
      </c>
      <c r="AD9" s="65">
        <v>1001</v>
      </c>
      <c r="AE9" s="65"/>
      <c r="AF9" s="52">
        <v>920</v>
      </c>
      <c r="AG9" s="52">
        <f t="shared" si="20"/>
        <v>-172</v>
      </c>
      <c r="AH9" s="58">
        <f t="shared" si="21"/>
        <v>-0.1575091575091575</v>
      </c>
      <c r="AI9" s="65">
        <f>1001-7</f>
        <v>994</v>
      </c>
      <c r="AJ9" s="50">
        <f>1001-7</f>
        <v>994</v>
      </c>
      <c r="AK9" s="136">
        <v>1023</v>
      </c>
      <c r="AM9" s="258">
        <f t="shared" si="22"/>
        <v>1023</v>
      </c>
      <c r="AN9" s="50">
        <v>962</v>
      </c>
      <c r="AO9" s="50">
        <v>962</v>
      </c>
      <c r="AP9" s="263">
        <v>0</v>
      </c>
      <c r="AQ9" s="263">
        <v>0</v>
      </c>
      <c r="AR9" s="65">
        <f t="shared" si="23"/>
        <v>0</v>
      </c>
      <c r="AS9" s="52">
        <f t="shared" si="24"/>
        <v>833.00954999999999</v>
      </c>
      <c r="AT9" s="65">
        <f t="shared" si="25"/>
        <v>-86.99045000000001</v>
      </c>
      <c r="AU9" s="99">
        <f t="shared" si="26"/>
        <v>-9.4554836956521754E-2</v>
      </c>
      <c r="AV9" s="65">
        <f t="shared" si="6"/>
        <v>-86.99045000000001</v>
      </c>
      <c r="AW9" s="99">
        <f t="shared" si="7"/>
        <v>-9.4554836956521754E-2</v>
      </c>
      <c r="AX9" s="52">
        <v>889</v>
      </c>
      <c r="AY9" s="52">
        <f t="shared" si="27"/>
        <v>-31</v>
      </c>
      <c r="AZ9" s="58">
        <f t="shared" si="28"/>
        <v>-3.3695652173913043E-2</v>
      </c>
      <c r="BA9" s="624">
        <v>889.07561999999996</v>
      </c>
      <c r="BB9" s="624">
        <v>833.00954999999999</v>
      </c>
      <c r="BC9" s="624">
        <f t="shared" si="29"/>
        <v>56.066069999999968</v>
      </c>
      <c r="BD9" s="31">
        <f t="shared" si="30"/>
        <v>6.3061081350987855E-2</v>
      </c>
      <c r="BE9" s="52">
        <v>889</v>
      </c>
      <c r="BF9" s="52">
        <f>BE9-AX9</f>
        <v>0</v>
      </c>
      <c r="BG9" s="58">
        <f>BF9/AX9</f>
        <v>0</v>
      </c>
      <c r="BH9" s="65">
        <v>0</v>
      </c>
      <c r="BI9" s="65"/>
      <c r="BJ9" s="65"/>
      <c r="BK9" s="65"/>
      <c r="BL9" s="39">
        <f t="shared" si="31"/>
        <v>889</v>
      </c>
      <c r="BM9" s="39">
        <f t="shared" si="32"/>
        <v>55.99045000000001</v>
      </c>
      <c r="BN9" s="39">
        <v>894</v>
      </c>
      <c r="BO9" s="39">
        <f t="shared" si="33"/>
        <v>5</v>
      </c>
      <c r="BP9" s="51">
        <f t="shared" si="8"/>
        <v>6.7214655582279959E-2</v>
      </c>
      <c r="BQ9" s="99">
        <f t="shared" si="34"/>
        <v>5.6242969628796397E-3</v>
      </c>
      <c r="BU9" s="39">
        <v>0.25</v>
      </c>
      <c r="BV9" s="282">
        <f t="shared" si="9"/>
        <v>894.25</v>
      </c>
      <c r="BW9" s="39">
        <f t="shared" si="35"/>
        <v>5.25</v>
      </c>
      <c r="BX9" s="51">
        <f t="shared" si="10"/>
        <v>5.905511811023622E-3</v>
      </c>
    </row>
    <row r="10" spans="1:76" s="79" customFormat="1" ht="18" customHeight="1">
      <c r="A10" s="53" t="s">
        <v>203</v>
      </c>
      <c r="B10" s="327">
        <v>5237</v>
      </c>
      <c r="C10" s="327">
        <v>6183</v>
      </c>
      <c r="D10" s="327">
        <f t="shared" si="11"/>
        <v>946</v>
      </c>
      <c r="E10" s="356">
        <f t="shared" si="12"/>
        <v>0.18063776971548595</v>
      </c>
      <c r="F10" s="590">
        <v>7104</v>
      </c>
      <c r="G10" s="590">
        <f t="shared" si="13"/>
        <v>921</v>
      </c>
      <c r="H10" s="276">
        <f t="shared" si="14"/>
        <v>0.12964527027027026</v>
      </c>
      <c r="I10" s="590">
        <v>5831</v>
      </c>
      <c r="J10" s="590">
        <f t="shared" si="15"/>
        <v>-1273</v>
      </c>
      <c r="K10" s="276">
        <f t="shared" si="16"/>
        <v>-0.17919481981981983</v>
      </c>
      <c r="L10" s="62">
        <v>6166</v>
      </c>
      <c r="M10" s="62">
        <v>335</v>
      </c>
      <c r="N10" s="241">
        <v>5.7451552049391182E-2</v>
      </c>
      <c r="O10" s="62">
        <v>6039</v>
      </c>
      <c r="P10" s="62">
        <f t="shared" si="17"/>
        <v>-127</v>
      </c>
      <c r="Q10" s="241">
        <f t="shared" si="0"/>
        <v>-2.0596821277975998E-2</v>
      </c>
      <c r="R10" s="62">
        <v>10314</v>
      </c>
      <c r="S10" s="62">
        <f t="shared" si="1"/>
        <v>4275</v>
      </c>
      <c r="T10" s="241">
        <f t="shared" si="2"/>
        <v>0.7078986587183308</v>
      </c>
      <c r="U10" s="62">
        <v>12645</v>
      </c>
      <c r="V10" s="62">
        <f t="shared" si="18"/>
        <v>2331</v>
      </c>
      <c r="W10" s="241">
        <f t="shared" si="19"/>
        <v>0.22600349040139617</v>
      </c>
      <c r="X10" s="166">
        <f>6847+2702+328</f>
        <v>9877</v>
      </c>
      <c r="Y10" s="62">
        <f t="shared" si="3"/>
        <v>-2768</v>
      </c>
      <c r="Z10" s="95">
        <f>Y10/U10</f>
        <v>-0.21890075128509293</v>
      </c>
      <c r="AA10" s="202">
        <f>6086+3093+410</f>
        <v>9589</v>
      </c>
      <c r="AB10" s="591">
        <f t="shared" si="4"/>
        <v>-288</v>
      </c>
      <c r="AC10" s="592">
        <f t="shared" si="5"/>
        <v>-2.9158651412372179E-2</v>
      </c>
      <c r="AD10" s="78">
        <f>5349+3022+434</f>
        <v>8805</v>
      </c>
      <c r="AE10" s="78"/>
      <c r="AF10" s="62">
        <f>4333+2678+355</f>
        <v>7366</v>
      </c>
      <c r="AG10" s="62">
        <f t="shared" si="20"/>
        <v>-2223</v>
      </c>
      <c r="AH10" s="241">
        <f t="shared" si="21"/>
        <v>-0.23182813640629887</v>
      </c>
      <c r="AI10" s="78">
        <f>5349-200</f>
        <v>5149</v>
      </c>
      <c r="AJ10" s="593">
        <f>5349-200</f>
        <v>5149</v>
      </c>
      <c r="AK10" s="136">
        <v>5451</v>
      </c>
      <c r="AM10" s="202">
        <f t="shared" si="22"/>
        <v>5451</v>
      </c>
      <c r="AN10" s="593">
        <v>4544</v>
      </c>
      <c r="AO10" s="593">
        <v>4544</v>
      </c>
      <c r="AP10" s="545">
        <v>6</v>
      </c>
      <c r="AQ10" s="545">
        <v>89</v>
      </c>
      <c r="AR10" s="78">
        <f t="shared" si="23"/>
        <v>95</v>
      </c>
      <c r="AS10" s="52">
        <f t="shared" si="24"/>
        <v>8105.1669300000003</v>
      </c>
      <c r="AT10" s="78">
        <f t="shared" si="25"/>
        <v>739.16693000000032</v>
      </c>
      <c r="AU10" s="262">
        <f t="shared" si="26"/>
        <v>0.10034848357317408</v>
      </c>
      <c r="AV10" s="78">
        <f t="shared" si="6"/>
        <v>739.16693000000032</v>
      </c>
      <c r="AW10" s="262">
        <f t="shared" si="7"/>
        <v>0.10034848357317408</v>
      </c>
      <c r="AX10" s="62">
        <v>8681</v>
      </c>
      <c r="AY10" s="62">
        <f t="shared" si="27"/>
        <v>1315</v>
      </c>
      <c r="AZ10" s="241">
        <f t="shared" si="28"/>
        <v>0.17852294325278306</v>
      </c>
      <c r="BA10" s="624">
        <v>8359.1861499999995</v>
      </c>
      <c r="BB10" s="624">
        <v>8010.1669300000003</v>
      </c>
      <c r="BC10" s="624">
        <f t="shared" si="29"/>
        <v>349.01921999999922</v>
      </c>
      <c r="BD10" s="31">
        <f t="shared" si="30"/>
        <v>4.1752775178956772E-2</v>
      </c>
      <c r="BE10" s="205">
        <v>8259</v>
      </c>
      <c r="BF10" s="62">
        <f>BE10-AX10</f>
        <v>-422</v>
      </c>
      <c r="BG10" s="241">
        <f>BF10/AX10</f>
        <v>-4.861191107015321E-2</v>
      </c>
      <c r="BH10" s="594">
        <v>6</v>
      </c>
      <c r="BI10" s="78">
        <v>0</v>
      </c>
      <c r="BJ10" s="78"/>
      <c r="BK10" s="78">
        <v>75</v>
      </c>
      <c r="BL10" s="495">
        <f>BE10+BH10+BI10+BJ10+BK10</f>
        <v>8340</v>
      </c>
      <c r="BM10" s="495">
        <f t="shared" si="32"/>
        <v>234.83306999999968</v>
      </c>
      <c r="BN10" s="495">
        <v>8435</v>
      </c>
      <c r="BO10" s="39">
        <f t="shared" si="33"/>
        <v>176</v>
      </c>
      <c r="BP10" s="587">
        <f t="shared" si="8"/>
        <v>2.8973255212153867E-2</v>
      </c>
      <c r="BQ10" s="99">
        <f t="shared" si="34"/>
        <v>2.1310085966824072E-2</v>
      </c>
      <c r="BR10" s="495">
        <v>5.4809999999999999</v>
      </c>
      <c r="BU10" s="667">
        <v>322.68799999999999</v>
      </c>
      <c r="BV10" s="282">
        <f t="shared" si="9"/>
        <v>8763.1689999999999</v>
      </c>
      <c r="BW10" s="39">
        <f t="shared" si="35"/>
        <v>423.16899999999987</v>
      </c>
      <c r="BX10" s="51">
        <f t="shared" si="10"/>
        <v>5.0739688249400464E-2</v>
      </c>
    </row>
    <row r="11" spans="1:76" s="79" customFormat="1" ht="18" customHeight="1">
      <c r="A11" s="245" t="s">
        <v>443</v>
      </c>
      <c r="B11" s="595" t="s">
        <v>78</v>
      </c>
      <c r="C11" s="595" t="s">
        <v>78</v>
      </c>
      <c r="D11" s="595" t="s">
        <v>78</v>
      </c>
      <c r="E11" s="595" t="s">
        <v>78</v>
      </c>
      <c r="F11" s="595" t="s">
        <v>78</v>
      </c>
      <c r="G11" s="595" t="s">
        <v>78</v>
      </c>
      <c r="H11" s="595" t="s">
        <v>78</v>
      </c>
      <c r="I11" s="595" t="s">
        <v>78</v>
      </c>
      <c r="J11" s="595" t="s">
        <v>78</v>
      </c>
      <c r="K11" s="595" t="s">
        <v>78</v>
      </c>
      <c r="L11" s="62">
        <v>0</v>
      </c>
      <c r="M11" s="62">
        <v>0</v>
      </c>
      <c r="N11" s="596" t="s">
        <v>78</v>
      </c>
      <c r="O11" s="62"/>
      <c r="P11" s="62"/>
      <c r="Q11" s="596"/>
      <c r="R11" s="62"/>
      <c r="S11" s="62"/>
      <c r="T11" s="596"/>
      <c r="U11" s="62"/>
      <c r="V11" s="62"/>
      <c r="W11" s="596"/>
      <c r="X11" s="533" t="s">
        <v>78</v>
      </c>
      <c r="Y11" s="597" t="s">
        <v>78</v>
      </c>
      <c r="Z11" s="37" t="s">
        <v>78</v>
      </c>
      <c r="AA11" s="534" t="s">
        <v>78</v>
      </c>
      <c r="AB11" s="596" t="s">
        <v>78</v>
      </c>
      <c r="AC11" s="534" t="s">
        <v>78</v>
      </c>
      <c r="AD11" s="597" t="s">
        <v>78</v>
      </c>
      <c r="AE11" s="597" t="s">
        <v>78</v>
      </c>
      <c r="AF11" s="598"/>
      <c r="AG11" s="598" t="s">
        <v>78</v>
      </c>
      <c r="AH11" s="597" t="s">
        <v>78</v>
      </c>
      <c r="AI11" s="78">
        <f>3022-100</f>
        <v>2922</v>
      </c>
      <c r="AJ11" s="593">
        <f>3022-100</f>
        <v>2922</v>
      </c>
      <c r="AK11" s="136">
        <v>3017</v>
      </c>
      <c r="AM11" s="202">
        <f t="shared" si="22"/>
        <v>3017</v>
      </c>
      <c r="AN11" s="593">
        <v>2676</v>
      </c>
      <c r="AO11" s="593">
        <v>2676</v>
      </c>
      <c r="AP11" s="599">
        <v>13</v>
      </c>
      <c r="AQ11" s="599">
        <v>8</v>
      </c>
      <c r="AR11" s="78">
        <f t="shared" si="23"/>
        <v>21</v>
      </c>
      <c r="AS11" s="52">
        <f t="shared" si="24"/>
        <v>21</v>
      </c>
      <c r="AT11" s="78">
        <f t="shared" si="25"/>
        <v>21</v>
      </c>
      <c r="AU11" s="262" t="e">
        <f t="shared" si="26"/>
        <v>#DIV/0!</v>
      </c>
      <c r="AV11" s="78">
        <f t="shared" si="6"/>
        <v>21</v>
      </c>
      <c r="AW11" s="262" t="e">
        <f t="shared" si="7"/>
        <v>#DIV/0!</v>
      </c>
      <c r="AX11" s="598"/>
      <c r="AY11" s="598" t="s">
        <v>78</v>
      </c>
      <c r="AZ11" s="597" t="s">
        <v>78</v>
      </c>
      <c r="BA11" s="597"/>
      <c r="BB11" s="597"/>
      <c r="BC11" s="624">
        <f t="shared" si="29"/>
        <v>0</v>
      </c>
      <c r="BD11" s="31"/>
      <c r="BE11" s="598"/>
      <c r="BF11" s="598" t="s">
        <v>78</v>
      </c>
      <c r="BG11" s="597" t="s">
        <v>78</v>
      </c>
      <c r="BH11" s="600">
        <v>13</v>
      </c>
      <c r="BI11" s="600"/>
      <c r="BJ11" s="600"/>
      <c r="BK11" s="600"/>
      <c r="BL11" s="495">
        <f t="shared" si="31"/>
        <v>13</v>
      </c>
      <c r="BM11" s="495">
        <f t="shared" si="32"/>
        <v>-8</v>
      </c>
      <c r="BN11" s="495">
        <v>0</v>
      </c>
      <c r="BO11" s="39">
        <f t="shared" si="33"/>
        <v>0</v>
      </c>
      <c r="BP11" s="587">
        <f t="shared" si="8"/>
        <v>-0.38095238095238093</v>
      </c>
      <c r="BQ11" s="99" t="e">
        <f t="shared" si="34"/>
        <v>#DIV/0!</v>
      </c>
      <c r="BR11" s="495">
        <v>90.355000000000004</v>
      </c>
      <c r="BU11" s="544">
        <v>3.5</v>
      </c>
      <c r="BV11" s="282">
        <f t="shared" si="9"/>
        <v>93.855000000000004</v>
      </c>
      <c r="BW11" s="39">
        <f t="shared" si="35"/>
        <v>80.855000000000004</v>
      </c>
      <c r="BX11" s="51">
        <f t="shared" si="10"/>
        <v>6.219615384615385</v>
      </c>
    </row>
    <row r="12" spans="1:76" s="79" customFormat="1" ht="18" customHeight="1">
      <c r="A12" s="245" t="s">
        <v>444</v>
      </c>
      <c r="B12" s="595" t="s">
        <v>78</v>
      </c>
      <c r="C12" s="595" t="s">
        <v>78</v>
      </c>
      <c r="D12" s="595" t="s">
        <v>78</v>
      </c>
      <c r="E12" s="595" t="s">
        <v>78</v>
      </c>
      <c r="F12" s="595" t="s">
        <v>78</v>
      </c>
      <c r="G12" s="595" t="s">
        <v>78</v>
      </c>
      <c r="H12" s="595" t="s">
        <v>78</v>
      </c>
      <c r="I12" s="595" t="s">
        <v>78</v>
      </c>
      <c r="J12" s="595" t="s">
        <v>78</v>
      </c>
      <c r="K12" s="595" t="s">
        <v>78</v>
      </c>
      <c r="L12" s="62">
        <v>0</v>
      </c>
      <c r="M12" s="62">
        <v>0</v>
      </c>
      <c r="N12" s="596" t="s">
        <v>78</v>
      </c>
      <c r="O12" s="62"/>
      <c r="P12" s="62"/>
      <c r="Q12" s="596"/>
      <c r="R12" s="62"/>
      <c r="S12" s="62"/>
      <c r="T12" s="596"/>
      <c r="U12" s="62"/>
      <c r="V12" s="62"/>
      <c r="W12" s="596"/>
      <c r="X12" s="533" t="s">
        <v>78</v>
      </c>
      <c r="Y12" s="597" t="s">
        <v>78</v>
      </c>
      <c r="Z12" s="37" t="s">
        <v>78</v>
      </c>
      <c r="AA12" s="534" t="s">
        <v>78</v>
      </c>
      <c r="AB12" s="596" t="s">
        <v>78</v>
      </c>
      <c r="AC12" s="534" t="s">
        <v>78</v>
      </c>
      <c r="AD12" s="534" t="s">
        <v>78</v>
      </c>
      <c r="AE12" s="534" t="s">
        <v>78</v>
      </c>
      <c r="AF12" s="598"/>
      <c r="AG12" s="598" t="s">
        <v>78</v>
      </c>
      <c r="AH12" s="597" t="s">
        <v>78</v>
      </c>
      <c r="AI12" s="545">
        <v>434</v>
      </c>
      <c r="AJ12" s="593">
        <v>434</v>
      </c>
      <c r="AK12" s="136">
        <v>472</v>
      </c>
      <c r="AM12" s="202">
        <f t="shared" si="22"/>
        <v>472</v>
      </c>
      <c r="AN12" s="593">
        <v>302</v>
      </c>
      <c r="AO12" s="593">
        <v>302</v>
      </c>
      <c r="AP12" s="599">
        <v>110</v>
      </c>
      <c r="AQ12" s="599">
        <v>0</v>
      </c>
      <c r="AR12" s="78">
        <f t="shared" si="23"/>
        <v>110</v>
      </c>
      <c r="AS12" s="52">
        <f t="shared" si="24"/>
        <v>110</v>
      </c>
      <c r="AT12" s="78">
        <f t="shared" si="25"/>
        <v>110</v>
      </c>
      <c r="AU12" s="262" t="e">
        <f t="shared" si="26"/>
        <v>#DIV/0!</v>
      </c>
      <c r="AV12" s="78">
        <f t="shared" si="6"/>
        <v>110</v>
      </c>
      <c r="AW12" s="262" t="e">
        <f t="shared" si="7"/>
        <v>#DIV/0!</v>
      </c>
      <c r="AX12" s="598"/>
      <c r="AY12" s="598" t="s">
        <v>78</v>
      </c>
      <c r="AZ12" s="597" t="s">
        <v>78</v>
      </c>
      <c r="BA12" s="597"/>
      <c r="BB12" s="597"/>
      <c r="BC12" s="624">
        <f t="shared" si="29"/>
        <v>0</v>
      </c>
      <c r="BD12" s="31"/>
      <c r="BE12" s="598"/>
      <c r="BF12" s="598" t="s">
        <v>78</v>
      </c>
      <c r="BG12" s="597" t="s">
        <v>78</v>
      </c>
      <c r="BH12" s="600">
        <v>103</v>
      </c>
      <c r="BI12" s="600"/>
      <c r="BJ12" s="600"/>
      <c r="BK12" s="600"/>
      <c r="BL12" s="495">
        <f t="shared" si="31"/>
        <v>103</v>
      </c>
      <c r="BM12" s="495">
        <f t="shared" si="32"/>
        <v>-7</v>
      </c>
      <c r="BN12" s="495">
        <v>0</v>
      </c>
      <c r="BO12" s="39">
        <f t="shared" si="33"/>
        <v>0</v>
      </c>
      <c r="BP12" s="587">
        <f t="shared" si="8"/>
        <v>-6.363636363636363E-2</v>
      </c>
      <c r="BQ12" s="99" t="e">
        <f t="shared" si="34"/>
        <v>#DIV/0!</v>
      </c>
      <c r="BR12" s="495">
        <v>103.727</v>
      </c>
      <c r="BU12" s="544">
        <v>22.492999999999999</v>
      </c>
      <c r="BV12" s="282">
        <f t="shared" si="9"/>
        <v>126.22</v>
      </c>
      <c r="BW12" s="39">
        <f t="shared" si="35"/>
        <v>23.22</v>
      </c>
      <c r="BX12" s="51">
        <f t="shared" si="10"/>
        <v>0.22543689320388349</v>
      </c>
    </row>
    <row r="13" spans="1:76" s="79" customFormat="1" ht="18" customHeight="1">
      <c r="A13" s="53" t="s">
        <v>205</v>
      </c>
      <c r="B13" s="327">
        <f>1706+177</f>
        <v>1883</v>
      </c>
      <c r="C13" s="327">
        <f>1748+574</f>
        <v>2322</v>
      </c>
      <c r="D13" s="327">
        <f t="shared" si="11"/>
        <v>439</v>
      </c>
      <c r="E13" s="356">
        <f t="shared" si="12"/>
        <v>0.23313860860329261</v>
      </c>
      <c r="F13" s="590">
        <f>2209+90</f>
        <v>2299</v>
      </c>
      <c r="G13" s="590">
        <f t="shared" si="13"/>
        <v>-23</v>
      </c>
      <c r="H13" s="276">
        <f t="shared" si="14"/>
        <v>-1.0004349717268378E-2</v>
      </c>
      <c r="I13" s="590">
        <f>2168+393</f>
        <v>2561</v>
      </c>
      <c r="J13" s="590">
        <f t="shared" si="15"/>
        <v>262</v>
      </c>
      <c r="K13" s="276">
        <f t="shared" si="16"/>
        <v>0.11396259243149195</v>
      </c>
      <c r="L13" s="62">
        <v>2664</v>
      </c>
      <c r="M13" s="62">
        <v>103</v>
      </c>
      <c r="N13" s="241">
        <v>4.0218664584146815E-2</v>
      </c>
      <c r="O13" s="62">
        <v>2856</v>
      </c>
      <c r="P13" s="62">
        <f t="shared" si="17"/>
        <v>192</v>
      </c>
      <c r="Q13" s="241">
        <f t="shared" si="0"/>
        <v>7.2072072072072071E-2</v>
      </c>
      <c r="R13" s="62">
        <v>3066</v>
      </c>
      <c r="S13" s="62">
        <f t="shared" si="1"/>
        <v>210</v>
      </c>
      <c r="T13" s="241">
        <f t="shared" si="2"/>
        <v>7.3529411764705885E-2</v>
      </c>
      <c r="U13" s="62">
        <v>3514</v>
      </c>
      <c r="V13" s="62">
        <f t="shared" ref="V13:V34" si="36">U13-R13</f>
        <v>448</v>
      </c>
      <c r="W13" s="241">
        <f t="shared" si="19"/>
        <v>0.14611872146118721</v>
      </c>
      <c r="X13" s="166">
        <v>3275</v>
      </c>
      <c r="Y13" s="62">
        <f t="shared" si="3"/>
        <v>-239</v>
      </c>
      <c r="Z13" s="95">
        <f t="shared" ref="Z13:Z18" si="37">Y13/U13</f>
        <v>-6.8013659647125788E-2</v>
      </c>
      <c r="AA13" s="202">
        <v>4304</v>
      </c>
      <c r="AB13" s="591">
        <f t="shared" si="4"/>
        <v>1029</v>
      </c>
      <c r="AC13" s="592">
        <f t="shared" si="5"/>
        <v>0.31419847328244277</v>
      </c>
      <c r="AD13" s="78">
        <v>2751</v>
      </c>
      <c r="AE13" s="78">
        <v>540</v>
      </c>
      <c r="AF13" s="62">
        <v>2947</v>
      </c>
      <c r="AG13" s="62">
        <f t="shared" si="20"/>
        <v>-1357</v>
      </c>
      <c r="AH13" s="241">
        <f t="shared" si="21"/>
        <v>-0.31528810408921931</v>
      </c>
      <c r="AI13" s="78">
        <f>2751-363</f>
        <v>2388</v>
      </c>
      <c r="AJ13" s="593">
        <f>3291-363</f>
        <v>2928</v>
      </c>
      <c r="AK13" s="136">
        <v>2689</v>
      </c>
      <c r="AL13" s="79">
        <v>150</v>
      </c>
      <c r="AM13" s="202">
        <f t="shared" si="22"/>
        <v>2839</v>
      </c>
      <c r="AN13" s="593">
        <v>2028</v>
      </c>
      <c r="AO13" s="593">
        <v>2727</v>
      </c>
      <c r="AP13" s="599">
        <v>313</v>
      </c>
      <c r="AQ13" s="599">
        <v>36</v>
      </c>
      <c r="AR13" s="78">
        <f t="shared" si="23"/>
        <v>349</v>
      </c>
      <c r="AS13" s="52">
        <f t="shared" si="24"/>
        <v>3220.0817099999999</v>
      </c>
      <c r="AT13" s="78">
        <f t="shared" si="25"/>
        <v>273.08170999999993</v>
      </c>
      <c r="AU13" s="262">
        <f t="shared" si="26"/>
        <v>9.266430607397351E-2</v>
      </c>
      <c r="AV13" s="78">
        <f t="shared" si="6"/>
        <v>273.08170999999993</v>
      </c>
      <c r="AW13" s="262">
        <f t="shared" si="7"/>
        <v>9.266430607397351E-2</v>
      </c>
      <c r="AX13" s="62">
        <v>2728</v>
      </c>
      <c r="AY13" s="62">
        <f t="shared" si="27"/>
        <v>-219</v>
      </c>
      <c r="AZ13" s="241">
        <f t="shared" si="28"/>
        <v>-7.4312860536138448E-2</v>
      </c>
      <c r="BA13" s="624">
        <f>2046.53795+1000</f>
        <v>3046.5379499999999</v>
      </c>
      <c r="BB13" s="624">
        <f>2012.79325+858.28846</f>
        <v>2871.0817099999999</v>
      </c>
      <c r="BC13" s="624">
        <f t="shared" si="29"/>
        <v>175.45623999999998</v>
      </c>
      <c r="BD13" s="31">
        <f t="shared" si="30"/>
        <v>5.7592008660190819E-2</v>
      </c>
      <c r="BE13" s="205">
        <f>2206+699</f>
        <v>2905</v>
      </c>
      <c r="BF13" s="62">
        <f t="shared" ref="BF13:BF38" si="38">BE13-AX13</f>
        <v>177</v>
      </c>
      <c r="BG13" s="241">
        <f t="shared" ref="BG13:BG38" si="39">BF13/AX13</f>
        <v>6.4882697947214074E-2</v>
      </c>
      <c r="BH13" s="78">
        <v>230</v>
      </c>
      <c r="BI13" s="78"/>
      <c r="BJ13" s="78"/>
      <c r="BK13" s="600">
        <v>31</v>
      </c>
      <c r="BL13" s="495">
        <f>BE13+BH13+BI13+BJ13+BK13</f>
        <v>3166</v>
      </c>
      <c r="BM13" s="495">
        <f t="shared" si="32"/>
        <v>-54.08170999999993</v>
      </c>
      <c r="BN13" s="495">
        <v>3246</v>
      </c>
      <c r="BO13" s="39">
        <f t="shared" si="33"/>
        <v>341</v>
      </c>
      <c r="BP13" s="587">
        <f t="shared" si="8"/>
        <v>-1.6795135922187492E-2</v>
      </c>
      <c r="BQ13" s="99">
        <f t="shared" si="34"/>
        <v>0.11738382099827883</v>
      </c>
      <c r="BR13" s="495">
        <v>239.78700000000001</v>
      </c>
      <c r="BU13" s="495">
        <v>18.004999999999999</v>
      </c>
      <c r="BV13" s="282">
        <f t="shared" si="9"/>
        <v>3503.7919999999999</v>
      </c>
      <c r="BW13" s="39">
        <f t="shared" si="35"/>
        <v>337.79199999999992</v>
      </c>
      <c r="BX13" s="51">
        <f t="shared" si="10"/>
        <v>0.10669361970941248</v>
      </c>
    </row>
    <row r="14" spans="1:76" ht="18" customHeight="1">
      <c r="A14" s="59" t="s">
        <v>160</v>
      </c>
      <c r="B14" s="326">
        <v>0</v>
      </c>
      <c r="C14" s="326">
        <v>551</v>
      </c>
      <c r="D14" s="326">
        <f t="shared" si="11"/>
        <v>551</v>
      </c>
      <c r="E14" s="328" t="s">
        <v>78</v>
      </c>
      <c r="F14" s="10">
        <v>1850</v>
      </c>
      <c r="G14" s="10">
        <f t="shared" si="13"/>
        <v>1299</v>
      </c>
      <c r="H14" s="14">
        <f t="shared" si="14"/>
        <v>0.70216216216216221</v>
      </c>
      <c r="I14" s="10">
        <v>2207</v>
      </c>
      <c r="J14" s="10">
        <f t="shared" si="15"/>
        <v>357</v>
      </c>
      <c r="K14" s="14">
        <f t="shared" si="16"/>
        <v>0.19297297297297297</v>
      </c>
      <c r="L14" s="52">
        <v>2285</v>
      </c>
      <c r="M14" s="52">
        <v>78</v>
      </c>
      <c r="N14" s="58">
        <v>3.5342093339374714E-2</v>
      </c>
      <c r="O14" s="52">
        <v>361</v>
      </c>
      <c r="P14" s="52">
        <f t="shared" si="17"/>
        <v>-1924</v>
      </c>
      <c r="Q14" s="58">
        <f t="shared" si="0"/>
        <v>-0.84201312910284465</v>
      </c>
      <c r="R14" s="52">
        <v>328</v>
      </c>
      <c r="S14" s="52">
        <f t="shared" si="1"/>
        <v>-33</v>
      </c>
      <c r="T14" s="58">
        <f t="shared" si="2"/>
        <v>-9.141274238227147E-2</v>
      </c>
      <c r="U14" s="52">
        <v>246</v>
      </c>
      <c r="V14" s="52">
        <f t="shared" si="36"/>
        <v>-82</v>
      </c>
      <c r="W14" s="58">
        <f t="shared" si="19"/>
        <v>-0.25</v>
      </c>
      <c r="Y14" s="52">
        <f t="shared" si="3"/>
        <v>-246</v>
      </c>
      <c r="Z14" s="95">
        <f t="shared" si="37"/>
        <v>-1</v>
      </c>
      <c r="AB14" s="172">
        <f t="shared" si="4"/>
        <v>0</v>
      </c>
      <c r="AC14" s="70" t="s">
        <v>78</v>
      </c>
      <c r="AG14" s="52">
        <f t="shared" si="20"/>
        <v>0</v>
      </c>
      <c r="AH14" s="481" t="e">
        <f>AG14/AA14</f>
        <v>#DIV/0!</v>
      </c>
      <c r="AJ14" s="50">
        <v>0</v>
      </c>
      <c r="AM14" s="258"/>
      <c r="AN14" s="220"/>
      <c r="AO14" s="220"/>
      <c r="AP14" s="65"/>
      <c r="AQ14" s="65"/>
      <c r="AR14" s="65">
        <f t="shared" si="23"/>
        <v>0</v>
      </c>
      <c r="AS14" s="52">
        <f t="shared" si="24"/>
        <v>0</v>
      </c>
      <c r="AT14" s="65">
        <f t="shared" si="25"/>
        <v>0</v>
      </c>
      <c r="AU14" s="99" t="e">
        <f t="shared" si="26"/>
        <v>#DIV/0!</v>
      </c>
      <c r="AV14" s="65"/>
      <c r="AW14" s="99"/>
      <c r="AY14" s="52">
        <f t="shared" si="27"/>
        <v>0</v>
      </c>
      <c r="AZ14" s="58" t="e">
        <f t="shared" si="28"/>
        <v>#DIV/0!</v>
      </c>
      <c r="BC14" s="624">
        <f t="shared" si="29"/>
        <v>0</v>
      </c>
      <c r="BD14" s="31"/>
      <c r="BF14" s="52">
        <f t="shared" si="38"/>
        <v>0</v>
      </c>
      <c r="BG14" s="58" t="e">
        <f t="shared" si="39"/>
        <v>#DIV/0!</v>
      </c>
      <c r="BH14" s="65"/>
      <c r="BI14" s="65"/>
      <c r="BJ14" s="65"/>
      <c r="BK14" s="65"/>
      <c r="BL14" s="39">
        <f t="shared" si="31"/>
        <v>0</v>
      </c>
      <c r="BM14" s="39">
        <f t="shared" si="32"/>
        <v>0</v>
      </c>
      <c r="BN14" s="39"/>
      <c r="BO14" s="39">
        <f t="shared" si="33"/>
        <v>0</v>
      </c>
      <c r="BP14" s="51" t="e">
        <f t="shared" si="8"/>
        <v>#DIV/0!</v>
      </c>
      <c r="BQ14" s="99" t="e">
        <f t="shared" si="34"/>
        <v>#DIV/0!</v>
      </c>
      <c r="BU14" s="39"/>
      <c r="BV14" s="282">
        <f>BN14+BR15+BS14+BT14+BU14</f>
        <v>3.343</v>
      </c>
      <c r="BW14" s="39">
        <f t="shared" si="35"/>
        <v>3.343</v>
      </c>
      <c r="BX14" s="51" t="e">
        <f t="shared" si="10"/>
        <v>#DIV/0!</v>
      </c>
    </row>
    <row r="15" spans="1:76" s="79" customFormat="1" ht="18" customHeight="1">
      <c r="A15" s="53" t="s">
        <v>206</v>
      </c>
      <c r="B15" s="327">
        <f>2682</f>
        <v>2682</v>
      </c>
      <c r="C15" s="327">
        <v>4793</v>
      </c>
      <c r="D15" s="327">
        <f t="shared" si="11"/>
        <v>2111</v>
      </c>
      <c r="E15" s="356">
        <f t="shared" si="12"/>
        <v>0.78709917971662935</v>
      </c>
      <c r="F15" s="590">
        <v>5855</v>
      </c>
      <c r="G15" s="590">
        <f t="shared" si="13"/>
        <v>1062</v>
      </c>
      <c r="H15" s="276">
        <f t="shared" si="14"/>
        <v>0.18138343296327925</v>
      </c>
      <c r="I15" s="590">
        <f>7884-1250</f>
        <v>6634</v>
      </c>
      <c r="J15" s="590">
        <f t="shared" si="15"/>
        <v>779</v>
      </c>
      <c r="K15" s="276">
        <f t="shared" si="16"/>
        <v>0.13304867634500428</v>
      </c>
      <c r="L15" s="62">
        <v>6627</v>
      </c>
      <c r="M15" s="62">
        <v>-1257</v>
      </c>
      <c r="N15" s="241">
        <v>-0.15943683409436835</v>
      </c>
      <c r="O15" s="62">
        <v>11052</v>
      </c>
      <c r="P15" s="62">
        <f t="shared" si="17"/>
        <v>4425</v>
      </c>
      <c r="Q15" s="241">
        <f t="shared" si="0"/>
        <v>0.66772295156179262</v>
      </c>
      <c r="R15" s="62">
        <v>21225</v>
      </c>
      <c r="S15" s="62">
        <f t="shared" si="1"/>
        <v>10173</v>
      </c>
      <c r="T15" s="241">
        <f t="shared" si="2"/>
        <v>0.92046688382193265</v>
      </c>
      <c r="U15" s="62">
        <v>17635</v>
      </c>
      <c r="V15" s="62">
        <f t="shared" si="36"/>
        <v>-3590</v>
      </c>
      <c r="W15" s="241">
        <f t="shared" si="19"/>
        <v>-0.16914016489988221</v>
      </c>
      <c r="X15" s="166">
        <v>6507</v>
      </c>
      <c r="Y15" s="62">
        <f t="shared" si="3"/>
        <v>-11128</v>
      </c>
      <c r="Z15" s="95">
        <f t="shared" si="37"/>
        <v>-0.63101786220584066</v>
      </c>
      <c r="AA15" s="202">
        <v>5964</v>
      </c>
      <c r="AB15" s="591">
        <f t="shared" si="4"/>
        <v>-543</v>
      </c>
      <c r="AC15" s="592">
        <f>AB15/X15</f>
        <v>-8.34485938220378E-2</v>
      </c>
      <c r="AD15" s="78">
        <v>5442</v>
      </c>
      <c r="AE15" s="78"/>
      <c r="AF15" s="62">
        <v>5017</v>
      </c>
      <c r="AG15" s="62">
        <f t="shared" si="20"/>
        <v>-947</v>
      </c>
      <c r="AH15" s="241">
        <f t="shared" si="21"/>
        <v>-0.15878604963112006</v>
      </c>
      <c r="AI15" s="78">
        <v>5442</v>
      </c>
      <c r="AJ15" s="593">
        <v>5442</v>
      </c>
      <c r="AK15" s="136">
        <v>5438</v>
      </c>
      <c r="AM15" s="202">
        <f t="shared" si="22"/>
        <v>5438</v>
      </c>
      <c r="AN15" s="593">
        <v>5105</v>
      </c>
      <c r="AO15" s="593">
        <v>5105</v>
      </c>
      <c r="AP15" s="599">
        <v>1</v>
      </c>
      <c r="AQ15" s="599">
        <v>193</v>
      </c>
      <c r="AR15" s="78">
        <f t="shared" si="23"/>
        <v>194</v>
      </c>
      <c r="AS15" s="52">
        <f t="shared" si="24"/>
        <v>4205.7538000000004</v>
      </c>
      <c r="AT15" s="78">
        <f t="shared" si="25"/>
        <v>-811.24619999999959</v>
      </c>
      <c r="AU15" s="262">
        <f t="shared" si="26"/>
        <v>-0.16169946182977868</v>
      </c>
      <c r="AV15" s="78">
        <f>+AS15-AF15</f>
        <v>-811.24619999999959</v>
      </c>
      <c r="AW15" s="262">
        <f>+AV15/AF15</f>
        <v>-0.16169946182977868</v>
      </c>
      <c r="AX15" s="62">
        <v>3436</v>
      </c>
      <c r="AY15" s="62">
        <f t="shared" si="27"/>
        <v>-1581</v>
      </c>
      <c r="AZ15" s="241">
        <f t="shared" si="28"/>
        <v>-0.31512856288618696</v>
      </c>
      <c r="BA15" s="624">
        <v>4125.6647400000002</v>
      </c>
      <c r="BB15" s="624">
        <v>4011.7538</v>
      </c>
      <c r="BC15" s="624">
        <f>BA15-BB15</f>
        <v>113.91094000000021</v>
      </c>
      <c r="BD15" s="31">
        <f t="shared" si="30"/>
        <v>2.7610323954728372E-2</v>
      </c>
      <c r="BE15" s="62">
        <v>3283</v>
      </c>
      <c r="BF15" s="62">
        <f t="shared" si="38"/>
        <v>-153</v>
      </c>
      <c r="BG15" s="241">
        <f t="shared" si="39"/>
        <v>-4.452852153667055E-2</v>
      </c>
      <c r="BH15" s="78">
        <v>1</v>
      </c>
      <c r="BI15" s="78"/>
      <c r="BJ15" s="78"/>
      <c r="BK15" s="78">
        <v>80</v>
      </c>
      <c r="BL15" s="495">
        <f t="shared" si="31"/>
        <v>3364</v>
      </c>
      <c r="BM15" s="495">
        <f t="shared" si="32"/>
        <v>-841.75380000000041</v>
      </c>
      <c r="BN15" s="495">
        <v>3351</v>
      </c>
      <c r="BO15" s="39">
        <f t="shared" si="33"/>
        <v>68</v>
      </c>
      <c r="BP15" s="587">
        <f t="shared" si="8"/>
        <v>-0.20014338452241315</v>
      </c>
      <c r="BQ15" s="99">
        <f t="shared" si="34"/>
        <v>2.071276271702711E-2</v>
      </c>
      <c r="BR15" s="39">
        <v>3.343</v>
      </c>
      <c r="BU15" s="495">
        <v>53.973999999999997</v>
      </c>
      <c r="BV15" s="282">
        <f t="shared" ref="BV15:BV49" si="40">BN15+BR15+BS15+BT15+BU15</f>
        <v>3408.317</v>
      </c>
      <c r="BW15" s="39">
        <f t="shared" si="35"/>
        <v>44.317000000000007</v>
      </c>
      <c r="BX15" s="51">
        <f t="shared" si="10"/>
        <v>1.3173900118906066E-2</v>
      </c>
    </row>
    <row r="16" spans="1:76" s="79" customFormat="1" ht="18" customHeight="1">
      <c r="A16" s="53" t="s">
        <v>207</v>
      </c>
      <c r="B16" s="595" t="s">
        <v>78</v>
      </c>
      <c r="C16" s="595" t="s">
        <v>78</v>
      </c>
      <c r="D16" s="595" t="s">
        <v>78</v>
      </c>
      <c r="E16" s="595" t="s">
        <v>78</v>
      </c>
      <c r="F16" s="595" t="s">
        <v>78</v>
      </c>
      <c r="G16" s="595" t="s">
        <v>78</v>
      </c>
      <c r="H16" s="595" t="s">
        <v>78</v>
      </c>
      <c r="I16" s="601">
        <v>1250</v>
      </c>
      <c r="J16" s="601" t="s">
        <v>78</v>
      </c>
      <c r="K16" s="601" t="s">
        <v>78</v>
      </c>
      <c r="L16" s="62">
        <v>1801</v>
      </c>
      <c r="M16" s="62">
        <f>L16-I16</f>
        <v>551</v>
      </c>
      <c r="N16" s="596">
        <f>M16/I16</f>
        <v>0.44080000000000003</v>
      </c>
      <c r="O16" s="62">
        <v>1258</v>
      </c>
      <c r="P16" s="62">
        <f t="shared" si="17"/>
        <v>-543</v>
      </c>
      <c r="Q16" s="241">
        <f t="shared" si="0"/>
        <v>-0.30149916712937258</v>
      </c>
      <c r="R16" s="62">
        <v>1634</v>
      </c>
      <c r="S16" s="62">
        <f t="shared" si="1"/>
        <v>376</v>
      </c>
      <c r="T16" s="241">
        <f t="shared" si="2"/>
        <v>0.2988871224165342</v>
      </c>
      <c r="U16" s="62">
        <v>1550</v>
      </c>
      <c r="V16" s="62">
        <f t="shared" si="36"/>
        <v>-84</v>
      </c>
      <c r="W16" s="241">
        <f t="shared" si="19"/>
        <v>-5.1407588739290085E-2</v>
      </c>
      <c r="X16" s="166">
        <v>1800</v>
      </c>
      <c r="Y16" s="62">
        <f t="shared" si="3"/>
        <v>250</v>
      </c>
      <c r="Z16" s="95">
        <f t="shared" si="37"/>
        <v>0.16129032258064516</v>
      </c>
      <c r="AA16" s="202">
        <v>1480</v>
      </c>
      <c r="AB16" s="591">
        <f t="shared" si="4"/>
        <v>-320</v>
      </c>
      <c r="AC16" s="592">
        <f>AB16/X16</f>
        <v>-0.17777777777777778</v>
      </c>
      <c r="AD16" s="78">
        <v>1039</v>
      </c>
      <c r="AE16" s="78"/>
      <c r="AF16" s="62">
        <v>1016</v>
      </c>
      <c r="AG16" s="62">
        <f t="shared" si="20"/>
        <v>-464</v>
      </c>
      <c r="AH16" s="241">
        <f t="shared" si="21"/>
        <v>-0.31351351351351353</v>
      </c>
      <c r="AI16" s="78">
        <v>1039</v>
      </c>
      <c r="AJ16" s="593">
        <v>1039</v>
      </c>
      <c r="AK16" s="136">
        <v>1062</v>
      </c>
      <c r="AM16" s="202">
        <f t="shared" si="22"/>
        <v>1062</v>
      </c>
      <c r="AN16" s="593">
        <v>922</v>
      </c>
      <c r="AO16" s="593">
        <v>922</v>
      </c>
      <c r="AP16" s="599">
        <v>131</v>
      </c>
      <c r="AQ16" s="599">
        <v>20</v>
      </c>
      <c r="AR16" s="78">
        <f t="shared" si="23"/>
        <v>151</v>
      </c>
      <c r="AS16" s="52">
        <f t="shared" si="24"/>
        <v>872.94608000000005</v>
      </c>
      <c r="AT16" s="78">
        <f t="shared" si="25"/>
        <v>-143.05391999999995</v>
      </c>
      <c r="AU16" s="262">
        <f t="shared" si="26"/>
        <v>-0.14080110236220467</v>
      </c>
      <c r="AV16" s="78">
        <f>+AS16-AF16</f>
        <v>-143.05391999999995</v>
      </c>
      <c r="AW16" s="262">
        <f>+AV16/AF16</f>
        <v>-0.14080110236220467</v>
      </c>
      <c r="AX16" s="62">
        <v>771</v>
      </c>
      <c r="AY16" s="62">
        <f t="shared" si="27"/>
        <v>-245</v>
      </c>
      <c r="AZ16" s="241">
        <f t="shared" si="28"/>
        <v>-0.24114173228346455</v>
      </c>
      <c r="BA16" s="624">
        <v>806.53278</v>
      </c>
      <c r="BB16" s="624">
        <v>721.94608000000005</v>
      </c>
      <c r="BC16" s="624">
        <f t="shared" si="29"/>
        <v>84.586699999999951</v>
      </c>
      <c r="BD16" s="31">
        <f t="shared" si="30"/>
        <v>0.10487695242839348</v>
      </c>
      <c r="BE16" s="62">
        <v>2728</v>
      </c>
      <c r="BF16" s="62">
        <f t="shared" si="38"/>
        <v>1957</v>
      </c>
      <c r="BG16" s="241">
        <f t="shared" si="39"/>
        <v>2.5382619974059661</v>
      </c>
      <c r="BH16" s="78">
        <v>102</v>
      </c>
      <c r="BI16" s="78"/>
      <c r="BJ16" s="78"/>
      <c r="BK16" s="78">
        <v>22</v>
      </c>
      <c r="BL16" s="495">
        <f t="shared" si="31"/>
        <v>2852</v>
      </c>
      <c r="BM16" s="495">
        <f t="shared" si="32"/>
        <v>1979.0539199999998</v>
      </c>
      <c r="BN16" s="495">
        <v>2962</v>
      </c>
      <c r="BO16" s="39">
        <f t="shared" si="33"/>
        <v>234</v>
      </c>
      <c r="BP16" s="587">
        <f t="shared" si="8"/>
        <v>2.2670975508590403</v>
      </c>
      <c r="BQ16" s="99">
        <f t="shared" si="34"/>
        <v>8.5777126099706738E-2</v>
      </c>
      <c r="BR16" s="495">
        <v>126.34</v>
      </c>
      <c r="BU16" s="603">
        <v>23.507999999999999</v>
      </c>
      <c r="BV16" s="282">
        <f t="shared" si="40"/>
        <v>3111.848</v>
      </c>
      <c r="BW16" s="39">
        <f t="shared" si="35"/>
        <v>259.84799999999996</v>
      </c>
      <c r="BX16" s="51">
        <f t="shared" si="10"/>
        <v>9.111079943899017E-2</v>
      </c>
    </row>
    <row r="17" spans="1:76" ht="18" customHeight="1">
      <c r="A17" s="316" t="s">
        <v>369</v>
      </c>
      <c r="B17" s="326">
        <f>9174+1893</f>
        <v>11067</v>
      </c>
      <c r="C17" s="326">
        <f>8539+1573</f>
        <v>10112</v>
      </c>
      <c r="D17" s="326">
        <f t="shared" si="11"/>
        <v>-955</v>
      </c>
      <c r="E17" s="355">
        <f t="shared" si="12"/>
        <v>-8.6292581548748526E-2</v>
      </c>
      <c r="L17" s="52"/>
      <c r="M17" s="52"/>
      <c r="N17" s="60"/>
      <c r="O17" s="52"/>
      <c r="P17" s="52"/>
      <c r="Q17" s="58"/>
      <c r="R17" s="52"/>
      <c r="S17" s="52"/>
      <c r="T17" s="58"/>
      <c r="U17" s="52"/>
      <c r="V17" s="52"/>
      <c r="W17" s="58"/>
      <c r="Y17" s="52"/>
      <c r="AB17" s="172"/>
      <c r="AD17" s="65"/>
      <c r="AE17" s="65"/>
      <c r="AH17" s="58"/>
      <c r="AI17" s="65"/>
      <c r="AJ17" s="220"/>
      <c r="AK17" s="136"/>
      <c r="AM17" s="258"/>
      <c r="AN17" s="220"/>
      <c r="AO17" s="220"/>
      <c r="AP17" s="263"/>
      <c r="AQ17" s="263"/>
      <c r="AR17" s="65">
        <f t="shared" si="23"/>
        <v>0</v>
      </c>
      <c r="AS17" s="52">
        <f t="shared" si="24"/>
        <v>0</v>
      </c>
      <c r="AT17" s="65">
        <f t="shared" si="25"/>
        <v>0</v>
      </c>
      <c r="AU17" s="99" t="e">
        <f t="shared" si="26"/>
        <v>#DIV/0!</v>
      </c>
      <c r="AV17" s="65"/>
      <c r="AW17" s="99"/>
      <c r="AY17" s="52">
        <f t="shared" si="27"/>
        <v>0</v>
      </c>
      <c r="AZ17" s="58" t="e">
        <f t="shared" si="28"/>
        <v>#DIV/0!</v>
      </c>
      <c r="BC17" s="624">
        <f t="shared" si="29"/>
        <v>0</v>
      </c>
      <c r="BD17" s="31"/>
      <c r="BF17" s="52">
        <f t="shared" si="38"/>
        <v>0</v>
      </c>
      <c r="BG17" s="58" t="e">
        <f t="shared" si="39"/>
        <v>#DIV/0!</v>
      </c>
      <c r="BH17" s="65"/>
      <c r="BI17" s="65"/>
      <c r="BJ17" s="65"/>
      <c r="BK17" s="65"/>
      <c r="BL17" s="39">
        <f t="shared" si="31"/>
        <v>0</v>
      </c>
      <c r="BM17" s="39">
        <f t="shared" si="32"/>
        <v>0</v>
      </c>
      <c r="BN17" s="39"/>
      <c r="BO17" s="39">
        <f t="shared" si="33"/>
        <v>0</v>
      </c>
      <c r="BP17" s="51" t="e">
        <f t="shared" si="8"/>
        <v>#DIV/0!</v>
      </c>
      <c r="BQ17" s="99" t="e">
        <f t="shared" si="34"/>
        <v>#DIV/0!</v>
      </c>
      <c r="BU17" s="39"/>
      <c r="BV17" s="282">
        <f t="shared" si="40"/>
        <v>0</v>
      </c>
      <c r="BW17" s="39">
        <f t="shared" si="35"/>
        <v>0</v>
      </c>
      <c r="BX17" s="51" t="e">
        <f t="shared" si="10"/>
        <v>#DIV/0!</v>
      </c>
    </row>
    <row r="18" spans="1:76" s="79" customFormat="1" ht="18" customHeight="1">
      <c r="A18" s="53" t="s">
        <v>208</v>
      </c>
      <c r="B18" s="595" t="s">
        <v>78</v>
      </c>
      <c r="C18" s="595" t="s">
        <v>78</v>
      </c>
      <c r="D18" s="595" t="s">
        <v>78</v>
      </c>
      <c r="E18" s="595" t="s">
        <v>78</v>
      </c>
      <c r="F18" s="590">
        <f>13692+1290+3486</f>
        <v>18468</v>
      </c>
      <c r="G18" s="590">
        <f>F18-C17</f>
        <v>8356</v>
      </c>
      <c r="H18" s="276">
        <f>(F18-C17)/F18</f>
        <v>0.45245830625947586</v>
      </c>
      <c r="I18" s="590">
        <f>8230+218+2882</f>
        <v>11330</v>
      </c>
      <c r="J18" s="590">
        <f>I18-F18</f>
        <v>-7138</v>
      </c>
      <c r="K18" s="276">
        <f>(I18-F18)/F18</f>
        <v>-0.38650638943036603</v>
      </c>
      <c r="L18" s="62">
        <f>8534+931</f>
        <v>9465</v>
      </c>
      <c r="M18" s="62">
        <f>L18-I18</f>
        <v>-1865</v>
      </c>
      <c r="N18" s="241">
        <f>(L18-I18)/I18</f>
        <v>-0.16460723742277139</v>
      </c>
      <c r="O18" s="62">
        <f>9388+1904</f>
        <v>11292</v>
      </c>
      <c r="P18" s="62">
        <f t="shared" si="17"/>
        <v>1827</v>
      </c>
      <c r="Q18" s="241">
        <f t="shared" si="0"/>
        <v>0.19302694136291601</v>
      </c>
      <c r="R18" s="62">
        <f>9198+1566</f>
        <v>10764</v>
      </c>
      <c r="S18" s="62">
        <f t="shared" si="1"/>
        <v>-528</v>
      </c>
      <c r="T18" s="241">
        <f t="shared" si="2"/>
        <v>-4.6758767268862911E-2</v>
      </c>
      <c r="U18" s="62">
        <f>9428+1804</f>
        <v>11232</v>
      </c>
      <c r="V18" s="62">
        <f t="shared" si="36"/>
        <v>468</v>
      </c>
      <c r="W18" s="241">
        <f t="shared" si="19"/>
        <v>4.3478260869565216E-2</v>
      </c>
      <c r="X18" s="166">
        <v>8883</v>
      </c>
      <c r="Y18" s="62">
        <f t="shared" si="3"/>
        <v>-2349</v>
      </c>
      <c r="Z18" s="95">
        <f t="shared" si="37"/>
        <v>-0.20913461538461539</v>
      </c>
      <c r="AA18" s="202">
        <v>9675</v>
      </c>
      <c r="AB18" s="591">
        <f t="shared" si="4"/>
        <v>792</v>
      </c>
      <c r="AC18" s="592">
        <f>AB18/X18</f>
        <v>8.9159067882472132E-2</v>
      </c>
      <c r="AD18" s="78">
        <v>5408</v>
      </c>
      <c r="AE18" s="78">
        <v>277</v>
      </c>
      <c r="AF18" s="62">
        <v>5414</v>
      </c>
      <c r="AG18" s="62">
        <f t="shared" si="20"/>
        <v>-4261</v>
      </c>
      <c r="AH18" s="241">
        <f t="shared" si="21"/>
        <v>-0.44041343669250643</v>
      </c>
      <c r="AI18" s="78">
        <f>5408-703</f>
        <v>4705</v>
      </c>
      <c r="AJ18" s="593">
        <f>5685-703</f>
        <v>4982</v>
      </c>
      <c r="AK18" s="136">
        <v>5579</v>
      </c>
      <c r="AM18" s="202">
        <f t="shared" si="22"/>
        <v>5579</v>
      </c>
      <c r="AN18" s="593">
        <v>8981</v>
      </c>
      <c r="AO18" s="593">
        <v>9258</v>
      </c>
      <c r="AP18" s="599">
        <v>601</v>
      </c>
      <c r="AQ18" s="599">
        <v>77</v>
      </c>
      <c r="AR18" s="78">
        <f t="shared" si="23"/>
        <v>678</v>
      </c>
      <c r="AS18" s="52">
        <f t="shared" si="24"/>
        <v>8998.8401400000002</v>
      </c>
      <c r="AT18" s="78">
        <f t="shared" si="25"/>
        <v>3584.8401400000002</v>
      </c>
      <c r="AU18" s="262">
        <f t="shared" si="26"/>
        <v>0.66214261913557448</v>
      </c>
      <c r="AV18" s="78">
        <f>+AS18-AF18</f>
        <v>3584.8401400000002</v>
      </c>
      <c r="AW18" s="262">
        <f>+AV18/AF18</f>
        <v>0.66214261913557448</v>
      </c>
      <c r="AX18" s="62">
        <v>8138</v>
      </c>
      <c r="AY18" s="62">
        <f t="shared" si="27"/>
        <v>2724</v>
      </c>
      <c r="AZ18" s="241">
        <f t="shared" si="28"/>
        <v>0.50314000738825271</v>
      </c>
      <c r="BA18" s="624">
        <f>8301.61382+272.7335</f>
        <v>8574.3473200000008</v>
      </c>
      <c r="BB18" s="624">
        <f>8134.66705+186.17309</f>
        <v>8320.8401400000002</v>
      </c>
      <c r="BC18" s="624">
        <f t="shared" si="29"/>
        <v>253.50718000000052</v>
      </c>
      <c r="BD18" s="31">
        <f t="shared" si="30"/>
        <v>2.9565769910986122E-2</v>
      </c>
      <c r="BE18" s="202">
        <f>7270+277</f>
        <v>7547</v>
      </c>
      <c r="BF18" s="62">
        <f t="shared" si="38"/>
        <v>-591</v>
      </c>
      <c r="BG18" s="241">
        <f t="shared" si="39"/>
        <v>-7.2622265913000736E-2</v>
      </c>
      <c r="BH18" s="78">
        <v>469</v>
      </c>
      <c r="BI18" s="78"/>
      <c r="BJ18" s="78"/>
      <c r="BK18" s="78">
        <v>178</v>
      </c>
      <c r="BL18" s="495">
        <f t="shared" si="31"/>
        <v>8194</v>
      </c>
      <c r="BM18" s="495">
        <f t="shared" si="32"/>
        <v>-804.84014000000025</v>
      </c>
      <c r="BN18" s="495">
        <v>7814</v>
      </c>
      <c r="BO18" s="39">
        <f t="shared" si="33"/>
        <v>267</v>
      </c>
      <c r="BP18" s="587">
        <f t="shared" si="8"/>
        <v>-8.9438208422268989E-2</v>
      </c>
      <c r="BQ18" s="99">
        <f t="shared" si="34"/>
        <v>3.537829601166026E-2</v>
      </c>
      <c r="BR18" s="495">
        <v>581.07100000000003</v>
      </c>
      <c r="BU18" s="603">
        <v>333.79399999999998</v>
      </c>
      <c r="BV18" s="282">
        <f t="shared" si="40"/>
        <v>8728.8649999999998</v>
      </c>
      <c r="BW18" s="39">
        <f t="shared" si="35"/>
        <v>534.86499999999978</v>
      </c>
      <c r="BX18" s="51">
        <f t="shared" si="10"/>
        <v>6.5275201366853774E-2</v>
      </c>
    </row>
    <row r="19" spans="1:76" ht="18" customHeight="1">
      <c r="A19" s="53" t="s">
        <v>199</v>
      </c>
      <c r="B19" s="326">
        <v>3681</v>
      </c>
      <c r="C19" s="326">
        <v>3673</v>
      </c>
      <c r="D19" s="326">
        <f t="shared" si="11"/>
        <v>-8</v>
      </c>
      <c r="E19" s="355">
        <f t="shared" si="12"/>
        <v>-2.1733224667209996E-3</v>
      </c>
      <c r="F19" s="521" t="s">
        <v>78</v>
      </c>
      <c r="G19" s="521" t="s">
        <v>78</v>
      </c>
      <c r="H19" s="521" t="s">
        <v>78</v>
      </c>
      <c r="I19" s="521" t="s">
        <v>78</v>
      </c>
      <c r="J19" s="521" t="s">
        <v>78</v>
      </c>
      <c r="K19" s="521" t="s">
        <v>78</v>
      </c>
      <c r="L19" s="522" t="s">
        <v>78</v>
      </c>
      <c r="M19" s="522" t="s">
        <v>78</v>
      </c>
      <c r="N19" s="522" t="s">
        <v>78</v>
      </c>
      <c r="O19" s="522" t="s">
        <v>78</v>
      </c>
      <c r="P19" s="522" t="s">
        <v>78</v>
      </c>
      <c r="Q19" s="522" t="s">
        <v>78</v>
      </c>
      <c r="R19" s="522" t="s">
        <v>78</v>
      </c>
      <c r="S19" s="522" t="s">
        <v>78</v>
      </c>
      <c r="T19" s="522" t="s">
        <v>78</v>
      </c>
      <c r="U19" s="522" t="s">
        <v>78</v>
      </c>
      <c r="V19" s="522" t="s">
        <v>78</v>
      </c>
      <c r="W19" s="522" t="s">
        <v>78</v>
      </c>
      <c r="X19" s="523" t="s">
        <v>78</v>
      </c>
      <c r="Y19" s="522" t="s">
        <v>78</v>
      </c>
      <c r="Z19" s="523" t="s">
        <v>78</v>
      </c>
      <c r="AA19" s="524" t="s">
        <v>78</v>
      </c>
      <c r="AB19" s="66" t="s">
        <v>78</v>
      </c>
      <c r="AC19" s="70" t="s">
        <v>78</v>
      </c>
      <c r="AG19" s="52" t="e">
        <f t="shared" si="20"/>
        <v>#VALUE!</v>
      </c>
      <c r="AH19" s="58" t="e">
        <f t="shared" si="21"/>
        <v>#VALUE!</v>
      </c>
      <c r="AJ19" s="50">
        <v>0</v>
      </c>
      <c r="AK19" s="136"/>
      <c r="AM19" s="258"/>
      <c r="AP19" s="65"/>
      <c r="AQ19" s="65"/>
      <c r="AR19" s="65">
        <f t="shared" si="23"/>
        <v>0</v>
      </c>
      <c r="AS19" s="52">
        <f t="shared" si="24"/>
        <v>0</v>
      </c>
      <c r="AT19" s="65">
        <f t="shared" si="25"/>
        <v>0</v>
      </c>
      <c r="AU19" s="99" t="e">
        <f t="shared" si="26"/>
        <v>#DIV/0!</v>
      </c>
      <c r="AV19" s="65"/>
      <c r="AW19" s="99"/>
      <c r="AY19" s="52">
        <f t="shared" si="27"/>
        <v>0</v>
      </c>
      <c r="AZ19" s="58" t="e">
        <f t="shared" si="28"/>
        <v>#DIV/0!</v>
      </c>
      <c r="BC19" s="624">
        <f t="shared" si="29"/>
        <v>0</v>
      </c>
      <c r="BD19" s="31"/>
      <c r="BF19" s="52">
        <f t="shared" si="38"/>
        <v>0</v>
      </c>
      <c r="BG19" s="58" t="e">
        <f t="shared" si="39"/>
        <v>#DIV/0!</v>
      </c>
      <c r="BI19" s="65"/>
      <c r="BJ19" s="65"/>
      <c r="BK19" s="65"/>
      <c r="BL19" s="39">
        <f>BE19+BH19+BI19+BJ19+BK19</f>
        <v>0</v>
      </c>
      <c r="BM19" s="39">
        <f t="shared" si="32"/>
        <v>0</v>
      </c>
      <c r="BN19" s="39"/>
      <c r="BO19" s="39">
        <f t="shared" si="33"/>
        <v>0</v>
      </c>
      <c r="BP19" s="51" t="e">
        <f t="shared" si="8"/>
        <v>#DIV/0!</v>
      </c>
      <c r="BQ19" s="99" t="e">
        <f t="shared" si="34"/>
        <v>#DIV/0!</v>
      </c>
      <c r="BU19" s="39"/>
      <c r="BV19" s="282">
        <f t="shared" si="40"/>
        <v>0</v>
      </c>
      <c r="BW19" s="39">
        <f t="shared" si="35"/>
        <v>0</v>
      </c>
      <c r="BX19" s="51" t="e">
        <f t="shared" si="10"/>
        <v>#DIV/0!</v>
      </c>
    </row>
    <row r="20" spans="1:76" s="79" customFormat="1" ht="18" customHeight="1">
      <c r="A20" s="103" t="s">
        <v>209</v>
      </c>
      <c r="B20" s="595" t="s">
        <v>78</v>
      </c>
      <c r="C20" s="595" t="s">
        <v>78</v>
      </c>
      <c r="D20" s="595" t="s">
        <v>78</v>
      </c>
      <c r="E20" s="595" t="s">
        <v>78</v>
      </c>
      <c r="F20" s="595" t="s">
        <v>78</v>
      </c>
      <c r="G20" s="595" t="s">
        <v>78</v>
      </c>
      <c r="H20" s="595" t="s">
        <v>78</v>
      </c>
      <c r="I20" s="601" t="s">
        <v>78</v>
      </c>
      <c r="J20" s="601" t="s">
        <v>78</v>
      </c>
      <c r="K20" s="601" t="s">
        <v>78</v>
      </c>
      <c r="L20" s="62"/>
      <c r="M20" s="62"/>
      <c r="N20" s="241"/>
      <c r="O20" s="62"/>
      <c r="P20" s="62"/>
      <c r="Q20" s="241"/>
      <c r="R20" s="62"/>
      <c r="S20" s="62"/>
      <c r="T20" s="241"/>
      <c r="U20" s="62"/>
      <c r="V20" s="62"/>
      <c r="W20" s="241"/>
      <c r="X20" s="166">
        <v>566</v>
      </c>
      <c r="Y20" s="62">
        <f t="shared" si="3"/>
        <v>566</v>
      </c>
      <c r="Z20" s="95"/>
      <c r="AA20" s="202">
        <v>1470</v>
      </c>
      <c r="AB20" s="591">
        <f t="shared" si="4"/>
        <v>904</v>
      </c>
      <c r="AC20" s="592">
        <f>AB20/X20</f>
        <v>1.5971731448763251</v>
      </c>
      <c r="AD20" s="78">
        <v>1135</v>
      </c>
      <c r="AE20" s="78"/>
      <c r="AF20" s="62">
        <v>961</v>
      </c>
      <c r="AG20" s="62">
        <f t="shared" si="20"/>
        <v>-509</v>
      </c>
      <c r="AH20" s="241">
        <f t="shared" si="21"/>
        <v>-0.34625850340136055</v>
      </c>
      <c r="AI20" s="78">
        <f>1135-102</f>
        <v>1033</v>
      </c>
      <c r="AJ20" s="593">
        <f>1135-102</f>
        <v>1033</v>
      </c>
      <c r="AK20" s="136">
        <v>1144</v>
      </c>
      <c r="AM20" s="202">
        <f t="shared" si="22"/>
        <v>1144</v>
      </c>
      <c r="AN20" s="593">
        <v>972</v>
      </c>
      <c r="AO20" s="593">
        <v>972</v>
      </c>
      <c r="AP20" s="599">
        <v>20</v>
      </c>
      <c r="AQ20" s="599">
        <v>6</v>
      </c>
      <c r="AR20" s="78">
        <f t="shared" si="23"/>
        <v>26</v>
      </c>
      <c r="AS20" s="52">
        <f t="shared" si="24"/>
        <v>845.15286000000003</v>
      </c>
      <c r="AT20" s="78">
        <f t="shared" si="25"/>
        <v>-115.84713999999997</v>
      </c>
      <c r="AU20" s="262">
        <f t="shared" si="26"/>
        <v>-0.12054853277835585</v>
      </c>
      <c r="AV20" s="78">
        <f t="shared" ref="AV20:AV35" si="41">+AS20-AF20</f>
        <v>-115.84713999999997</v>
      </c>
      <c r="AW20" s="262">
        <f t="shared" ref="AW20:AW35" si="42">+AV20/AF20</f>
        <v>-0.12054853277835585</v>
      </c>
      <c r="AX20" s="62">
        <v>906</v>
      </c>
      <c r="AY20" s="62">
        <f t="shared" si="27"/>
        <v>-55</v>
      </c>
      <c r="AZ20" s="241">
        <f t="shared" si="28"/>
        <v>-5.7232049947970862E-2</v>
      </c>
      <c r="BA20" s="624">
        <v>906.32703000000004</v>
      </c>
      <c r="BB20" s="624">
        <v>819.15286000000003</v>
      </c>
      <c r="BC20" s="624">
        <f t="shared" si="29"/>
        <v>87.174170000000004</v>
      </c>
      <c r="BD20" s="31">
        <f t="shared" si="30"/>
        <v>9.618401207784788E-2</v>
      </c>
      <c r="BE20" s="62">
        <v>952</v>
      </c>
      <c r="BF20" s="62">
        <f t="shared" si="38"/>
        <v>46</v>
      </c>
      <c r="BG20" s="241">
        <f t="shared" si="39"/>
        <v>5.0772626931567331E-2</v>
      </c>
      <c r="BH20" s="78">
        <v>16</v>
      </c>
      <c r="BI20" s="78"/>
      <c r="BJ20" s="78"/>
      <c r="BK20" s="78">
        <v>6</v>
      </c>
      <c r="BL20" s="495">
        <f>BE20+BH20+BI20+BJ20+BK20</f>
        <v>974</v>
      </c>
      <c r="BM20" s="495">
        <f t="shared" si="32"/>
        <v>128.84713999999997</v>
      </c>
      <c r="BN20" s="495">
        <v>970</v>
      </c>
      <c r="BO20" s="39">
        <f t="shared" si="33"/>
        <v>18</v>
      </c>
      <c r="BP20" s="587">
        <f t="shared" si="8"/>
        <v>0.15245424360274892</v>
      </c>
      <c r="BQ20" s="99">
        <f t="shared" si="34"/>
        <v>1.8907563025210083E-2</v>
      </c>
      <c r="BR20" s="495">
        <v>19.227</v>
      </c>
      <c r="BU20" s="603">
        <v>5.38</v>
      </c>
      <c r="BV20" s="282">
        <f t="shared" si="40"/>
        <v>994.60699999999997</v>
      </c>
      <c r="BW20" s="39">
        <f t="shared" si="35"/>
        <v>20.606999999999971</v>
      </c>
      <c r="BX20" s="51">
        <f t="shared" si="10"/>
        <v>2.1157084188911674E-2</v>
      </c>
    </row>
    <row r="21" spans="1:76" s="79" customFormat="1" ht="18" customHeight="1">
      <c r="A21" s="53" t="s">
        <v>210</v>
      </c>
      <c r="B21" s="327">
        <v>373</v>
      </c>
      <c r="C21" s="327">
        <f>7497+525</f>
        <v>8022</v>
      </c>
      <c r="D21" s="327">
        <f t="shared" si="11"/>
        <v>7649</v>
      </c>
      <c r="E21" s="356">
        <f t="shared" si="12"/>
        <v>20.506702412868634</v>
      </c>
      <c r="F21" s="590">
        <f>2000+174</f>
        <v>2174</v>
      </c>
      <c r="G21" s="590">
        <f t="shared" si="13"/>
        <v>-5848</v>
      </c>
      <c r="H21" s="276">
        <f t="shared" si="14"/>
        <v>-2.6899724011039559</v>
      </c>
      <c r="I21" s="590">
        <f>1845+514</f>
        <v>2359</v>
      </c>
      <c r="J21" s="590">
        <f t="shared" si="15"/>
        <v>185</v>
      </c>
      <c r="K21" s="276">
        <f t="shared" si="16"/>
        <v>8.5096596136154556E-2</v>
      </c>
      <c r="L21" s="62">
        <v>4233</v>
      </c>
      <c r="M21" s="62">
        <v>1875</v>
      </c>
      <c r="N21" s="241">
        <v>0.7951653944020356</v>
      </c>
      <c r="O21" s="62">
        <v>9431</v>
      </c>
      <c r="P21" s="62">
        <f t="shared" si="17"/>
        <v>5198</v>
      </c>
      <c r="Q21" s="241">
        <f t="shared" si="0"/>
        <v>1.2279707063548311</v>
      </c>
      <c r="R21" s="62">
        <v>9688</v>
      </c>
      <c r="S21" s="62">
        <f t="shared" si="1"/>
        <v>257</v>
      </c>
      <c r="T21" s="241">
        <f t="shared" si="2"/>
        <v>2.7250556674795885E-2</v>
      </c>
      <c r="U21" s="62">
        <v>8120</v>
      </c>
      <c r="V21" s="62">
        <f t="shared" si="36"/>
        <v>-1568</v>
      </c>
      <c r="W21" s="241">
        <f t="shared" si="19"/>
        <v>-0.16184971098265896</v>
      </c>
      <c r="X21" s="166">
        <v>4971</v>
      </c>
      <c r="Y21" s="62">
        <f t="shared" si="3"/>
        <v>-3149</v>
      </c>
      <c r="Z21" s="95">
        <f>Y21/U21</f>
        <v>-0.38780788177339903</v>
      </c>
      <c r="AA21" s="202">
        <v>4471</v>
      </c>
      <c r="AB21" s="591">
        <f t="shared" si="4"/>
        <v>-500</v>
      </c>
      <c r="AC21" s="592">
        <f>AB21/X21</f>
        <v>-0.10058338362502514</v>
      </c>
      <c r="AD21" s="78">
        <v>4323</v>
      </c>
      <c r="AE21" s="78"/>
      <c r="AF21" s="62">
        <v>4297</v>
      </c>
      <c r="AG21" s="62">
        <f t="shared" si="20"/>
        <v>-174</v>
      </c>
      <c r="AH21" s="241">
        <f t="shared" si="21"/>
        <v>-3.8917468127935582E-2</v>
      </c>
      <c r="AI21" s="78">
        <v>4323</v>
      </c>
      <c r="AJ21" s="593">
        <v>4323</v>
      </c>
      <c r="AK21" s="136">
        <v>4419</v>
      </c>
      <c r="AM21" s="202">
        <f t="shared" si="22"/>
        <v>4419</v>
      </c>
      <c r="AN21" s="593">
        <v>21021</v>
      </c>
      <c r="AO21" s="593">
        <v>21291</v>
      </c>
      <c r="AP21" s="78">
        <v>163</v>
      </c>
      <c r="AQ21" s="599">
        <v>0</v>
      </c>
      <c r="AR21" s="78">
        <f t="shared" si="23"/>
        <v>163</v>
      </c>
      <c r="AS21" s="52">
        <f t="shared" si="24"/>
        <v>18037.010310000001</v>
      </c>
      <c r="AT21" s="78">
        <f t="shared" si="25"/>
        <v>13740.010310000001</v>
      </c>
      <c r="AU21" s="262">
        <f t="shared" si="26"/>
        <v>3.1975821061205494</v>
      </c>
      <c r="AV21" s="78">
        <f t="shared" si="41"/>
        <v>13740.010310000001</v>
      </c>
      <c r="AW21" s="262">
        <f t="shared" si="42"/>
        <v>3.1975821061205494</v>
      </c>
      <c r="AX21" s="62">
        <f>18628</f>
        <v>18628</v>
      </c>
      <c r="AY21" s="62">
        <f t="shared" si="27"/>
        <v>14331</v>
      </c>
      <c r="AZ21" s="241">
        <f t="shared" si="28"/>
        <v>3.3351175238538517</v>
      </c>
      <c r="BA21" s="624">
        <v>18357.07847</v>
      </c>
      <c r="BB21" s="624">
        <v>17874.010310000001</v>
      </c>
      <c r="BC21" s="624">
        <f t="shared" si="29"/>
        <v>483.0681599999989</v>
      </c>
      <c r="BD21" s="31">
        <f t="shared" si="30"/>
        <v>2.6315089342209413E-2</v>
      </c>
      <c r="BE21" s="62">
        <f>19068+226</f>
        <v>19294</v>
      </c>
      <c r="BF21" s="62">
        <f t="shared" si="38"/>
        <v>666</v>
      </c>
      <c r="BG21" s="241">
        <f t="shared" si="39"/>
        <v>3.5752630448786772E-2</v>
      </c>
      <c r="BH21" s="78">
        <v>127</v>
      </c>
      <c r="BI21" s="78"/>
      <c r="BJ21" s="78"/>
      <c r="BK21" s="78">
        <v>35</v>
      </c>
      <c r="BL21" s="495">
        <f t="shared" si="31"/>
        <v>19456</v>
      </c>
      <c r="BM21" s="495">
        <f t="shared" si="32"/>
        <v>1418.9896899999985</v>
      </c>
      <c r="BN21" s="495">
        <f>19667-1360</f>
        <v>18307</v>
      </c>
      <c r="BO21" s="39">
        <f t="shared" si="33"/>
        <v>-987</v>
      </c>
      <c r="BP21" s="587">
        <f t="shared" si="8"/>
        <v>7.8671002877527235E-2</v>
      </c>
      <c r="BQ21" s="99">
        <f t="shared" si="34"/>
        <v>-5.1155799730486159E-2</v>
      </c>
      <c r="BR21" s="495">
        <v>158.286</v>
      </c>
      <c r="BU21" s="495">
        <v>23.468</v>
      </c>
      <c r="BV21" s="282">
        <f t="shared" si="40"/>
        <v>18488.754000000001</v>
      </c>
      <c r="BW21" s="39">
        <f t="shared" si="35"/>
        <v>-967.24599999999919</v>
      </c>
      <c r="BX21" s="51">
        <f t="shared" si="10"/>
        <v>-4.971453536184206E-2</v>
      </c>
    </row>
    <row r="22" spans="1:76" ht="18" customHeight="1">
      <c r="A22" s="53" t="s">
        <v>211</v>
      </c>
      <c r="B22" s="328" t="s">
        <v>78</v>
      </c>
      <c r="C22" s="328" t="s">
        <v>78</v>
      </c>
      <c r="D22" s="328" t="s">
        <v>78</v>
      </c>
      <c r="E22" s="328" t="s">
        <v>78</v>
      </c>
      <c r="F22" s="328" t="s">
        <v>78</v>
      </c>
      <c r="G22" s="328" t="s">
        <v>78</v>
      </c>
      <c r="H22" s="328" t="s">
        <v>78</v>
      </c>
      <c r="I22" s="329" t="s">
        <v>78</v>
      </c>
      <c r="J22" s="329" t="s">
        <v>78</v>
      </c>
      <c r="K22" s="329" t="s">
        <v>78</v>
      </c>
      <c r="L22" s="52"/>
      <c r="M22" s="52"/>
      <c r="N22" s="58"/>
      <c r="O22" s="52"/>
      <c r="P22" s="52"/>
      <c r="Q22" s="58"/>
      <c r="R22" s="52"/>
      <c r="S22" s="52"/>
      <c r="T22" s="58"/>
      <c r="U22" s="52"/>
      <c r="V22" s="52"/>
      <c r="W22" s="58"/>
      <c r="Y22" s="52"/>
      <c r="AA22" s="202">
        <v>897</v>
      </c>
      <c r="AB22" s="172">
        <f t="shared" si="4"/>
        <v>897</v>
      </c>
      <c r="AC22" s="70" t="s">
        <v>78</v>
      </c>
      <c r="AD22" s="219">
        <v>642</v>
      </c>
      <c r="AE22" s="219"/>
      <c r="AG22" s="52">
        <f t="shared" si="20"/>
        <v>-897</v>
      </c>
      <c r="AH22" s="58">
        <f t="shared" si="21"/>
        <v>-1</v>
      </c>
      <c r="AI22" s="219">
        <v>642</v>
      </c>
      <c r="AJ22" s="220">
        <v>642</v>
      </c>
      <c r="AK22" s="136">
        <v>702</v>
      </c>
      <c r="AM22" s="258">
        <f t="shared" si="22"/>
        <v>702</v>
      </c>
      <c r="AN22" s="220">
        <v>0</v>
      </c>
      <c r="AO22" s="220">
        <v>0</v>
      </c>
      <c r="AP22" s="65"/>
      <c r="AQ22" s="65"/>
      <c r="AR22" s="65">
        <f t="shared" si="23"/>
        <v>0</v>
      </c>
      <c r="AS22" s="52">
        <f t="shared" si="24"/>
        <v>0</v>
      </c>
      <c r="AT22" s="65">
        <f t="shared" si="25"/>
        <v>0</v>
      </c>
      <c r="AU22" s="99" t="e">
        <f t="shared" si="26"/>
        <v>#DIV/0!</v>
      </c>
      <c r="AV22" s="65">
        <f t="shared" si="41"/>
        <v>0</v>
      </c>
      <c r="AW22" s="99" t="e">
        <f t="shared" si="42"/>
        <v>#DIV/0!</v>
      </c>
      <c r="AY22" s="52">
        <f t="shared" si="27"/>
        <v>0</v>
      </c>
      <c r="AZ22" s="58" t="e">
        <f t="shared" si="28"/>
        <v>#DIV/0!</v>
      </c>
      <c r="BC22" s="624">
        <f t="shared" si="29"/>
        <v>0</v>
      </c>
      <c r="BD22" s="31"/>
      <c r="BF22" s="52">
        <f t="shared" si="38"/>
        <v>0</v>
      </c>
      <c r="BG22" s="58" t="e">
        <f t="shared" si="39"/>
        <v>#DIV/0!</v>
      </c>
      <c r="BH22" s="65">
        <v>0</v>
      </c>
      <c r="BI22" s="65"/>
      <c r="BJ22" s="65"/>
      <c r="BK22" s="65"/>
      <c r="BL22" s="39">
        <f t="shared" si="31"/>
        <v>0</v>
      </c>
      <c r="BM22" s="39">
        <f t="shared" si="32"/>
        <v>0</v>
      </c>
      <c r="BN22" s="39"/>
      <c r="BO22" s="39">
        <f t="shared" si="33"/>
        <v>0</v>
      </c>
      <c r="BP22" s="51" t="e">
        <f t="shared" si="8"/>
        <v>#DIV/0!</v>
      </c>
      <c r="BQ22" s="99" t="e">
        <f t="shared" si="34"/>
        <v>#DIV/0!</v>
      </c>
      <c r="BR22" s="39">
        <v>46.472000000000001</v>
      </c>
      <c r="BU22" s="603">
        <v>6.4279999999999999</v>
      </c>
      <c r="BV22" s="282">
        <f t="shared" si="40"/>
        <v>52.9</v>
      </c>
      <c r="BW22" s="39">
        <f t="shared" si="35"/>
        <v>52.9</v>
      </c>
      <c r="BX22" s="51" t="e">
        <f t="shared" si="10"/>
        <v>#DIV/0!</v>
      </c>
    </row>
    <row r="23" spans="1:76" s="79" customFormat="1" ht="18" customHeight="1">
      <c r="A23" s="103" t="s">
        <v>140</v>
      </c>
      <c r="B23" s="327">
        <f>13356+422</f>
        <v>13778</v>
      </c>
      <c r="C23" s="327">
        <v>12717</v>
      </c>
      <c r="D23" s="327">
        <f t="shared" si="11"/>
        <v>-1061</v>
      </c>
      <c r="E23" s="356">
        <f t="shared" si="12"/>
        <v>-7.7006822470605307E-2</v>
      </c>
      <c r="F23" s="590">
        <v>12999</v>
      </c>
      <c r="G23" s="590">
        <f t="shared" si="13"/>
        <v>282</v>
      </c>
      <c r="H23" s="276">
        <f t="shared" si="14"/>
        <v>2.1693976459727673E-2</v>
      </c>
      <c r="I23" s="590">
        <v>11753</v>
      </c>
      <c r="J23" s="590">
        <f t="shared" si="15"/>
        <v>-1246</v>
      </c>
      <c r="K23" s="276">
        <f t="shared" si="16"/>
        <v>-9.5853527194399574E-2</v>
      </c>
      <c r="L23" s="62">
        <v>11868</v>
      </c>
      <c r="M23" s="62">
        <v>115</v>
      </c>
      <c r="N23" s="241">
        <v>9.7847358121330719E-3</v>
      </c>
      <c r="O23" s="62">
        <v>11180</v>
      </c>
      <c r="P23" s="62">
        <f t="shared" si="17"/>
        <v>-688</v>
      </c>
      <c r="Q23" s="241">
        <f t="shared" si="0"/>
        <v>-5.7971014492753624E-2</v>
      </c>
      <c r="R23" s="62">
        <v>12602</v>
      </c>
      <c r="S23" s="62">
        <f t="shared" si="1"/>
        <v>1422</v>
      </c>
      <c r="T23" s="241">
        <f t="shared" si="2"/>
        <v>0.12719141323792488</v>
      </c>
      <c r="U23" s="62">
        <v>12184</v>
      </c>
      <c r="V23" s="62">
        <f t="shared" si="36"/>
        <v>-418</v>
      </c>
      <c r="W23" s="241">
        <f t="shared" si="19"/>
        <v>-3.316933820028567E-2</v>
      </c>
      <c r="X23" s="166">
        <v>6057</v>
      </c>
      <c r="Y23" s="62">
        <f t="shared" ref="Y23:Y34" si="43">X23-U23</f>
        <v>-6127</v>
      </c>
      <c r="Z23" s="95">
        <f t="shared" ref="Z23:Z34" si="44">Y23/U23</f>
        <v>-0.50287261982928433</v>
      </c>
      <c r="AA23" s="202">
        <v>6528</v>
      </c>
      <c r="AB23" s="591">
        <f t="shared" si="4"/>
        <v>471</v>
      </c>
      <c r="AC23" s="592">
        <f t="shared" ref="AC23:AC34" si="45">AB23/X23</f>
        <v>7.7761267954432889E-2</v>
      </c>
      <c r="AD23" s="78">
        <v>3021</v>
      </c>
      <c r="AE23" s="78">
        <v>876</v>
      </c>
      <c r="AF23" s="62">
        <v>3298</v>
      </c>
      <c r="AG23" s="62">
        <f t="shared" si="20"/>
        <v>-3230</v>
      </c>
      <c r="AH23" s="241">
        <f t="shared" si="21"/>
        <v>-0.49479166666666669</v>
      </c>
      <c r="AI23" s="78">
        <v>3021</v>
      </c>
      <c r="AJ23" s="593">
        <v>3897</v>
      </c>
      <c r="AK23" s="136">
        <v>3181</v>
      </c>
      <c r="AM23" s="202">
        <f t="shared" si="22"/>
        <v>3181</v>
      </c>
      <c r="AN23" s="593">
        <v>9901</v>
      </c>
      <c r="AO23" s="593">
        <v>11195</v>
      </c>
      <c r="AP23" s="599">
        <v>651</v>
      </c>
      <c r="AQ23" s="599">
        <v>0</v>
      </c>
      <c r="AR23" s="78">
        <f t="shared" si="23"/>
        <v>651</v>
      </c>
      <c r="AS23" s="52">
        <f t="shared" si="24"/>
        <v>10133.850279999999</v>
      </c>
      <c r="AT23" s="78">
        <f t="shared" si="25"/>
        <v>6835.8502799999987</v>
      </c>
      <c r="AU23" s="262">
        <f t="shared" si="26"/>
        <v>2.0727259793814428</v>
      </c>
      <c r="AV23" s="78">
        <f t="shared" si="41"/>
        <v>6835.8502799999987</v>
      </c>
      <c r="AW23" s="262">
        <f t="shared" si="42"/>
        <v>2.0727259793814428</v>
      </c>
      <c r="AX23" s="62">
        <v>10003</v>
      </c>
      <c r="AY23" s="62">
        <f t="shared" si="27"/>
        <v>6705</v>
      </c>
      <c r="AZ23" s="241">
        <f t="shared" si="28"/>
        <v>2.0330503335354759</v>
      </c>
      <c r="BA23" s="624">
        <f>8752.81651+1350.28907</f>
        <v>10103.105580000001</v>
      </c>
      <c r="BB23" s="624">
        <f>8293.8759+1188.97438</f>
        <v>9482.8502799999987</v>
      </c>
      <c r="BC23" s="624">
        <f t="shared" si="29"/>
        <v>620.25530000000253</v>
      </c>
      <c r="BD23" s="31">
        <f t="shared" si="30"/>
        <v>6.1392538669283354E-2</v>
      </c>
      <c r="BE23" s="62">
        <v>8698</v>
      </c>
      <c r="BF23" s="62">
        <f t="shared" si="38"/>
        <v>-1305</v>
      </c>
      <c r="BG23" s="241">
        <f t="shared" si="39"/>
        <v>-0.13046086174147756</v>
      </c>
      <c r="BH23" s="78">
        <v>537</v>
      </c>
      <c r="BI23" s="78"/>
      <c r="BJ23" s="78"/>
      <c r="BK23" s="78">
        <v>158</v>
      </c>
      <c r="BL23" s="495">
        <f t="shared" si="31"/>
        <v>9393</v>
      </c>
      <c r="BM23" s="495">
        <f t="shared" si="32"/>
        <v>-740.85027999999875</v>
      </c>
      <c r="BN23" s="495">
        <v>8971</v>
      </c>
      <c r="BO23" s="39">
        <f t="shared" si="33"/>
        <v>273</v>
      </c>
      <c r="BP23" s="587">
        <f t="shared" si="8"/>
        <v>-7.3106495510608521E-2</v>
      </c>
      <c r="BQ23" s="99">
        <f t="shared" si="34"/>
        <v>3.1386525638077721E-2</v>
      </c>
      <c r="BR23" s="495">
        <v>673.83100000000002</v>
      </c>
      <c r="BU23" s="603">
        <v>111.73</v>
      </c>
      <c r="BV23" s="282">
        <f t="shared" si="40"/>
        <v>9756.5609999999997</v>
      </c>
      <c r="BW23" s="39">
        <f t="shared" si="35"/>
        <v>363.56099999999969</v>
      </c>
      <c r="BX23" s="51">
        <f t="shared" si="10"/>
        <v>3.8705525391248767E-2</v>
      </c>
    </row>
    <row r="24" spans="1:76" s="79" customFormat="1" ht="18" customHeight="1">
      <c r="A24" s="103" t="s">
        <v>212</v>
      </c>
      <c r="B24" s="327">
        <f>22289+156</f>
        <v>22445</v>
      </c>
      <c r="C24" s="327">
        <f>11264+9</f>
        <v>11273</v>
      </c>
      <c r="D24" s="327">
        <f t="shared" si="11"/>
        <v>-11172</v>
      </c>
      <c r="E24" s="356">
        <f t="shared" si="12"/>
        <v>-0.49775005569169078</v>
      </c>
      <c r="F24" s="590">
        <f>13896+2</f>
        <v>13898</v>
      </c>
      <c r="G24" s="590">
        <f t="shared" si="13"/>
        <v>2625</v>
      </c>
      <c r="H24" s="276">
        <f t="shared" si="14"/>
        <v>0.1888760972801842</v>
      </c>
      <c r="I24" s="590">
        <v>13435</v>
      </c>
      <c r="J24" s="590">
        <f t="shared" si="15"/>
        <v>-463</v>
      </c>
      <c r="K24" s="276">
        <f t="shared" si="16"/>
        <v>-3.3314145920276296E-2</v>
      </c>
      <c r="L24" s="62">
        <v>22987</v>
      </c>
      <c r="M24" s="62">
        <v>9552</v>
      </c>
      <c r="N24" s="241">
        <v>0.71097878675102344</v>
      </c>
      <c r="O24" s="62">
        <v>44470</v>
      </c>
      <c r="P24" s="62">
        <f t="shared" si="17"/>
        <v>21483</v>
      </c>
      <c r="Q24" s="241">
        <f t="shared" si="0"/>
        <v>0.93457171444729625</v>
      </c>
      <c r="R24" s="62">
        <v>46515</v>
      </c>
      <c r="S24" s="62">
        <f t="shared" si="1"/>
        <v>2045</v>
      </c>
      <c r="T24" s="241">
        <f t="shared" si="2"/>
        <v>4.5986058016640428E-2</v>
      </c>
      <c r="U24" s="62">
        <v>38140</v>
      </c>
      <c r="V24" s="62">
        <f t="shared" si="36"/>
        <v>-8375</v>
      </c>
      <c r="W24" s="241">
        <f t="shared" si="19"/>
        <v>-0.1800494464151349</v>
      </c>
      <c r="X24" s="166">
        <v>64060</v>
      </c>
      <c r="Y24" s="62">
        <f t="shared" si="43"/>
        <v>25920</v>
      </c>
      <c r="Z24" s="95">
        <f t="shared" si="44"/>
        <v>0.67960146827477719</v>
      </c>
      <c r="AA24" s="204">
        <v>56448</v>
      </c>
      <c r="AB24" s="591">
        <f t="shared" si="4"/>
        <v>-7612</v>
      </c>
      <c r="AC24" s="592">
        <f t="shared" si="45"/>
        <v>-0.11882610053075242</v>
      </c>
      <c r="AD24" s="78">
        <v>41027</v>
      </c>
      <c r="AE24" s="78">
        <v>2025</v>
      </c>
      <c r="AF24" s="62">
        <v>49553</v>
      </c>
      <c r="AG24" s="62">
        <f t="shared" si="20"/>
        <v>-6895</v>
      </c>
      <c r="AH24" s="241">
        <f t="shared" si="21"/>
        <v>-0.12214781746031746</v>
      </c>
      <c r="AI24" s="78">
        <v>41027</v>
      </c>
      <c r="AJ24" s="593">
        <v>43052</v>
      </c>
      <c r="AK24" s="136">
        <v>46111</v>
      </c>
      <c r="AL24" s="593"/>
      <c r="AM24" s="202">
        <f t="shared" si="22"/>
        <v>46111</v>
      </c>
      <c r="AN24" s="593">
        <v>34853</v>
      </c>
      <c r="AO24" s="593">
        <v>38168</v>
      </c>
      <c r="AP24" s="599">
        <v>8901</v>
      </c>
      <c r="AQ24" s="599">
        <v>1080</v>
      </c>
      <c r="AR24" s="78">
        <f t="shared" si="23"/>
        <v>9981</v>
      </c>
      <c r="AS24" s="52">
        <f t="shared" si="24"/>
        <v>48550.591870000004</v>
      </c>
      <c r="AT24" s="78">
        <f t="shared" si="25"/>
        <v>-1002.4081299999962</v>
      </c>
      <c r="AU24" s="262">
        <f t="shared" si="26"/>
        <v>-2.0229009948943479E-2</v>
      </c>
      <c r="AV24" s="78">
        <f t="shared" si="41"/>
        <v>-1002.4081299999962</v>
      </c>
      <c r="AW24" s="262">
        <f t="shared" si="42"/>
        <v>-2.0229009948943479E-2</v>
      </c>
      <c r="AX24" s="62">
        <f>33443</f>
        <v>33443</v>
      </c>
      <c r="AY24" s="62">
        <f t="shared" si="27"/>
        <v>-16110</v>
      </c>
      <c r="AZ24" s="241">
        <f t="shared" si="28"/>
        <v>-0.32510645167800134</v>
      </c>
      <c r="BA24" s="624">
        <f>30128.0875+9484.183</f>
        <v>39612.270499999999</v>
      </c>
      <c r="BB24" s="624">
        <f>29756.68794+8812.90393</f>
        <v>38569.591870000004</v>
      </c>
      <c r="BC24" s="624">
        <f t="shared" si="29"/>
        <v>1042.6786299999949</v>
      </c>
      <c r="BD24" s="31">
        <f t="shared" si="30"/>
        <v>2.6322112235399254E-2</v>
      </c>
      <c r="BE24" s="62">
        <f>34249+9040</f>
        <v>43289</v>
      </c>
      <c r="BF24" s="62">
        <f t="shared" si="38"/>
        <v>9846</v>
      </c>
      <c r="BG24" s="241">
        <f t="shared" si="39"/>
        <v>0.29441138653828902</v>
      </c>
      <c r="BH24" s="78">
        <v>12374</v>
      </c>
      <c r="BI24" s="78"/>
      <c r="BJ24" s="78"/>
      <c r="BK24" s="78"/>
      <c r="BL24" s="495">
        <f>BE24+BH24+BI24+BJ24+BK24</f>
        <v>55663</v>
      </c>
      <c r="BM24" s="495">
        <f t="shared" si="32"/>
        <v>7112.4081299999962</v>
      </c>
      <c r="BN24" s="495">
        <v>52142</v>
      </c>
      <c r="BO24" s="39">
        <f t="shared" si="33"/>
        <v>8853</v>
      </c>
      <c r="BP24" s="587">
        <f t="shared" si="8"/>
        <v>0.14649477701619615</v>
      </c>
      <c r="BQ24" s="99">
        <f t="shared" si="34"/>
        <v>0.204509228672411</v>
      </c>
      <c r="BR24" s="495">
        <v>10734.111999999999</v>
      </c>
      <c r="BU24" s="603">
        <v>209.56800000000001</v>
      </c>
      <c r="BV24" s="282">
        <f t="shared" si="40"/>
        <v>63085.68</v>
      </c>
      <c r="BW24" s="39">
        <f t="shared" si="35"/>
        <v>7422.68</v>
      </c>
      <c r="BX24" s="51">
        <f t="shared" si="10"/>
        <v>0.13335034044158597</v>
      </c>
    </row>
    <row r="25" spans="1:76" s="79" customFormat="1" ht="18" customHeight="1">
      <c r="A25" s="103" t="s">
        <v>413</v>
      </c>
      <c r="B25" s="327">
        <f>7163+2169</f>
        <v>9332</v>
      </c>
      <c r="C25" s="327">
        <f>12511+11032</f>
        <v>23543</v>
      </c>
      <c r="D25" s="327">
        <f t="shared" si="11"/>
        <v>14211</v>
      </c>
      <c r="E25" s="356">
        <f t="shared" si="12"/>
        <v>1.5228246892413202</v>
      </c>
      <c r="F25" s="590">
        <f>6747+7493</f>
        <v>14240</v>
      </c>
      <c r="G25" s="590">
        <f t="shared" si="13"/>
        <v>-9303</v>
      </c>
      <c r="H25" s="276">
        <f t="shared" si="14"/>
        <v>-0.65330056179775275</v>
      </c>
      <c r="I25" s="590">
        <f>6137+1244</f>
        <v>7381</v>
      </c>
      <c r="J25" s="590">
        <f t="shared" si="15"/>
        <v>-6859</v>
      </c>
      <c r="K25" s="276">
        <f t="shared" si="16"/>
        <v>-0.48167134831460673</v>
      </c>
      <c r="L25" s="62">
        <v>12840</v>
      </c>
      <c r="M25" s="62">
        <v>5459</v>
      </c>
      <c r="N25" s="241">
        <v>0.73960167998916138</v>
      </c>
      <c r="O25" s="62">
        <v>17768</v>
      </c>
      <c r="P25" s="62">
        <f t="shared" si="17"/>
        <v>4928</v>
      </c>
      <c r="Q25" s="241">
        <f t="shared" si="0"/>
        <v>0.38380062305295948</v>
      </c>
      <c r="R25" s="62">
        <v>15891</v>
      </c>
      <c r="S25" s="62">
        <f t="shared" si="1"/>
        <v>-1877</v>
      </c>
      <c r="T25" s="241">
        <f t="shared" si="2"/>
        <v>-0.10563935164340388</v>
      </c>
      <c r="U25" s="62">
        <v>26045</v>
      </c>
      <c r="V25" s="62">
        <f t="shared" si="36"/>
        <v>10154</v>
      </c>
      <c r="W25" s="241">
        <f t="shared" si="19"/>
        <v>0.6389780378830785</v>
      </c>
      <c r="X25" s="166">
        <v>21469</v>
      </c>
      <c r="Y25" s="62">
        <f t="shared" si="43"/>
        <v>-4576</v>
      </c>
      <c r="Z25" s="95">
        <f t="shared" si="44"/>
        <v>-0.17569591092340181</v>
      </c>
      <c r="AA25" s="202">
        <v>31122</v>
      </c>
      <c r="AB25" s="591">
        <f t="shared" si="4"/>
        <v>9653</v>
      </c>
      <c r="AC25" s="592">
        <f t="shared" si="45"/>
        <v>0.4496250407564395</v>
      </c>
      <c r="AD25" s="78">
        <v>21801</v>
      </c>
      <c r="AE25" s="78">
        <v>13407</v>
      </c>
      <c r="AF25" s="62">
        <v>29685</v>
      </c>
      <c r="AG25" s="62">
        <f t="shared" si="20"/>
        <v>-1437</v>
      </c>
      <c r="AH25" s="241">
        <f t="shared" si="21"/>
        <v>-4.6173125120493541E-2</v>
      </c>
      <c r="AI25" s="78">
        <f>21801-2197</f>
        <v>19604</v>
      </c>
      <c r="AJ25" s="593">
        <f>35208-2197</f>
        <v>33011</v>
      </c>
      <c r="AK25" s="136">
        <v>23697</v>
      </c>
      <c r="AM25" s="202">
        <f t="shared" si="22"/>
        <v>23697</v>
      </c>
      <c r="AN25" s="593">
        <v>12209</v>
      </c>
      <c r="AO25" s="593">
        <v>27295</v>
      </c>
      <c r="AP25" s="599">
        <v>7414</v>
      </c>
      <c r="AQ25" s="599">
        <v>601</v>
      </c>
      <c r="AR25" s="78">
        <f t="shared" si="23"/>
        <v>8015</v>
      </c>
      <c r="AS25" s="52">
        <f t="shared" si="24"/>
        <v>8015</v>
      </c>
      <c r="AT25" s="78">
        <f t="shared" si="25"/>
        <v>-21670</v>
      </c>
      <c r="AU25" s="262">
        <f t="shared" si="26"/>
        <v>-0.72999831564763351</v>
      </c>
      <c r="AV25" s="78">
        <f t="shared" si="41"/>
        <v>-21670</v>
      </c>
      <c r="AW25" s="262">
        <f t="shared" si="42"/>
        <v>-0.72999831564763351</v>
      </c>
      <c r="AX25" s="62">
        <f>23873</f>
        <v>23873</v>
      </c>
      <c r="AY25" s="62">
        <f t="shared" si="27"/>
        <v>-5812</v>
      </c>
      <c r="AZ25" s="241">
        <f t="shared" si="28"/>
        <v>-0.19578911908371233</v>
      </c>
      <c r="BA25" s="241"/>
      <c r="BB25" s="241"/>
      <c r="BC25" s="624">
        <f t="shared" si="29"/>
        <v>0</v>
      </c>
      <c r="BD25" s="31"/>
      <c r="BE25" s="653">
        <f>(205426+6506)-45839-9821</f>
        <v>156272</v>
      </c>
      <c r="BF25" s="62">
        <f t="shared" si="38"/>
        <v>132399</v>
      </c>
      <c r="BG25" s="241">
        <f t="shared" si="39"/>
        <v>5.5459724374816739</v>
      </c>
      <c r="BH25" s="78"/>
      <c r="BI25" s="78"/>
      <c r="BJ25" s="78"/>
      <c r="BK25" s="78">
        <v>376</v>
      </c>
      <c r="BL25" s="495">
        <f t="shared" si="31"/>
        <v>156648</v>
      </c>
      <c r="BM25" s="495">
        <f t="shared" si="32"/>
        <v>148633</v>
      </c>
      <c r="BN25" s="495">
        <f>251379-47782-9794</f>
        <v>193803</v>
      </c>
      <c r="BO25" s="39">
        <f t="shared" si="33"/>
        <v>37531</v>
      </c>
      <c r="BP25" s="587">
        <f t="shared" si="8"/>
        <v>18.54435433562071</v>
      </c>
      <c r="BQ25" s="99">
        <f t="shared" si="34"/>
        <v>0.24016458482645645</v>
      </c>
      <c r="BR25" s="495">
        <v>9462.5709999999999</v>
      </c>
      <c r="BU25" s="495"/>
      <c r="BV25" s="282">
        <f t="shared" si="40"/>
        <v>203265.571</v>
      </c>
      <c r="BW25" s="39">
        <f t="shared" si="35"/>
        <v>46617.570999999996</v>
      </c>
      <c r="BX25" s="51">
        <f t="shared" si="10"/>
        <v>0.29759442188856544</v>
      </c>
    </row>
    <row r="26" spans="1:76" s="79" customFormat="1" ht="18" customHeight="1">
      <c r="A26" s="53" t="s">
        <v>2</v>
      </c>
      <c r="B26" s="327">
        <v>677</v>
      </c>
      <c r="C26" s="327">
        <v>738</v>
      </c>
      <c r="D26" s="327">
        <f t="shared" si="11"/>
        <v>61</v>
      </c>
      <c r="E26" s="356">
        <f t="shared" si="12"/>
        <v>9.0103397341211228E-2</v>
      </c>
      <c r="F26" s="590">
        <v>676</v>
      </c>
      <c r="G26" s="590">
        <f t="shared" si="13"/>
        <v>-62</v>
      </c>
      <c r="H26" s="276">
        <f t="shared" si="14"/>
        <v>-9.1715976331360943E-2</v>
      </c>
      <c r="I26" s="590">
        <v>568</v>
      </c>
      <c r="J26" s="590">
        <f t="shared" si="15"/>
        <v>-108</v>
      </c>
      <c r="K26" s="276">
        <f t="shared" si="16"/>
        <v>-0.15976331360946747</v>
      </c>
      <c r="L26" s="62">
        <v>716</v>
      </c>
      <c r="M26" s="62">
        <v>148</v>
      </c>
      <c r="N26" s="241">
        <v>0.26056338028169013</v>
      </c>
      <c r="O26" s="62">
        <v>765</v>
      </c>
      <c r="P26" s="62">
        <f t="shared" si="17"/>
        <v>49</v>
      </c>
      <c r="Q26" s="241">
        <f t="shared" si="0"/>
        <v>6.8435754189944131E-2</v>
      </c>
      <c r="R26" s="62">
        <v>746</v>
      </c>
      <c r="S26" s="62">
        <f t="shared" si="1"/>
        <v>-19</v>
      </c>
      <c r="T26" s="241">
        <f t="shared" si="2"/>
        <v>-2.4836601307189541E-2</v>
      </c>
      <c r="U26" s="62">
        <v>776</v>
      </c>
      <c r="V26" s="62">
        <f t="shared" si="36"/>
        <v>30</v>
      </c>
      <c r="W26" s="241">
        <f t="shared" si="19"/>
        <v>4.0214477211796246E-2</v>
      </c>
      <c r="X26" s="166">
        <v>940</v>
      </c>
      <c r="Y26" s="62">
        <f t="shared" si="43"/>
        <v>164</v>
      </c>
      <c r="Z26" s="95">
        <f t="shared" si="44"/>
        <v>0.21134020618556701</v>
      </c>
      <c r="AA26" s="202">
        <v>972</v>
      </c>
      <c r="AB26" s="591">
        <f t="shared" si="4"/>
        <v>32</v>
      </c>
      <c r="AC26" s="592">
        <f t="shared" si="45"/>
        <v>3.4042553191489362E-2</v>
      </c>
      <c r="AD26" s="78">
        <v>1100</v>
      </c>
      <c r="AE26" s="78"/>
      <c r="AF26" s="62">
        <v>1032</v>
      </c>
      <c r="AG26" s="62">
        <f t="shared" si="20"/>
        <v>60</v>
      </c>
      <c r="AH26" s="241">
        <f t="shared" si="21"/>
        <v>6.1728395061728392E-2</v>
      </c>
      <c r="AI26" s="78">
        <v>1100</v>
      </c>
      <c r="AJ26" s="593">
        <v>1100</v>
      </c>
      <c r="AK26" s="136">
        <v>1135</v>
      </c>
      <c r="AM26" s="202">
        <f t="shared" si="22"/>
        <v>1135</v>
      </c>
      <c r="AN26" s="593">
        <v>840</v>
      </c>
      <c r="AO26" s="593">
        <v>840</v>
      </c>
      <c r="AP26" s="599">
        <v>273</v>
      </c>
      <c r="AQ26" s="599">
        <v>1</v>
      </c>
      <c r="AR26" s="78">
        <f t="shared" si="23"/>
        <v>274</v>
      </c>
      <c r="AS26" s="52">
        <f t="shared" si="24"/>
        <v>1038.7491199999999</v>
      </c>
      <c r="AT26" s="78">
        <f t="shared" si="25"/>
        <v>6.749119999999948</v>
      </c>
      <c r="AU26" s="262">
        <f t="shared" si="26"/>
        <v>6.5398449612402597E-3</v>
      </c>
      <c r="AV26" s="78">
        <f t="shared" si="41"/>
        <v>6.749119999999948</v>
      </c>
      <c r="AW26" s="262">
        <f t="shared" si="42"/>
        <v>6.5398449612402597E-3</v>
      </c>
      <c r="AX26" s="62">
        <v>774</v>
      </c>
      <c r="AY26" s="62">
        <f t="shared" si="27"/>
        <v>-258</v>
      </c>
      <c r="AZ26" s="241">
        <f t="shared" si="28"/>
        <v>-0.25</v>
      </c>
      <c r="BA26" s="624">
        <v>774.18453</v>
      </c>
      <c r="BB26" s="624">
        <v>764.74911999999995</v>
      </c>
      <c r="BC26" s="624">
        <f t="shared" si="29"/>
        <v>9.4354100000000471</v>
      </c>
      <c r="BD26" s="31">
        <f t="shared" si="30"/>
        <v>1.2187546553016303E-2</v>
      </c>
      <c r="BE26" s="62">
        <v>796</v>
      </c>
      <c r="BF26" s="62">
        <f t="shared" si="38"/>
        <v>22</v>
      </c>
      <c r="BG26" s="241">
        <f t="shared" si="39"/>
        <v>2.8423772609819122E-2</v>
      </c>
      <c r="BH26" s="78">
        <v>55</v>
      </c>
      <c r="BI26" s="78"/>
      <c r="BJ26" s="78"/>
      <c r="BK26" s="78">
        <v>9</v>
      </c>
      <c r="BL26" s="495">
        <f t="shared" si="31"/>
        <v>860</v>
      </c>
      <c r="BM26" s="495">
        <f t="shared" si="32"/>
        <v>-178.74911999999995</v>
      </c>
      <c r="BN26" s="495">
        <v>847</v>
      </c>
      <c r="BO26" s="39">
        <f t="shared" si="33"/>
        <v>51</v>
      </c>
      <c r="BP26" s="587">
        <f t="shared" si="8"/>
        <v>-0.17208112773178566</v>
      </c>
      <c r="BQ26" s="99">
        <f t="shared" si="34"/>
        <v>6.407035175879397E-2</v>
      </c>
      <c r="BR26" s="495">
        <v>68.522000000000006</v>
      </c>
      <c r="BU26" s="603">
        <v>13.986000000000001</v>
      </c>
      <c r="BV26" s="282">
        <f t="shared" si="40"/>
        <v>929.50800000000004</v>
      </c>
      <c r="BW26" s="39">
        <f t="shared" si="35"/>
        <v>69.508000000000038</v>
      </c>
      <c r="BX26" s="51">
        <f t="shared" si="10"/>
        <v>8.0823255813953526E-2</v>
      </c>
    </row>
    <row r="27" spans="1:76" s="79" customFormat="1" ht="18" customHeight="1">
      <c r="A27" s="53" t="s">
        <v>3</v>
      </c>
      <c r="B27" s="327">
        <f>3214+317</f>
        <v>3531</v>
      </c>
      <c r="C27" s="327">
        <v>3266</v>
      </c>
      <c r="D27" s="327">
        <f t="shared" si="11"/>
        <v>-265</v>
      </c>
      <c r="E27" s="356">
        <f t="shared" si="12"/>
        <v>-7.5049561030869447E-2</v>
      </c>
      <c r="F27" s="590">
        <v>3763</v>
      </c>
      <c r="G27" s="590">
        <f t="shared" si="13"/>
        <v>497</v>
      </c>
      <c r="H27" s="276">
        <f t="shared" si="14"/>
        <v>0.13207547169811321</v>
      </c>
      <c r="I27" s="590">
        <v>3444</v>
      </c>
      <c r="J27" s="590">
        <f t="shared" si="15"/>
        <v>-319</v>
      </c>
      <c r="K27" s="276">
        <f t="shared" si="16"/>
        <v>-8.4772787669412708E-2</v>
      </c>
      <c r="L27" s="62">
        <v>4447</v>
      </c>
      <c r="M27" s="62">
        <v>1003</v>
      </c>
      <c r="N27" s="241">
        <v>0.29123112659698025</v>
      </c>
      <c r="O27" s="62">
        <v>4325</v>
      </c>
      <c r="P27" s="62">
        <f t="shared" si="17"/>
        <v>-122</v>
      </c>
      <c r="Q27" s="241">
        <f t="shared" si="0"/>
        <v>-2.7434225320440746E-2</v>
      </c>
      <c r="R27" s="62">
        <v>4684</v>
      </c>
      <c r="S27" s="62">
        <f t="shared" si="1"/>
        <v>359</v>
      </c>
      <c r="T27" s="241">
        <f t="shared" si="2"/>
        <v>8.3005780346820809E-2</v>
      </c>
      <c r="U27" s="62">
        <v>5964</v>
      </c>
      <c r="V27" s="62">
        <f t="shared" si="36"/>
        <v>1280</v>
      </c>
      <c r="W27" s="241">
        <f t="shared" si="19"/>
        <v>0.27327070879590093</v>
      </c>
      <c r="X27" s="166">
        <v>5245</v>
      </c>
      <c r="Y27" s="62">
        <f t="shared" si="43"/>
        <v>-719</v>
      </c>
      <c r="Z27" s="95">
        <f t="shared" si="44"/>
        <v>-0.12055667337357479</v>
      </c>
      <c r="AA27" s="202">
        <v>5334</v>
      </c>
      <c r="AB27" s="591">
        <f t="shared" si="4"/>
        <v>89</v>
      </c>
      <c r="AC27" s="592">
        <f t="shared" si="45"/>
        <v>1.6968541468064823E-2</v>
      </c>
      <c r="AD27" s="78">
        <v>5193</v>
      </c>
      <c r="AE27" s="78">
        <v>333</v>
      </c>
      <c r="AF27" s="62">
        <v>4995</v>
      </c>
      <c r="AG27" s="62">
        <f t="shared" si="20"/>
        <v>-339</v>
      </c>
      <c r="AH27" s="241">
        <f t="shared" si="21"/>
        <v>-6.3554555680539929E-2</v>
      </c>
      <c r="AI27" s="78">
        <v>5193</v>
      </c>
      <c r="AJ27" s="593">
        <v>5193</v>
      </c>
      <c r="AK27" s="136">
        <v>5247</v>
      </c>
      <c r="AM27" s="202">
        <f t="shared" si="22"/>
        <v>5247</v>
      </c>
      <c r="AN27" s="593">
        <v>3968</v>
      </c>
      <c r="AO27" s="593">
        <v>3968</v>
      </c>
      <c r="AP27" s="599">
        <v>754</v>
      </c>
      <c r="AQ27" s="599">
        <v>75</v>
      </c>
      <c r="AR27" s="78">
        <f t="shared" si="23"/>
        <v>829</v>
      </c>
      <c r="AS27" s="52">
        <f t="shared" si="24"/>
        <v>5364.7534599999999</v>
      </c>
      <c r="AT27" s="78">
        <f t="shared" si="25"/>
        <v>369.7534599999999</v>
      </c>
      <c r="AU27" s="262">
        <f t="shared" si="26"/>
        <v>7.4024716716716704E-2</v>
      </c>
      <c r="AV27" s="78">
        <f t="shared" si="41"/>
        <v>369.7534599999999</v>
      </c>
      <c r="AW27" s="262">
        <f t="shared" si="42"/>
        <v>7.4024716716716704E-2</v>
      </c>
      <c r="AX27" s="62">
        <v>4085</v>
      </c>
      <c r="AY27" s="62">
        <f t="shared" si="27"/>
        <v>-910</v>
      </c>
      <c r="AZ27" s="241">
        <f t="shared" si="28"/>
        <v>-0.18218218218218218</v>
      </c>
      <c r="BA27" s="624">
        <v>4774.0706600000003</v>
      </c>
      <c r="BB27" s="624">
        <v>4535.7534599999999</v>
      </c>
      <c r="BC27" s="624">
        <f t="shared" si="29"/>
        <v>238.31720000000041</v>
      </c>
      <c r="BD27" s="31">
        <f t="shared" si="30"/>
        <v>4.9919076815675034E-2</v>
      </c>
      <c r="BE27" s="62">
        <v>4268</v>
      </c>
      <c r="BF27" s="62">
        <f t="shared" si="38"/>
        <v>183</v>
      </c>
      <c r="BG27" s="241">
        <f t="shared" si="39"/>
        <v>4.4798041615667077E-2</v>
      </c>
      <c r="BH27" s="78">
        <v>1104</v>
      </c>
      <c r="BI27" s="78"/>
      <c r="BJ27" s="78"/>
      <c r="BK27" s="78">
        <v>17</v>
      </c>
      <c r="BL27" s="495">
        <f>BE27+BH27+BI27+BJ27+BK27</f>
        <v>5389</v>
      </c>
      <c r="BM27" s="495">
        <f>BL27-AS27</f>
        <v>24.246540000000095</v>
      </c>
      <c r="BN27" s="495">
        <v>5836</v>
      </c>
      <c r="BO27" s="39">
        <f t="shared" si="33"/>
        <v>1568</v>
      </c>
      <c r="BP27" s="587">
        <f t="shared" si="8"/>
        <v>4.5196000488716016E-3</v>
      </c>
      <c r="BQ27" s="99">
        <f t="shared" si="34"/>
        <v>0.36738519212746018</v>
      </c>
      <c r="BR27" s="495">
        <v>965.19299999999998</v>
      </c>
      <c r="BU27" s="603">
        <v>17.212</v>
      </c>
      <c r="BV27" s="282">
        <f t="shared" si="40"/>
        <v>6818.4050000000007</v>
      </c>
      <c r="BW27" s="39">
        <f t="shared" si="35"/>
        <v>1429.4050000000007</v>
      </c>
      <c r="BX27" s="51">
        <f t="shared" si="10"/>
        <v>0.26524494340322891</v>
      </c>
    </row>
    <row r="28" spans="1:76" s="79" customFormat="1" ht="18" customHeight="1">
      <c r="A28" s="53" t="s">
        <v>4</v>
      </c>
      <c r="B28" s="327">
        <v>954</v>
      </c>
      <c r="C28" s="327">
        <v>1260</v>
      </c>
      <c r="D28" s="327">
        <f t="shared" si="11"/>
        <v>306</v>
      </c>
      <c r="E28" s="356">
        <f t="shared" si="12"/>
        <v>0.32075471698113206</v>
      </c>
      <c r="F28" s="590">
        <v>1290</v>
      </c>
      <c r="G28" s="590">
        <f t="shared" si="13"/>
        <v>30</v>
      </c>
      <c r="H28" s="276">
        <f t="shared" si="14"/>
        <v>2.3255813953488372E-2</v>
      </c>
      <c r="I28" s="590">
        <v>1245</v>
      </c>
      <c r="J28" s="590">
        <f t="shared" si="15"/>
        <v>-45</v>
      </c>
      <c r="K28" s="276">
        <f t="shared" si="16"/>
        <v>-3.4883720930232558E-2</v>
      </c>
      <c r="L28" s="62">
        <v>1279</v>
      </c>
      <c r="M28" s="62">
        <v>34</v>
      </c>
      <c r="N28" s="241">
        <v>2.7309236947791166E-2</v>
      </c>
      <c r="O28" s="62">
        <v>1292</v>
      </c>
      <c r="P28" s="62">
        <f t="shared" si="17"/>
        <v>13</v>
      </c>
      <c r="Q28" s="241">
        <f t="shared" si="0"/>
        <v>1.0164190774042221E-2</v>
      </c>
      <c r="R28" s="62">
        <v>1414</v>
      </c>
      <c r="S28" s="62">
        <f t="shared" si="1"/>
        <v>122</v>
      </c>
      <c r="T28" s="241">
        <f t="shared" si="2"/>
        <v>9.4427244582043338E-2</v>
      </c>
      <c r="U28" s="62">
        <v>1495</v>
      </c>
      <c r="V28" s="62">
        <f t="shared" si="36"/>
        <v>81</v>
      </c>
      <c r="W28" s="241">
        <f t="shared" si="19"/>
        <v>5.7284299858557285E-2</v>
      </c>
      <c r="X28" s="166">
        <v>1589</v>
      </c>
      <c r="Y28" s="62">
        <f t="shared" si="43"/>
        <v>94</v>
      </c>
      <c r="Z28" s="95">
        <f t="shared" si="44"/>
        <v>6.2876254180602012E-2</v>
      </c>
      <c r="AA28" s="202">
        <v>1721</v>
      </c>
      <c r="AB28" s="591">
        <f t="shared" si="4"/>
        <v>132</v>
      </c>
      <c r="AC28" s="592">
        <f t="shared" si="45"/>
        <v>8.3071113908118319E-2</v>
      </c>
      <c r="AD28" s="78">
        <v>1690</v>
      </c>
      <c r="AE28" s="78"/>
      <c r="AF28" s="62">
        <v>1636</v>
      </c>
      <c r="AG28" s="62">
        <f t="shared" si="20"/>
        <v>-85</v>
      </c>
      <c r="AH28" s="241">
        <f t="shared" si="21"/>
        <v>-4.9389889599070307E-2</v>
      </c>
      <c r="AI28" s="78">
        <v>1690</v>
      </c>
      <c r="AJ28" s="593">
        <v>1690</v>
      </c>
      <c r="AK28" s="136">
        <v>1702</v>
      </c>
      <c r="AM28" s="202">
        <f t="shared" si="22"/>
        <v>1702</v>
      </c>
      <c r="AN28" s="593">
        <v>1395</v>
      </c>
      <c r="AO28" s="593">
        <v>1395</v>
      </c>
      <c r="AP28" s="599">
        <v>168</v>
      </c>
      <c r="AQ28" s="599">
        <v>2</v>
      </c>
      <c r="AR28" s="78">
        <f t="shared" si="23"/>
        <v>170</v>
      </c>
      <c r="AS28" s="52">
        <f t="shared" si="24"/>
        <v>1543.7620399999998</v>
      </c>
      <c r="AT28" s="78">
        <f t="shared" si="25"/>
        <v>-92.237960000000157</v>
      </c>
      <c r="AU28" s="262">
        <f t="shared" si="26"/>
        <v>-5.6380171149144349E-2</v>
      </c>
      <c r="AV28" s="78">
        <f t="shared" si="41"/>
        <v>-92.237960000000157</v>
      </c>
      <c r="AW28" s="262">
        <f t="shared" si="42"/>
        <v>-5.6380171149144349E-2</v>
      </c>
      <c r="AX28" s="62">
        <v>1415</v>
      </c>
      <c r="AY28" s="62">
        <f t="shared" si="27"/>
        <v>-221</v>
      </c>
      <c r="AZ28" s="241">
        <f t="shared" si="28"/>
        <v>-0.13508557457212714</v>
      </c>
      <c r="BA28" s="624">
        <f>1324.97443+90</f>
        <v>1414.97443</v>
      </c>
      <c r="BB28" s="624">
        <f>1324.88693+48.87511</f>
        <v>1373.7620399999998</v>
      </c>
      <c r="BC28" s="624">
        <f t="shared" si="29"/>
        <v>41.212390000000141</v>
      </c>
      <c r="BD28" s="31">
        <f>BC28/BA28</f>
        <v>2.9125890281989152E-2</v>
      </c>
      <c r="BE28" s="62">
        <f>1313+94</f>
        <v>1407</v>
      </c>
      <c r="BF28" s="62">
        <f t="shared" si="38"/>
        <v>-8</v>
      </c>
      <c r="BG28" s="241">
        <f t="shared" si="39"/>
        <v>-5.6537102473498231E-3</v>
      </c>
      <c r="BH28" s="78">
        <v>157</v>
      </c>
      <c r="BI28" s="78"/>
      <c r="BJ28" s="78"/>
      <c r="BK28" s="78">
        <v>12</v>
      </c>
      <c r="BL28" s="495">
        <f t="shared" si="31"/>
        <v>1576</v>
      </c>
      <c r="BM28" s="495">
        <f t="shared" si="32"/>
        <v>32.237960000000157</v>
      </c>
      <c r="BN28" s="495">
        <v>1474</v>
      </c>
      <c r="BO28" s="39">
        <f t="shared" si="33"/>
        <v>67</v>
      </c>
      <c r="BP28" s="587">
        <f t="shared" si="8"/>
        <v>2.0882726200470741E-2</v>
      </c>
      <c r="BQ28" s="99">
        <f t="shared" si="34"/>
        <v>4.7619047619047616E-2</v>
      </c>
      <c r="BR28" s="495">
        <v>157.97800000000001</v>
      </c>
      <c r="BU28" s="495">
        <v>12.385999999999999</v>
      </c>
      <c r="BV28" s="282">
        <f t="shared" si="40"/>
        <v>1644.364</v>
      </c>
      <c r="BW28" s="39">
        <f t="shared" si="35"/>
        <v>68.364000000000033</v>
      </c>
      <c r="BX28" s="51">
        <f t="shared" si="10"/>
        <v>4.337817258883251E-2</v>
      </c>
    </row>
    <row r="29" spans="1:76" ht="18" customHeight="1">
      <c r="A29" s="53" t="s">
        <v>5</v>
      </c>
      <c r="B29" s="326">
        <v>494</v>
      </c>
      <c r="C29" s="326">
        <v>586</v>
      </c>
      <c r="D29" s="326">
        <f t="shared" si="11"/>
        <v>92</v>
      </c>
      <c r="E29" s="355">
        <f t="shared" si="12"/>
        <v>0.18623481781376519</v>
      </c>
      <c r="F29" s="10">
        <v>623</v>
      </c>
      <c r="G29" s="10">
        <f t="shared" si="13"/>
        <v>37</v>
      </c>
      <c r="H29" s="14">
        <f t="shared" si="14"/>
        <v>5.93900481540931E-2</v>
      </c>
      <c r="I29" s="10">
        <v>624</v>
      </c>
      <c r="J29" s="10">
        <f t="shared" si="15"/>
        <v>1</v>
      </c>
      <c r="K29" s="14">
        <f t="shared" si="16"/>
        <v>1.6051364365971107E-3</v>
      </c>
      <c r="L29" s="52">
        <v>653</v>
      </c>
      <c r="M29" s="52">
        <v>29</v>
      </c>
      <c r="N29" s="58">
        <v>4.6474358974358976E-2</v>
      </c>
      <c r="O29" s="52">
        <v>682</v>
      </c>
      <c r="P29" s="52">
        <f t="shared" si="17"/>
        <v>29</v>
      </c>
      <c r="Q29" s="58">
        <f t="shared" si="0"/>
        <v>4.44104134762634E-2</v>
      </c>
      <c r="R29" s="52">
        <v>767</v>
      </c>
      <c r="S29" s="52">
        <f t="shared" si="1"/>
        <v>85</v>
      </c>
      <c r="T29" s="58">
        <f t="shared" si="2"/>
        <v>0.12463343108504399</v>
      </c>
      <c r="U29" s="52">
        <v>807</v>
      </c>
      <c r="V29" s="52">
        <f t="shared" si="36"/>
        <v>40</v>
      </c>
      <c r="W29" s="58">
        <f t="shared" si="19"/>
        <v>5.215123859191656E-2</v>
      </c>
      <c r="X29" s="166">
        <v>922</v>
      </c>
      <c r="Y29" s="52">
        <f t="shared" si="43"/>
        <v>115</v>
      </c>
      <c r="Z29" s="95">
        <f t="shared" si="44"/>
        <v>0.14250309789343246</v>
      </c>
      <c r="AA29" s="202">
        <v>980</v>
      </c>
      <c r="AB29" s="172">
        <f t="shared" si="4"/>
        <v>58</v>
      </c>
      <c r="AC29" s="100">
        <f t="shared" si="45"/>
        <v>6.2906724511930592E-2</v>
      </c>
      <c r="AD29" s="65">
        <v>1004</v>
      </c>
      <c r="AE29" s="65"/>
      <c r="AF29" s="52">
        <v>1055</v>
      </c>
      <c r="AG29" s="52">
        <f t="shared" si="20"/>
        <v>75</v>
      </c>
      <c r="AH29" s="58">
        <f t="shared" si="21"/>
        <v>7.6530612244897961E-2</v>
      </c>
      <c r="AI29" s="65">
        <v>1004</v>
      </c>
      <c r="AJ29" s="220">
        <v>1004</v>
      </c>
      <c r="AK29" s="136">
        <v>971</v>
      </c>
      <c r="AM29" s="258">
        <f t="shared" si="22"/>
        <v>971</v>
      </c>
      <c r="AN29" s="220">
        <v>0</v>
      </c>
      <c r="AO29" s="220">
        <v>0</v>
      </c>
      <c r="AP29" s="65"/>
      <c r="AQ29" s="65"/>
      <c r="AR29" s="65">
        <f t="shared" si="23"/>
        <v>0</v>
      </c>
      <c r="AS29" s="52">
        <f t="shared" si="24"/>
        <v>733.01909999999998</v>
      </c>
      <c r="AT29" s="65">
        <f t="shared" si="25"/>
        <v>-321.98090000000002</v>
      </c>
      <c r="AU29" s="99">
        <f t="shared" si="26"/>
        <v>-0.30519516587677725</v>
      </c>
      <c r="AV29" s="65">
        <f t="shared" si="41"/>
        <v>-321.98090000000002</v>
      </c>
      <c r="AW29" s="99">
        <f t="shared" si="42"/>
        <v>-0.30519516587677725</v>
      </c>
      <c r="AX29" s="52">
        <v>869</v>
      </c>
      <c r="AY29" s="52">
        <f t="shared" si="27"/>
        <v>-186</v>
      </c>
      <c r="AZ29" s="58">
        <f t="shared" si="28"/>
        <v>-0.17630331753554501</v>
      </c>
      <c r="BA29" s="624">
        <v>828.75769000000003</v>
      </c>
      <c r="BB29" s="624">
        <v>733.01909999999998</v>
      </c>
      <c r="BC29" s="624">
        <f t="shared" si="29"/>
        <v>95.738590000000045</v>
      </c>
      <c r="BD29" s="31">
        <f t="shared" si="30"/>
        <v>0.11552060530503197</v>
      </c>
      <c r="BE29" s="52">
        <v>951</v>
      </c>
      <c r="BF29" s="52">
        <f t="shared" si="38"/>
        <v>82</v>
      </c>
      <c r="BG29" s="58">
        <f t="shared" si="39"/>
        <v>9.4361334867663987E-2</v>
      </c>
      <c r="BH29" s="65">
        <v>0</v>
      </c>
      <c r="BI29" s="65"/>
      <c r="BJ29" s="65"/>
      <c r="BK29" s="65">
        <v>8</v>
      </c>
      <c r="BL29" s="39">
        <f t="shared" si="31"/>
        <v>959</v>
      </c>
      <c r="BM29" s="39">
        <f t="shared" si="32"/>
        <v>225.98090000000002</v>
      </c>
      <c r="BN29" s="39">
        <v>971</v>
      </c>
      <c r="BO29" s="39">
        <f t="shared" si="33"/>
        <v>20</v>
      </c>
      <c r="BP29" s="51">
        <f t="shared" si="8"/>
        <v>0.30828787408131658</v>
      </c>
      <c r="BQ29" s="99">
        <f t="shared" si="34"/>
        <v>2.1030494216614092E-2</v>
      </c>
      <c r="BR29" s="39">
        <v>182.339</v>
      </c>
      <c r="BU29" s="603">
        <v>7.9039999999999999</v>
      </c>
      <c r="BV29" s="282">
        <f t="shared" si="40"/>
        <v>1161.2429999999999</v>
      </c>
      <c r="BW29" s="39">
        <f t="shared" si="35"/>
        <v>202.24299999999994</v>
      </c>
      <c r="BX29" s="51">
        <f t="shared" si="10"/>
        <v>0.21088946819603749</v>
      </c>
    </row>
    <row r="30" spans="1:76" ht="18" customHeight="1">
      <c r="A30" s="53" t="s">
        <v>6</v>
      </c>
      <c r="B30" s="326">
        <v>1339</v>
      </c>
      <c r="C30" s="326">
        <v>1400</v>
      </c>
      <c r="D30" s="326">
        <f t="shared" si="11"/>
        <v>61</v>
      </c>
      <c r="E30" s="355">
        <f t="shared" si="12"/>
        <v>4.5556385362210607E-2</v>
      </c>
      <c r="F30" s="10">
        <v>1485</v>
      </c>
      <c r="G30" s="10">
        <f t="shared" si="13"/>
        <v>85</v>
      </c>
      <c r="H30" s="14">
        <f t="shared" si="14"/>
        <v>5.7239057239057242E-2</v>
      </c>
      <c r="I30" s="10">
        <v>1439</v>
      </c>
      <c r="J30" s="10">
        <f t="shared" si="15"/>
        <v>-46</v>
      </c>
      <c r="K30" s="14">
        <f t="shared" si="16"/>
        <v>-3.0976430976430977E-2</v>
      </c>
      <c r="L30" s="52">
        <v>1446</v>
      </c>
      <c r="M30" s="52">
        <v>7</v>
      </c>
      <c r="N30" s="58">
        <v>4.864489228630994E-3</v>
      </c>
      <c r="O30" s="52">
        <v>1438</v>
      </c>
      <c r="P30" s="52">
        <f t="shared" si="17"/>
        <v>-8</v>
      </c>
      <c r="Q30" s="58">
        <f t="shared" si="0"/>
        <v>-5.5325034578146614E-3</v>
      </c>
      <c r="R30" s="52">
        <v>1578</v>
      </c>
      <c r="S30" s="52">
        <f t="shared" si="1"/>
        <v>140</v>
      </c>
      <c r="T30" s="58">
        <f t="shared" si="2"/>
        <v>9.7357440890125171E-2</v>
      </c>
      <c r="U30" s="52">
        <v>1652</v>
      </c>
      <c r="V30" s="52">
        <f t="shared" si="36"/>
        <v>74</v>
      </c>
      <c r="W30" s="58">
        <f t="shared" si="19"/>
        <v>4.6894803548795945E-2</v>
      </c>
      <c r="X30" s="166">
        <v>1775</v>
      </c>
      <c r="Y30" s="52">
        <f t="shared" si="43"/>
        <v>123</v>
      </c>
      <c r="Z30" s="95">
        <f t="shared" si="44"/>
        <v>7.4455205811138014E-2</v>
      </c>
      <c r="AA30" s="202">
        <v>1778</v>
      </c>
      <c r="AB30" s="172">
        <f t="shared" si="4"/>
        <v>3</v>
      </c>
      <c r="AC30" s="100">
        <f t="shared" si="45"/>
        <v>1.6901408450704226E-3</v>
      </c>
      <c r="AD30" s="65">
        <v>1798</v>
      </c>
      <c r="AE30" s="65"/>
      <c r="AF30" s="52">
        <v>1753</v>
      </c>
      <c r="AG30" s="52">
        <f t="shared" si="20"/>
        <v>-25</v>
      </c>
      <c r="AH30" s="58">
        <f t="shared" si="21"/>
        <v>-1.40607424071991E-2</v>
      </c>
      <c r="AI30" s="65">
        <v>1798</v>
      </c>
      <c r="AJ30" s="220">
        <v>1798</v>
      </c>
      <c r="AK30" s="136">
        <v>1970</v>
      </c>
      <c r="AM30" s="258">
        <f t="shared" si="22"/>
        <v>1970</v>
      </c>
      <c r="AN30" s="220">
        <v>0</v>
      </c>
      <c r="AO30" s="220">
        <v>0</v>
      </c>
      <c r="AP30" s="65"/>
      <c r="AQ30" s="65"/>
      <c r="AR30" s="65">
        <f t="shared" si="23"/>
        <v>0</v>
      </c>
      <c r="AS30" s="52">
        <f t="shared" si="24"/>
        <v>1115.5742499999999</v>
      </c>
      <c r="AT30" s="65">
        <f t="shared" si="25"/>
        <v>-637.42575000000011</v>
      </c>
      <c r="AU30" s="99">
        <f t="shared" si="26"/>
        <v>-0.3636199372504279</v>
      </c>
      <c r="AV30" s="65">
        <f t="shared" si="41"/>
        <v>-637.42575000000011</v>
      </c>
      <c r="AW30" s="99">
        <f t="shared" si="42"/>
        <v>-0.3636199372504279</v>
      </c>
      <c r="AX30" s="52">
        <v>1287</v>
      </c>
      <c r="AY30" s="52">
        <f t="shared" si="27"/>
        <v>-466</v>
      </c>
      <c r="AZ30" s="58">
        <f t="shared" si="28"/>
        <v>-0.26583000570450654</v>
      </c>
      <c r="BA30" s="624">
        <v>1212.4568400000001</v>
      </c>
      <c r="BB30" s="624">
        <v>1115.5742499999999</v>
      </c>
      <c r="BC30" s="624">
        <f t="shared" si="29"/>
        <v>96.882590000000164</v>
      </c>
      <c r="BD30" s="31">
        <f>BC30/BA30</f>
        <v>7.9906011334803601E-2</v>
      </c>
      <c r="BE30" s="52">
        <v>1360</v>
      </c>
      <c r="BF30" s="52">
        <f t="shared" si="38"/>
        <v>73</v>
      </c>
      <c r="BG30" s="58">
        <f t="shared" si="39"/>
        <v>5.672105672105672E-2</v>
      </c>
      <c r="BH30" s="65">
        <v>0</v>
      </c>
      <c r="BI30" s="65"/>
      <c r="BJ30" s="65"/>
      <c r="BK30" s="65">
        <v>18</v>
      </c>
      <c r="BL30" s="39">
        <f t="shared" si="31"/>
        <v>1378</v>
      </c>
      <c r="BM30" s="39">
        <f t="shared" si="32"/>
        <v>262.42575000000011</v>
      </c>
      <c r="BN30" s="39">
        <v>1383</v>
      </c>
      <c r="BO30" s="39">
        <f t="shared" si="33"/>
        <v>23</v>
      </c>
      <c r="BP30" s="51">
        <f t="shared" si="8"/>
        <v>0.23523826405996745</v>
      </c>
      <c r="BQ30" s="99">
        <f t="shared" si="34"/>
        <v>1.6911764705882352E-2</v>
      </c>
      <c r="BR30" s="39">
        <v>346.43299999999999</v>
      </c>
      <c r="BU30" s="603">
        <v>13.02</v>
      </c>
      <c r="BV30" s="282">
        <f t="shared" si="40"/>
        <v>1742.453</v>
      </c>
      <c r="BW30" s="39">
        <f t="shared" si="35"/>
        <v>364.45299999999997</v>
      </c>
      <c r="BX30" s="51">
        <f t="shared" si="10"/>
        <v>0.26447968069666183</v>
      </c>
    </row>
    <row r="31" spans="1:76" ht="18" customHeight="1">
      <c r="A31" s="53" t="s">
        <v>7</v>
      </c>
      <c r="B31" s="326">
        <v>367</v>
      </c>
      <c r="C31" s="326">
        <v>367</v>
      </c>
      <c r="D31" s="326">
        <f t="shared" si="11"/>
        <v>0</v>
      </c>
      <c r="E31" s="355">
        <f t="shared" si="12"/>
        <v>0</v>
      </c>
      <c r="F31" s="10">
        <v>367</v>
      </c>
      <c r="G31" s="10">
        <f t="shared" si="13"/>
        <v>0</v>
      </c>
      <c r="H31" s="14">
        <f t="shared" si="14"/>
        <v>0</v>
      </c>
      <c r="I31" s="10">
        <v>397</v>
      </c>
      <c r="J31" s="10">
        <f t="shared" si="15"/>
        <v>30</v>
      </c>
      <c r="K31" s="14">
        <f t="shared" si="16"/>
        <v>8.1743869209809264E-2</v>
      </c>
      <c r="L31" s="52">
        <v>422</v>
      </c>
      <c r="M31" s="52">
        <v>25</v>
      </c>
      <c r="N31" s="58">
        <v>6.2972292191435769E-2</v>
      </c>
      <c r="O31" s="52">
        <v>430</v>
      </c>
      <c r="P31" s="52">
        <f t="shared" si="17"/>
        <v>8</v>
      </c>
      <c r="Q31" s="58">
        <f t="shared" si="0"/>
        <v>1.8957345971563982E-2</v>
      </c>
      <c r="R31" s="52">
        <v>440</v>
      </c>
      <c r="S31" s="52">
        <f t="shared" si="1"/>
        <v>10</v>
      </c>
      <c r="T31" s="58">
        <f t="shared" si="2"/>
        <v>2.3255813953488372E-2</v>
      </c>
      <c r="U31" s="52">
        <v>421</v>
      </c>
      <c r="V31" s="52">
        <f t="shared" si="36"/>
        <v>-19</v>
      </c>
      <c r="W31" s="58">
        <f t="shared" si="19"/>
        <v>-4.3181818181818182E-2</v>
      </c>
      <c r="X31" s="166">
        <v>381</v>
      </c>
      <c r="Y31" s="52">
        <f t="shared" si="43"/>
        <v>-40</v>
      </c>
      <c r="Z31" s="95">
        <f t="shared" si="44"/>
        <v>-9.5011876484560567E-2</v>
      </c>
      <c r="AA31" s="202">
        <v>396</v>
      </c>
      <c r="AB31" s="172">
        <f t="shared" si="4"/>
        <v>15</v>
      </c>
      <c r="AC31" s="100">
        <f t="shared" si="45"/>
        <v>3.937007874015748E-2</v>
      </c>
      <c r="AD31" s="219">
        <v>396</v>
      </c>
      <c r="AE31" s="219"/>
      <c r="AF31" s="52">
        <v>396</v>
      </c>
      <c r="AG31" s="52">
        <f t="shared" si="20"/>
        <v>0</v>
      </c>
      <c r="AH31" s="58">
        <f t="shared" si="21"/>
        <v>0</v>
      </c>
      <c r="AI31" s="219">
        <v>396</v>
      </c>
      <c r="AJ31" s="220">
        <v>396</v>
      </c>
      <c r="AK31" s="136">
        <v>396</v>
      </c>
      <c r="AM31" s="258">
        <f t="shared" si="22"/>
        <v>396</v>
      </c>
      <c r="AN31" s="220">
        <v>396</v>
      </c>
      <c r="AO31" s="220">
        <v>396</v>
      </c>
      <c r="AP31" s="263">
        <v>0</v>
      </c>
      <c r="AQ31" s="263">
        <v>0</v>
      </c>
      <c r="AR31" s="65">
        <f t="shared" si="23"/>
        <v>0</v>
      </c>
      <c r="AS31" s="52">
        <f t="shared" si="24"/>
        <v>494.92874999999998</v>
      </c>
      <c r="AT31" s="65">
        <f t="shared" si="25"/>
        <v>98.92874999999998</v>
      </c>
      <c r="AU31" s="99">
        <f t="shared" si="26"/>
        <v>0.2498200757575757</v>
      </c>
      <c r="AV31" s="65">
        <f t="shared" si="41"/>
        <v>98.92874999999998</v>
      </c>
      <c r="AW31" s="99">
        <f t="shared" si="42"/>
        <v>0.2498200757575757</v>
      </c>
      <c r="AX31" s="52">
        <v>396</v>
      </c>
      <c r="AY31" s="52">
        <f t="shared" si="27"/>
        <v>0</v>
      </c>
      <c r="AZ31" s="58">
        <f t="shared" si="28"/>
        <v>0</v>
      </c>
      <c r="BA31" s="624">
        <v>494.92899999999997</v>
      </c>
      <c r="BB31" s="624">
        <v>494.92874999999998</v>
      </c>
      <c r="BC31" s="624">
        <f t="shared" si="29"/>
        <v>2.4999999999408828E-4</v>
      </c>
      <c r="BD31" s="31">
        <f t="shared" si="30"/>
        <v>5.0512295701825578E-7</v>
      </c>
      <c r="BE31" s="52">
        <v>396</v>
      </c>
      <c r="BF31" s="52">
        <f t="shared" si="38"/>
        <v>0</v>
      </c>
      <c r="BG31" s="58">
        <f t="shared" si="39"/>
        <v>0</v>
      </c>
      <c r="BH31" s="65"/>
      <c r="BI31" s="65"/>
      <c r="BJ31" s="65"/>
      <c r="BK31" s="65"/>
      <c r="BL31" s="39">
        <f t="shared" si="31"/>
        <v>396</v>
      </c>
      <c r="BM31" s="39">
        <f t="shared" si="32"/>
        <v>-98.92874999999998</v>
      </c>
      <c r="BN31" s="39">
        <v>408</v>
      </c>
      <c r="BO31" s="39">
        <f t="shared" si="33"/>
        <v>12</v>
      </c>
      <c r="BP31" s="51">
        <f t="shared" si="8"/>
        <v>-0.19988483190762305</v>
      </c>
      <c r="BQ31" s="99">
        <f t="shared" si="34"/>
        <v>3.0303030303030304E-2</v>
      </c>
      <c r="BU31" s="39"/>
      <c r="BV31" s="282">
        <f t="shared" si="40"/>
        <v>408</v>
      </c>
      <c r="BW31" s="39">
        <f t="shared" si="35"/>
        <v>12</v>
      </c>
      <c r="BX31" s="51">
        <f t="shared" si="10"/>
        <v>3.0303030303030304E-2</v>
      </c>
    </row>
    <row r="32" spans="1:76" s="79" customFormat="1" ht="18" customHeight="1">
      <c r="A32" s="53" t="s">
        <v>213</v>
      </c>
      <c r="B32" s="327">
        <f>35974+3927</f>
        <v>39901</v>
      </c>
      <c r="C32" s="327">
        <f>29277+2995</f>
        <v>32272</v>
      </c>
      <c r="D32" s="327">
        <f t="shared" si="11"/>
        <v>-7629</v>
      </c>
      <c r="E32" s="356">
        <f t="shared" si="12"/>
        <v>-0.19119821558356934</v>
      </c>
      <c r="F32" s="590">
        <f>40710+1246</f>
        <v>41956</v>
      </c>
      <c r="G32" s="590">
        <f t="shared" si="13"/>
        <v>9684</v>
      </c>
      <c r="H32" s="276">
        <f t="shared" si="14"/>
        <v>0.23081323291066833</v>
      </c>
      <c r="I32" s="590">
        <f>28360+2584</f>
        <v>30944</v>
      </c>
      <c r="J32" s="590">
        <f t="shared" si="15"/>
        <v>-11012</v>
      </c>
      <c r="K32" s="276">
        <f t="shared" si="16"/>
        <v>-0.26246543998474592</v>
      </c>
      <c r="L32" s="62">
        <v>33504</v>
      </c>
      <c r="M32" s="62">
        <v>2560</v>
      </c>
      <c r="N32" s="241">
        <v>8.2730093071354704E-2</v>
      </c>
      <c r="O32" s="62">
        <v>39845</v>
      </c>
      <c r="P32" s="62">
        <f t="shared" si="17"/>
        <v>6341</v>
      </c>
      <c r="Q32" s="241">
        <f t="shared" si="0"/>
        <v>0.18926098376313277</v>
      </c>
      <c r="R32" s="62">
        <v>45037</v>
      </c>
      <c r="S32" s="62">
        <f t="shared" si="1"/>
        <v>5192</v>
      </c>
      <c r="T32" s="241">
        <f t="shared" si="2"/>
        <v>0.13030493160998871</v>
      </c>
      <c r="U32" s="62">
        <v>58690</v>
      </c>
      <c r="V32" s="62">
        <f t="shared" si="36"/>
        <v>13653</v>
      </c>
      <c r="W32" s="241">
        <f t="shared" si="19"/>
        <v>0.30315074272265025</v>
      </c>
      <c r="X32" s="166">
        <v>65810</v>
      </c>
      <c r="Y32" s="62">
        <f t="shared" si="43"/>
        <v>7120</v>
      </c>
      <c r="Z32" s="95">
        <f t="shared" si="44"/>
        <v>0.12131538592605214</v>
      </c>
      <c r="AA32" s="202">
        <v>68492</v>
      </c>
      <c r="AB32" s="591">
        <f t="shared" si="4"/>
        <v>2682</v>
      </c>
      <c r="AC32" s="592">
        <f t="shared" si="45"/>
        <v>4.0753684850326696E-2</v>
      </c>
      <c r="AD32" s="78">
        <v>58303</v>
      </c>
      <c r="AE32" s="78">
        <v>6834</v>
      </c>
      <c r="AF32" s="62">
        <v>59852</v>
      </c>
      <c r="AG32" s="62">
        <f t="shared" si="20"/>
        <v>-8640</v>
      </c>
      <c r="AH32" s="241">
        <f t="shared" si="21"/>
        <v>-0.12614611925480348</v>
      </c>
      <c r="AI32" s="78">
        <f>58303-1456</f>
        <v>56847</v>
      </c>
      <c r="AJ32" s="593">
        <f>65137-1456</f>
        <v>63681</v>
      </c>
      <c r="AK32" s="136">
        <v>57749</v>
      </c>
      <c r="AL32" s="593">
        <v>1900</v>
      </c>
      <c r="AM32" s="202">
        <f t="shared" si="22"/>
        <v>59649</v>
      </c>
      <c r="AN32" s="593">
        <v>53365</v>
      </c>
      <c r="AO32" s="593">
        <v>62004</v>
      </c>
      <c r="AP32" s="599">
        <v>0</v>
      </c>
      <c r="AQ32" s="599">
        <v>195</v>
      </c>
      <c r="AR32" s="78">
        <f t="shared" si="23"/>
        <v>195</v>
      </c>
      <c r="AS32" s="52">
        <f t="shared" si="24"/>
        <v>54722.822670000001</v>
      </c>
      <c r="AT32" s="78">
        <f t="shared" si="25"/>
        <v>-5129.1773299999986</v>
      </c>
      <c r="AU32" s="262">
        <f t="shared" si="26"/>
        <v>-8.5697676435206815E-2</v>
      </c>
      <c r="AV32" s="78">
        <f t="shared" si="41"/>
        <v>-5129.1773299999986</v>
      </c>
      <c r="AW32" s="262">
        <f t="shared" si="42"/>
        <v>-8.5697676435206815E-2</v>
      </c>
      <c r="AX32" s="62">
        <v>58313</v>
      </c>
      <c r="AY32" s="62">
        <f t="shared" si="27"/>
        <v>-1539</v>
      </c>
      <c r="AZ32" s="241">
        <f t="shared" si="28"/>
        <v>-2.5713426451914722E-2</v>
      </c>
      <c r="BA32" s="624">
        <f>50219.61977+8093.30028</f>
        <v>58312.920050000001</v>
      </c>
      <c r="BB32" s="624">
        <f>48935.87803+5591.94464</f>
        <v>54527.822670000001</v>
      </c>
      <c r="BC32" s="624">
        <f t="shared" si="29"/>
        <v>3785.0973799999992</v>
      </c>
      <c r="BD32" s="31">
        <f t="shared" si="30"/>
        <v>6.491009842680652E-2</v>
      </c>
      <c r="BE32" s="62">
        <f>56661+1624</f>
        <v>58285</v>
      </c>
      <c r="BF32" s="62">
        <f t="shared" si="38"/>
        <v>-28</v>
      </c>
      <c r="BG32" s="241">
        <f t="shared" si="39"/>
        <v>-4.8016737262703002E-4</v>
      </c>
      <c r="BH32" s="78">
        <v>0</v>
      </c>
      <c r="BI32" s="78"/>
      <c r="BJ32" s="78"/>
      <c r="BK32" s="78"/>
      <c r="BL32" s="495">
        <f t="shared" si="31"/>
        <v>58285</v>
      </c>
      <c r="BM32" s="495">
        <f t="shared" si="32"/>
        <v>3562.1773299999986</v>
      </c>
      <c r="BN32" s="495">
        <v>59800</v>
      </c>
      <c r="BO32" s="39">
        <f t="shared" si="33"/>
        <v>1515</v>
      </c>
      <c r="BP32" s="587">
        <f t="shared" si="8"/>
        <v>6.5094912071354941E-2</v>
      </c>
      <c r="BQ32" s="99">
        <f t="shared" si="34"/>
        <v>2.599296560006863E-2</v>
      </c>
      <c r="BR32" s="495">
        <v>2455.9690000000001</v>
      </c>
      <c r="BU32" s="495">
        <v>265.298</v>
      </c>
      <c r="BV32" s="282">
        <f t="shared" si="40"/>
        <v>62521.267</v>
      </c>
      <c r="BW32" s="39">
        <f t="shared" si="35"/>
        <v>4236.2669999999998</v>
      </c>
      <c r="BX32" s="51">
        <f t="shared" si="10"/>
        <v>7.2681942180663969E-2</v>
      </c>
    </row>
    <row r="33" spans="1:76" s="53" customFormat="1" ht="18" customHeight="1">
      <c r="A33" s="53" t="s">
        <v>72</v>
      </c>
      <c r="B33" s="327">
        <f>7180+916</f>
        <v>8096</v>
      </c>
      <c r="C33" s="327">
        <f>10673+0</f>
        <v>10673</v>
      </c>
      <c r="D33" s="327">
        <f t="shared" si="11"/>
        <v>2577</v>
      </c>
      <c r="E33" s="356">
        <f t="shared" si="12"/>
        <v>0.31830533596837945</v>
      </c>
      <c r="F33" s="590">
        <v>10581</v>
      </c>
      <c r="G33" s="590">
        <f t="shared" si="13"/>
        <v>-92</v>
      </c>
      <c r="H33" s="276">
        <f t="shared" si="14"/>
        <v>-8.6948303562990274E-3</v>
      </c>
      <c r="I33" s="590">
        <v>9872</v>
      </c>
      <c r="J33" s="590">
        <f t="shared" si="15"/>
        <v>-709</v>
      </c>
      <c r="K33" s="276">
        <f t="shared" si="16"/>
        <v>-6.7006899158869676E-2</v>
      </c>
      <c r="L33" s="155">
        <v>8705</v>
      </c>
      <c r="M33" s="155">
        <v>-1167</v>
      </c>
      <c r="N33" s="602">
        <v>-0.1182131280388979</v>
      </c>
      <c r="O33" s="155">
        <v>9991</v>
      </c>
      <c r="P33" s="155">
        <f t="shared" si="17"/>
        <v>1286</v>
      </c>
      <c r="Q33" s="602">
        <f t="shared" si="0"/>
        <v>0.14773118897185525</v>
      </c>
      <c r="R33" s="155">
        <v>11279</v>
      </c>
      <c r="S33" s="155">
        <f t="shared" si="1"/>
        <v>1288</v>
      </c>
      <c r="T33" s="602">
        <f t="shared" si="2"/>
        <v>0.12891602442197977</v>
      </c>
      <c r="U33" s="155">
        <v>12365</v>
      </c>
      <c r="V33" s="155">
        <f t="shared" si="36"/>
        <v>1086</v>
      </c>
      <c r="W33" s="602">
        <f t="shared" si="19"/>
        <v>9.6285131660608203E-2</v>
      </c>
      <c r="X33" s="176">
        <v>14886</v>
      </c>
      <c r="Y33" s="62">
        <f t="shared" si="43"/>
        <v>2521</v>
      </c>
      <c r="Z33" s="95">
        <f t="shared" si="44"/>
        <v>0.20388192478770722</v>
      </c>
      <c r="AA33" s="205">
        <v>14858</v>
      </c>
      <c r="AB33" s="591">
        <f t="shared" si="4"/>
        <v>-28</v>
      </c>
      <c r="AC33" s="592">
        <f t="shared" si="45"/>
        <v>-1.8809619776971652E-3</v>
      </c>
      <c r="AD33" s="528">
        <v>15457</v>
      </c>
      <c r="AE33" s="528"/>
      <c r="AF33" s="62">
        <v>14880</v>
      </c>
      <c r="AG33" s="62">
        <f t="shared" si="20"/>
        <v>22</v>
      </c>
      <c r="AH33" s="241">
        <f t="shared" si="21"/>
        <v>1.4806838067034595E-3</v>
      </c>
      <c r="AI33" s="528">
        <v>15457</v>
      </c>
      <c r="AJ33" s="245">
        <v>15457</v>
      </c>
      <c r="AK33" s="136">
        <v>14331</v>
      </c>
      <c r="AM33" s="202">
        <f t="shared" si="22"/>
        <v>14331</v>
      </c>
      <c r="AN33" s="245">
        <v>13567</v>
      </c>
      <c r="AO33" s="245">
        <v>13567</v>
      </c>
      <c r="AP33" s="272">
        <v>593</v>
      </c>
      <c r="AQ33" s="272">
        <v>0</v>
      </c>
      <c r="AR33" s="78">
        <f t="shared" si="23"/>
        <v>593</v>
      </c>
      <c r="AS33" s="52">
        <f t="shared" si="24"/>
        <v>12993.86816</v>
      </c>
      <c r="AT33" s="78">
        <f t="shared" si="25"/>
        <v>-1886.13184</v>
      </c>
      <c r="AU33" s="262">
        <f t="shared" si="26"/>
        <v>-0.12675617204301076</v>
      </c>
      <c r="AV33" s="78">
        <f t="shared" si="41"/>
        <v>-1886.13184</v>
      </c>
      <c r="AW33" s="262">
        <f t="shared" si="42"/>
        <v>-0.12675617204301076</v>
      </c>
      <c r="AX33" s="155">
        <v>13329</v>
      </c>
      <c r="AY33" s="62">
        <f t="shared" si="27"/>
        <v>-1551</v>
      </c>
      <c r="AZ33" s="241">
        <f t="shared" si="28"/>
        <v>-0.10423387096774193</v>
      </c>
      <c r="BA33" s="624">
        <v>13328.57625</v>
      </c>
      <c r="BB33" s="624">
        <v>12400.86816</v>
      </c>
      <c r="BC33" s="624">
        <f t="shared" si="29"/>
        <v>927.70809000000008</v>
      </c>
      <c r="BD33" s="31">
        <f t="shared" si="30"/>
        <v>6.9602939773856204E-2</v>
      </c>
      <c r="BE33" s="155">
        <v>13048</v>
      </c>
      <c r="BF33" s="62">
        <f t="shared" si="38"/>
        <v>-281</v>
      </c>
      <c r="BG33" s="241">
        <f t="shared" si="39"/>
        <v>-2.1081851601770576E-2</v>
      </c>
      <c r="BH33" s="78">
        <v>1433</v>
      </c>
      <c r="BI33" s="78"/>
      <c r="BJ33" s="78"/>
      <c r="BK33" s="78">
        <v>4</v>
      </c>
      <c r="BL33" s="495">
        <f t="shared" si="31"/>
        <v>14485</v>
      </c>
      <c r="BM33" s="495">
        <f t="shared" si="32"/>
        <v>1491.13184</v>
      </c>
      <c r="BN33" s="495">
        <v>13308</v>
      </c>
      <c r="BO33" s="39">
        <f t="shared" si="33"/>
        <v>260</v>
      </c>
      <c r="BP33" s="587">
        <f t="shared" si="8"/>
        <v>0.11475657761329787</v>
      </c>
      <c r="BQ33" s="99">
        <f t="shared" si="34"/>
        <v>1.9926425505824647E-2</v>
      </c>
      <c r="BR33" s="656">
        <v>1827.691</v>
      </c>
      <c r="BU33" s="656">
        <v>4.1900000000000004</v>
      </c>
      <c r="BV33" s="282">
        <f t="shared" si="40"/>
        <v>15139.881000000001</v>
      </c>
      <c r="BW33" s="39">
        <f t="shared" si="35"/>
        <v>654.88100000000122</v>
      </c>
      <c r="BX33" s="51">
        <f t="shared" si="10"/>
        <v>4.5210976872626943E-2</v>
      </c>
    </row>
    <row r="34" spans="1:76" s="53" customFormat="1" ht="18" customHeight="1">
      <c r="A34" s="53" t="s">
        <v>73</v>
      </c>
      <c r="B34" s="327">
        <f>69179+8181</f>
        <v>77360</v>
      </c>
      <c r="C34" s="327">
        <f>76205+8260</f>
        <v>84465</v>
      </c>
      <c r="D34" s="327">
        <f t="shared" si="11"/>
        <v>7105</v>
      </c>
      <c r="E34" s="356">
        <f t="shared" si="12"/>
        <v>9.1843329886246119E-2</v>
      </c>
      <c r="F34" s="11">
        <f>72989+7552</f>
        <v>80541</v>
      </c>
      <c r="G34" s="590">
        <f t="shared" si="13"/>
        <v>-3924</v>
      </c>
      <c r="H34" s="276">
        <f t="shared" si="14"/>
        <v>-4.8720527433232762E-2</v>
      </c>
      <c r="I34" s="11">
        <f>74099+5822</f>
        <v>79921</v>
      </c>
      <c r="J34" s="590">
        <f t="shared" si="15"/>
        <v>-620</v>
      </c>
      <c r="K34" s="276">
        <f t="shared" si="16"/>
        <v>-7.697942662743199E-3</v>
      </c>
      <c r="L34" s="155">
        <v>85103</v>
      </c>
      <c r="M34" s="155">
        <v>5182</v>
      </c>
      <c r="N34" s="602">
        <v>6.4839028540683921E-2</v>
      </c>
      <c r="O34" s="155">
        <v>105381</v>
      </c>
      <c r="P34" s="155">
        <f t="shared" si="17"/>
        <v>20278</v>
      </c>
      <c r="Q34" s="602">
        <f t="shared" si="0"/>
        <v>0.23827597146986593</v>
      </c>
      <c r="R34" s="155">
        <v>119321</v>
      </c>
      <c r="S34" s="155">
        <f t="shared" si="1"/>
        <v>13940</v>
      </c>
      <c r="T34" s="602">
        <f t="shared" si="2"/>
        <v>0.13228191040130574</v>
      </c>
      <c r="U34" s="155">
        <v>133280</v>
      </c>
      <c r="V34" s="155">
        <f t="shared" si="36"/>
        <v>13959</v>
      </c>
      <c r="W34" s="155">
        <f t="shared" si="19"/>
        <v>0.11698695116534391</v>
      </c>
      <c r="X34" s="176">
        <v>130868</v>
      </c>
      <c r="Y34" s="62">
        <f t="shared" si="43"/>
        <v>-2412</v>
      </c>
      <c r="Z34" s="95">
        <f t="shared" si="44"/>
        <v>-1.8097238895558223E-2</v>
      </c>
      <c r="AA34" s="205">
        <v>153843</v>
      </c>
      <c r="AB34" s="591">
        <f t="shared" si="4"/>
        <v>22975</v>
      </c>
      <c r="AC34" s="592">
        <f t="shared" si="45"/>
        <v>0.17555857810923983</v>
      </c>
      <c r="AD34" s="528">
        <v>105866</v>
      </c>
      <c r="AE34" s="528">
        <v>37483</v>
      </c>
      <c r="AF34" s="62">
        <v>130367</v>
      </c>
      <c r="AG34" s="62">
        <f t="shared" si="20"/>
        <v>-23476</v>
      </c>
      <c r="AH34" s="241">
        <f t="shared" si="21"/>
        <v>-0.15259712824112895</v>
      </c>
      <c r="AI34" s="528">
        <v>105866</v>
      </c>
      <c r="AJ34" s="245">
        <v>143349</v>
      </c>
      <c r="AK34" s="136">
        <v>109217</v>
      </c>
      <c r="AL34" s="245"/>
      <c r="AM34" s="202">
        <f t="shared" si="22"/>
        <v>109217</v>
      </c>
      <c r="AN34" s="245">
        <v>87413</v>
      </c>
      <c r="AO34" s="245">
        <v>121453</v>
      </c>
      <c r="AP34" s="272">
        <v>14702</v>
      </c>
      <c r="AQ34" s="272">
        <v>0</v>
      </c>
      <c r="AR34" s="78">
        <f t="shared" si="23"/>
        <v>14702</v>
      </c>
      <c r="AS34" s="52">
        <f t="shared" si="24"/>
        <v>118809.95961000001</v>
      </c>
      <c r="AT34" s="78">
        <f t="shared" si="25"/>
        <v>-11557.040389999995</v>
      </c>
      <c r="AU34" s="262">
        <f t="shared" si="26"/>
        <v>-8.8650044796612593E-2</v>
      </c>
      <c r="AV34" s="78">
        <f t="shared" si="41"/>
        <v>-11557.040389999995</v>
      </c>
      <c r="AW34" s="262">
        <f t="shared" si="42"/>
        <v>-8.8650044796612593E-2</v>
      </c>
      <c r="AX34" s="155">
        <v>121617</v>
      </c>
      <c r="AY34" s="62">
        <f t="shared" si="27"/>
        <v>-8750</v>
      </c>
      <c r="AZ34" s="241">
        <f t="shared" si="28"/>
        <v>-6.7118212431060004E-2</v>
      </c>
      <c r="BA34" s="624">
        <f>87824.93902+16328.78</f>
        <v>104153.71902</v>
      </c>
      <c r="BB34" s="624">
        <f>87779.17961+16328.78</f>
        <v>104107.95961000001</v>
      </c>
      <c r="BC34" s="624">
        <f t="shared" si="29"/>
        <v>45.759409999998752</v>
      </c>
      <c r="BD34" s="31">
        <f t="shared" si="30"/>
        <v>4.3934494543792385E-4</v>
      </c>
      <c r="BE34" s="155">
        <f>94642+24932</f>
        <v>119574</v>
      </c>
      <c r="BF34" s="62">
        <f t="shared" si="38"/>
        <v>-2043</v>
      </c>
      <c r="BG34" s="241">
        <f t="shared" si="39"/>
        <v>-1.6798638348257233E-2</v>
      </c>
      <c r="BH34" s="78">
        <v>17211</v>
      </c>
      <c r="BI34" s="78"/>
      <c r="BJ34" s="78"/>
      <c r="BK34" s="78">
        <v>17</v>
      </c>
      <c r="BL34" s="495">
        <f>BE34+BH34+BI34+BJ34+BK34</f>
        <v>136802</v>
      </c>
      <c r="BM34" s="495">
        <f t="shared" si="32"/>
        <v>17992.040389999995</v>
      </c>
      <c r="BN34" s="495">
        <f>128292-2200</f>
        <v>126092</v>
      </c>
      <c r="BO34" s="39">
        <f t="shared" si="33"/>
        <v>6518</v>
      </c>
      <c r="BP34" s="587">
        <f t="shared" si="8"/>
        <v>0.15143545582424084</v>
      </c>
      <c r="BQ34" s="99">
        <f t="shared" si="34"/>
        <v>5.451017779784903E-2</v>
      </c>
      <c r="BR34" s="656">
        <v>19082.194</v>
      </c>
      <c r="BU34" s="544">
        <v>59.506</v>
      </c>
      <c r="BV34" s="282">
        <f t="shared" si="40"/>
        <v>145233.69999999998</v>
      </c>
      <c r="BW34" s="39">
        <f t="shared" si="35"/>
        <v>8431.6999999999825</v>
      </c>
      <c r="BX34" s="51">
        <f t="shared" si="10"/>
        <v>6.1634332831391227E-2</v>
      </c>
    </row>
    <row r="35" spans="1:76" s="63" customFormat="1" ht="18" customHeight="1">
      <c r="A35" s="103" t="s">
        <v>214</v>
      </c>
      <c r="B35" s="328" t="s">
        <v>78</v>
      </c>
      <c r="C35" s="328" t="s">
        <v>78</v>
      </c>
      <c r="D35" s="328" t="s">
        <v>78</v>
      </c>
      <c r="E35" s="328" t="s">
        <v>78</v>
      </c>
      <c r="F35" s="328" t="s">
        <v>78</v>
      </c>
      <c r="G35" s="328" t="s">
        <v>78</v>
      </c>
      <c r="H35" s="328" t="s">
        <v>78</v>
      </c>
      <c r="I35" s="329" t="s">
        <v>78</v>
      </c>
      <c r="J35" s="329" t="s">
        <v>78</v>
      </c>
      <c r="K35" s="329" t="s">
        <v>78</v>
      </c>
      <c r="L35" s="69"/>
      <c r="M35" s="69"/>
      <c r="N35" s="72"/>
      <c r="O35" s="69"/>
      <c r="P35" s="69"/>
      <c r="Q35" s="72"/>
      <c r="R35" s="69"/>
      <c r="S35" s="69"/>
      <c r="T35" s="72"/>
      <c r="U35" s="69"/>
      <c r="V35" s="69"/>
      <c r="W35" s="72"/>
      <c r="X35" s="176"/>
      <c r="Y35" s="69"/>
      <c r="Z35" s="96"/>
      <c r="AA35" s="205">
        <v>0</v>
      </c>
      <c r="AB35" s="173"/>
      <c r="AC35" s="131"/>
      <c r="AE35" s="63">
        <v>1000</v>
      </c>
      <c r="AF35" s="52"/>
      <c r="AG35" s="52">
        <f t="shared" si="20"/>
        <v>0</v>
      </c>
      <c r="AH35" s="58" t="e">
        <f t="shared" si="21"/>
        <v>#DIV/0!</v>
      </c>
      <c r="AI35" s="246">
        <v>1000</v>
      </c>
      <c r="AJ35" s="245">
        <v>1000</v>
      </c>
      <c r="AM35" s="258">
        <f t="shared" si="22"/>
        <v>0</v>
      </c>
      <c r="AN35" s="245">
        <v>1000</v>
      </c>
      <c r="AO35" s="245">
        <v>1000</v>
      </c>
      <c r="AP35" s="272">
        <v>0</v>
      </c>
      <c r="AQ35" s="272">
        <v>0</v>
      </c>
      <c r="AR35" s="65">
        <f t="shared" si="23"/>
        <v>0</v>
      </c>
      <c r="AS35" s="52">
        <f t="shared" si="24"/>
        <v>196.37821</v>
      </c>
      <c r="AT35" s="65">
        <f t="shared" si="25"/>
        <v>196.37821</v>
      </c>
      <c r="AU35" s="99" t="e">
        <f t="shared" si="26"/>
        <v>#DIV/0!</v>
      </c>
      <c r="AV35" s="65">
        <f t="shared" si="41"/>
        <v>196.37821</v>
      </c>
      <c r="AW35" s="99" t="e">
        <f t="shared" si="42"/>
        <v>#DIV/0!</v>
      </c>
      <c r="AX35" s="69">
        <v>3182</v>
      </c>
      <c r="AY35" s="52">
        <f t="shared" si="27"/>
        <v>3182</v>
      </c>
      <c r="AZ35" s="58" t="e">
        <f t="shared" si="28"/>
        <v>#DIV/0!</v>
      </c>
      <c r="BA35" s="624">
        <f>2500+682</f>
        <v>3182</v>
      </c>
      <c r="BB35" s="624">
        <v>196.37821</v>
      </c>
      <c r="BC35" s="624">
        <f t="shared" si="29"/>
        <v>2985.6217900000001</v>
      </c>
      <c r="BD35" s="31">
        <f t="shared" si="30"/>
        <v>0.93828466059082338</v>
      </c>
      <c r="BE35" s="69">
        <f>2584+598</f>
        <v>3182</v>
      </c>
      <c r="BF35" s="52">
        <f t="shared" si="38"/>
        <v>0</v>
      </c>
      <c r="BG35" s="58">
        <f t="shared" si="39"/>
        <v>0</v>
      </c>
      <c r="BH35" s="65"/>
      <c r="BI35" s="65"/>
      <c r="BJ35" s="65"/>
      <c r="BK35" s="65"/>
      <c r="BL35" s="39">
        <f t="shared" si="31"/>
        <v>3182</v>
      </c>
      <c r="BM35" s="39">
        <f t="shared" si="32"/>
        <v>2985.6217900000001</v>
      </c>
      <c r="BN35" s="39">
        <v>2496</v>
      </c>
      <c r="BO35" s="39">
        <f t="shared" si="33"/>
        <v>-686</v>
      </c>
      <c r="BP35" s="51">
        <f t="shared" si="8"/>
        <v>15.203427050282208</v>
      </c>
      <c r="BQ35" s="99">
        <f t="shared" si="34"/>
        <v>-0.21558768070395978</v>
      </c>
      <c r="BR35" s="40"/>
      <c r="BU35" s="40"/>
      <c r="BV35" s="282">
        <f t="shared" si="40"/>
        <v>2496</v>
      </c>
      <c r="BW35" s="39">
        <f t="shared" si="35"/>
        <v>-686</v>
      </c>
      <c r="BX35" s="51">
        <f t="shared" si="10"/>
        <v>-0.21558768070395978</v>
      </c>
    </row>
    <row r="36" spans="1:76" s="63" customFormat="1" ht="18" customHeight="1">
      <c r="A36" s="270" t="s">
        <v>358</v>
      </c>
      <c r="B36" s="328" t="s">
        <v>78</v>
      </c>
      <c r="C36" s="328" t="s">
        <v>78</v>
      </c>
      <c r="D36" s="328" t="s">
        <v>78</v>
      </c>
      <c r="E36" s="328" t="s">
        <v>78</v>
      </c>
      <c r="F36" s="329" t="s">
        <v>78</v>
      </c>
      <c r="G36" s="328" t="s">
        <v>78</v>
      </c>
      <c r="H36" s="328" t="s">
        <v>78</v>
      </c>
      <c r="I36" s="329" t="s">
        <v>78</v>
      </c>
      <c r="J36" s="329" t="s">
        <v>78</v>
      </c>
      <c r="K36" s="329" t="s">
        <v>78</v>
      </c>
      <c r="L36" s="69"/>
      <c r="M36" s="69"/>
      <c r="N36" s="72"/>
      <c r="O36" s="69"/>
      <c r="P36" s="69"/>
      <c r="Q36" s="72"/>
      <c r="R36" s="69"/>
      <c r="S36" s="69"/>
      <c r="T36" s="72"/>
      <c r="U36" s="69"/>
      <c r="V36" s="69"/>
      <c r="W36" s="72"/>
      <c r="X36" s="176"/>
      <c r="Y36" s="69"/>
      <c r="Z36" s="96"/>
      <c r="AA36" s="205"/>
      <c r="AB36" s="173"/>
      <c r="AC36" s="131"/>
      <c r="AF36" s="52"/>
      <c r="AG36" s="52"/>
      <c r="AH36" s="58"/>
      <c r="AI36" s="246"/>
      <c r="AJ36" s="245"/>
      <c r="AM36" s="258"/>
      <c r="AN36" s="245"/>
      <c r="AO36" s="245"/>
      <c r="AP36" s="272"/>
      <c r="AQ36" s="272"/>
      <c r="AR36" s="65">
        <f t="shared" si="23"/>
        <v>0</v>
      </c>
      <c r="AS36" s="52">
        <f t="shared" si="24"/>
        <v>123626.55533999999</v>
      </c>
      <c r="AT36" s="65">
        <f t="shared" si="25"/>
        <v>123626.55533999999</v>
      </c>
      <c r="AU36" s="99" t="e">
        <f t="shared" si="26"/>
        <v>#DIV/0!</v>
      </c>
      <c r="AV36" s="65"/>
      <c r="AW36" s="99"/>
      <c r="AX36" s="624"/>
      <c r="AY36" s="52">
        <f t="shared" si="27"/>
        <v>0</v>
      </c>
      <c r="AZ36" s="58" t="e">
        <f t="shared" si="28"/>
        <v>#DIV/0!</v>
      </c>
      <c r="BA36" s="624">
        <f>123657.12571+1565.217</f>
        <v>125222.34271</v>
      </c>
      <c r="BB36" s="624">
        <f>122657.12852+969.42682</f>
        <v>123626.55533999999</v>
      </c>
      <c r="BC36" s="624">
        <f t="shared" si="29"/>
        <v>1595.7873700000055</v>
      </c>
      <c r="BD36" s="31">
        <f t="shared" si="30"/>
        <v>1.2743631331795626E-2</v>
      </c>
      <c r="BE36" s="69"/>
      <c r="BF36" s="52">
        <f t="shared" si="38"/>
        <v>0</v>
      </c>
      <c r="BG36" s="58" t="e">
        <f t="shared" si="39"/>
        <v>#DIV/0!</v>
      </c>
      <c r="BH36" s="65"/>
      <c r="BI36" s="65"/>
      <c r="BJ36" s="65"/>
      <c r="BK36" s="65"/>
      <c r="BL36" s="39">
        <f t="shared" si="31"/>
        <v>0</v>
      </c>
      <c r="BM36" s="39">
        <f t="shared" si="32"/>
        <v>-123626.55533999999</v>
      </c>
      <c r="BN36" s="39"/>
      <c r="BO36" s="39">
        <f t="shared" si="33"/>
        <v>0</v>
      </c>
      <c r="BP36" s="51">
        <f t="shared" si="8"/>
        <v>-1</v>
      </c>
      <c r="BQ36" s="99" t="e">
        <f t="shared" si="34"/>
        <v>#DIV/0!</v>
      </c>
      <c r="BR36" s="40"/>
      <c r="BU36" s="40"/>
      <c r="BV36" s="282">
        <f t="shared" si="40"/>
        <v>0</v>
      </c>
      <c r="BW36" s="39">
        <f t="shared" si="35"/>
        <v>0</v>
      </c>
      <c r="BX36" s="51" t="e">
        <f t="shared" si="10"/>
        <v>#DIV/0!</v>
      </c>
    </row>
    <row r="37" spans="1:76" s="63" customFormat="1" ht="18" customHeight="1">
      <c r="A37" s="270" t="s">
        <v>416</v>
      </c>
      <c r="B37" s="328" t="s">
        <v>78</v>
      </c>
      <c r="C37" s="328" t="s">
        <v>78</v>
      </c>
      <c r="D37" s="328" t="s">
        <v>78</v>
      </c>
      <c r="E37" s="328" t="s">
        <v>78</v>
      </c>
      <c r="F37" s="329" t="s">
        <v>78</v>
      </c>
      <c r="G37" s="328" t="s">
        <v>78</v>
      </c>
      <c r="H37" s="328" t="s">
        <v>78</v>
      </c>
      <c r="I37" s="329" t="s">
        <v>78</v>
      </c>
      <c r="J37" s="329" t="s">
        <v>78</v>
      </c>
      <c r="K37" s="329" t="s">
        <v>78</v>
      </c>
      <c r="L37" s="69"/>
      <c r="M37" s="69"/>
      <c r="N37" s="72"/>
      <c r="O37" s="69"/>
      <c r="P37" s="69"/>
      <c r="Q37" s="72"/>
      <c r="R37" s="69"/>
      <c r="S37" s="69"/>
      <c r="T37" s="72"/>
      <c r="U37" s="69"/>
      <c r="V37" s="69"/>
      <c r="W37" s="72"/>
      <c r="X37" s="176"/>
      <c r="Y37" s="69"/>
      <c r="Z37" s="96"/>
      <c r="AA37" s="205"/>
      <c r="AB37" s="173"/>
      <c r="AC37" s="131"/>
      <c r="AF37" s="52"/>
      <c r="AG37" s="52">
        <f t="shared" si="20"/>
        <v>0</v>
      </c>
      <c r="AH37" s="58" t="e">
        <f t="shared" si="21"/>
        <v>#DIV/0!</v>
      </c>
      <c r="AI37" s="246"/>
      <c r="AJ37" s="245"/>
      <c r="AM37" s="258"/>
      <c r="AN37" s="245">
        <v>123860</v>
      </c>
      <c r="AO37" s="245">
        <v>124425</v>
      </c>
      <c r="AP37" s="272"/>
      <c r="AQ37" s="272"/>
      <c r="AR37" s="65">
        <f t="shared" si="23"/>
        <v>0</v>
      </c>
      <c r="AS37" s="52">
        <f t="shared" si="24"/>
        <v>2951</v>
      </c>
      <c r="AT37" s="65">
        <f t="shared" si="25"/>
        <v>2951</v>
      </c>
      <c r="AU37" s="99" t="e">
        <f t="shared" si="26"/>
        <v>#DIV/0!</v>
      </c>
      <c r="AV37" s="65"/>
      <c r="AW37" s="99"/>
      <c r="AX37" s="69">
        <v>2951</v>
      </c>
      <c r="AY37" s="52">
        <f t="shared" si="27"/>
        <v>2951</v>
      </c>
      <c r="AZ37" s="58" t="e">
        <f t="shared" si="28"/>
        <v>#DIV/0!</v>
      </c>
      <c r="BA37" s="624">
        <v>2951</v>
      </c>
      <c r="BB37" s="624">
        <v>2951</v>
      </c>
      <c r="BC37" s="624">
        <f t="shared" si="29"/>
        <v>0</v>
      </c>
      <c r="BD37" s="31">
        <f t="shared" si="30"/>
        <v>0</v>
      </c>
      <c r="BE37" s="155">
        <v>0</v>
      </c>
      <c r="BF37" s="52">
        <f t="shared" si="38"/>
        <v>-2951</v>
      </c>
      <c r="BG37" s="58">
        <f t="shared" si="39"/>
        <v>-1</v>
      </c>
      <c r="BH37" s="65"/>
      <c r="BI37" s="65"/>
      <c r="BJ37" s="65"/>
      <c r="BK37" s="65"/>
      <c r="BL37" s="39">
        <f t="shared" si="31"/>
        <v>0</v>
      </c>
      <c r="BM37" s="39">
        <f t="shared" si="32"/>
        <v>-2951</v>
      </c>
      <c r="BN37" s="39">
        <v>2951</v>
      </c>
      <c r="BO37" s="39">
        <f t="shared" si="33"/>
        <v>2951</v>
      </c>
      <c r="BP37" s="51">
        <f t="shared" si="8"/>
        <v>-1</v>
      </c>
      <c r="BQ37" s="99" t="e">
        <f t="shared" si="34"/>
        <v>#DIV/0!</v>
      </c>
      <c r="BR37" s="40"/>
      <c r="BU37" s="40"/>
      <c r="BV37" s="282">
        <f t="shared" si="40"/>
        <v>2951</v>
      </c>
      <c r="BW37" s="39">
        <f t="shared" si="35"/>
        <v>2951</v>
      </c>
      <c r="BX37" s="51" t="e">
        <f t="shared" si="10"/>
        <v>#DIV/0!</v>
      </c>
    </row>
    <row r="38" spans="1:76" s="73" customFormat="1" ht="18" customHeight="1">
      <c r="A38" s="345" t="s">
        <v>162</v>
      </c>
      <c r="B38" s="326" t="s">
        <v>78</v>
      </c>
      <c r="C38" s="328" t="s">
        <v>78</v>
      </c>
      <c r="D38" s="328" t="s">
        <v>78</v>
      </c>
      <c r="E38" s="328" t="s">
        <v>78</v>
      </c>
      <c r="F38" s="334" t="s">
        <v>78</v>
      </c>
      <c r="G38" s="328" t="s">
        <v>78</v>
      </c>
      <c r="H38" s="328" t="s">
        <v>78</v>
      </c>
      <c r="I38" s="329" t="s">
        <v>78</v>
      </c>
      <c r="J38" s="329" t="s">
        <v>78</v>
      </c>
      <c r="K38" s="329" t="s">
        <v>78</v>
      </c>
      <c r="L38" s="346"/>
      <c r="M38" s="346"/>
      <c r="N38" s="347"/>
      <c r="O38" s="346"/>
      <c r="P38" s="346"/>
      <c r="Q38" s="347"/>
      <c r="R38" s="346"/>
      <c r="S38" s="346"/>
      <c r="T38" s="347"/>
      <c r="U38" s="346"/>
      <c r="V38" s="346"/>
      <c r="W38" s="347"/>
      <c r="X38" s="348">
        <v>10000</v>
      </c>
      <c r="Y38" s="346">
        <f>X38-U38</f>
        <v>10000</v>
      </c>
      <c r="Z38" s="349" t="s">
        <v>78</v>
      </c>
      <c r="AA38" s="350"/>
      <c r="AB38" s="351">
        <f>AA38-X38</f>
        <v>-10000</v>
      </c>
      <c r="AC38" s="352">
        <f>AB38/X38</f>
        <v>-1</v>
      </c>
      <c r="AF38" s="346"/>
      <c r="AG38" s="52">
        <f>AF38-AA38</f>
        <v>0</v>
      </c>
      <c r="AH38" s="58" t="e">
        <f>AG38/AA38</f>
        <v>#DIV/0!</v>
      </c>
      <c r="AJ38" s="73">
        <v>0</v>
      </c>
      <c r="AM38" s="267">
        <f>+AL38+AK38</f>
        <v>0</v>
      </c>
      <c r="AP38" s="541"/>
      <c r="AQ38" s="541"/>
      <c r="AR38" s="65">
        <f t="shared" si="23"/>
        <v>0</v>
      </c>
      <c r="AS38" s="52">
        <f t="shared" si="24"/>
        <v>0</v>
      </c>
      <c r="AT38" s="65">
        <f t="shared" si="25"/>
        <v>0</v>
      </c>
      <c r="AU38" s="99" t="e">
        <f t="shared" si="26"/>
        <v>#DIV/0!</v>
      </c>
      <c r="AV38" s="268"/>
      <c r="AW38" s="269"/>
      <c r="AX38" s="346"/>
      <c r="AY38" s="52">
        <f t="shared" si="27"/>
        <v>0</v>
      </c>
      <c r="AZ38" s="58" t="e">
        <f t="shared" si="28"/>
        <v>#DIV/0!</v>
      </c>
      <c r="BA38" s="58"/>
      <c r="BB38" s="58"/>
      <c r="BC38" s="624">
        <f t="shared" si="29"/>
        <v>0</v>
      </c>
      <c r="BD38" s="31"/>
      <c r="BE38" s="346"/>
      <c r="BF38" s="52">
        <f t="shared" si="38"/>
        <v>0</v>
      </c>
      <c r="BG38" s="58" t="e">
        <f t="shared" si="39"/>
        <v>#DIV/0!</v>
      </c>
      <c r="BH38" s="65"/>
      <c r="BI38" s="65"/>
      <c r="BJ38" s="65"/>
      <c r="BK38" s="65"/>
      <c r="BL38" s="39">
        <f t="shared" si="31"/>
        <v>0</v>
      </c>
      <c r="BM38" s="39">
        <f t="shared" si="32"/>
        <v>0</v>
      </c>
      <c r="BN38" s="39"/>
      <c r="BO38" s="39">
        <f t="shared" si="33"/>
        <v>0</v>
      </c>
      <c r="BP38" s="51" t="e">
        <f t="shared" si="8"/>
        <v>#DIV/0!</v>
      </c>
      <c r="BQ38" s="99" t="e">
        <f t="shared" si="34"/>
        <v>#DIV/0!</v>
      </c>
      <c r="BR38" s="657"/>
      <c r="BU38" s="657"/>
      <c r="BV38" s="282">
        <f t="shared" si="40"/>
        <v>0</v>
      </c>
      <c r="BW38" s="39">
        <f t="shared" si="35"/>
        <v>0</v>
      </c>
      <c r="BX38" s="51" t="e">
        <f t="shared" si="10"/>
        <v>#DIV/0!</v>
      </c>
    </row>
    <row r="39" spans="1:76" s="73" customFormat="1" ht="18" customHeight="1">
      <c r="A39" s="626" t="s">
        <v>418</v>
      </c>
      <c r="B39" s="326"/>
      <c r="C39" s="328"/>
      <c r="D39" s="328"/>
      <c r="E39" s="328"/>
      <c r="F39" s="334"/>
      <c r="G39" s="328"/>
      <c r="H39" s="328"/>
      <c r="I39" s="329"/>
      <c r="J39" s="329"/>
      <c r="K39" s="329"/>
      <c r="L39" s="346"/>
      <c r="M39" s="346"/>
      <c r="N39" s="347"/>
      <c r="O39" s="346"/>
      <c r="P39" s="346"/>
      <c r="Q39" s="347"/>
      <c r="R39" s="346"/>
      <c r="S39" s="346"/>
      <c r="T39" s="347"/>
      <c r="U39" s="346"/>
      <c r="V39" s="346"/>
      <c r="W39" s="347"/>
      <c r="X39" s="348"/>
      <c r="Y39" s="346"/>
      <c r="Z39" s="349"/>
      <c r="AA39" s="350"/>
      <c r="AB39" s="351"/>
      <c r="AC39" s="352"/>
      <c r="AF39" s="346"/>
      <c r="AG39" s="52"/>
      <c r="AH39" s="58"/>
      <c r="AM39" s="267"/>
      <c r="AP39" s="541"/>
      <c r="AQ39" s="541"/>
      <c r="AR39" s="65"/>
      <c r="AS39" s="52">
        <f t="shared" si="24"/>
        <v>19599.482800000002</v>
      </c>
      <c r="AT39" s="65"/>
      <c r="AU39" s="99"/>
      <c r="AV39" s="268"/>
      <c r="AW39" s="269"/>
      <c r="AX39" s="346"/>
      <c r="AY39" s="52"/>
      <c r="AZ39" s="58"/>
      <c r="BA39" s="625">
        <f>7735.05771+13533.70123</f>
        <v>21268.75894</v>
      </c>
      <c r="BB39" s="625">
        <f>7136.02603+12463.45677</f>
        <v>19599.482800000002</v>
      </c>
      <c r="BC39" s="624">
        <f t="shared" si="29"/>
        <v>1669.2761399999981</v>
      </c>
      <c r="BD39" s="31">
        <f t="shared" si="30"/>
        <v>7.8484886904266082E-2</v>
      </c>
      <c r="BE39" s="346"/>
      <c r="BF39" s="52"/>
      <c r="BG39" s="58"/>
      <c r="BH39" s="65"/>
      <c r="BI39" s="65"/>
      <c r="BJ39" s="65"/>
      <c r="BK39" s="65"/>
      <c r="BL39" s="39"/>
      <c r="BM39" s="39"/>
      <c r="BN39" s="39"/>
      <c r="BO39" s="39">
        <f t="shared" si="33"/>
        <v>0</v>
      </c>
      <c r="BP39" s="51"/>
      <c r="BQ39" s="99" t="e">
        <f t="shared" si="34"/>
        <v>#DIV/0!</v>
      </c>
      <c r="BR39" s="657"/>
      <c r="BU39" s="657">
        <v>717.851</v>
      </c>
      <c r="BV39" s="282">
        <f t="shared" si="40"/>
        <v>717.851</v>
      </c>
      <c r="BW39" s="39">
        <f t="shared" si="35"/>
        <v>717.851</v>
      </c>
      <c r="BX39" s="51" t="e">
        <f t="shared" si="10"/>
        <v>#DIV/0!</v>
      </c>
    </row>
    <row r="40" spans="1:76" s="54" customFormat="1" ht="18" customHeight="1" thickBot="1">
      <c r="A40" s="256" t="s">
        <v>445</v>
      </c>
      <c r="B40" s="332" t="s">
        <v>78</v>
      </c>
      <c r="C40" s="332" t="s">
        <v>78</v>
      </c>
      <c r="D40" s="332" t="s">
        <v>78</v>
      </c>
      <c r="E40" s="332" t="s">
        <v>78</v>
      </c>
      <c r="F40" s="333" t="s">
        <v>78</v>
      </c>
      <c r="G40" s="333" t="s">
        <v>78</v>
      </c>
      <c r="H40" s="333" t="s">
        <v>78</v>
      </c>
      <c r="I40" s="332" t="s">
        <v>78</v>
      </c>
      <c r="J40" s="333" t="s">
        <v>78</v>
      </c>
      <c r="K40" s="333" t="s">
        <v>78</v>
      </c>
      <c r="N40" s="55"/>
      <c r="X40" s="177"/>
      <c r="Y40" s="161"/>
      <c r="Z40" s="126"/>
      <c r="AA40" s="206"/>
      <c r="AB40" s="75"/>
      <c r="AC40" s="128"/>
      <c r="AF40" s="75"/>
      <c r="AG40" s="75"/>
      <c r="AP40" s="94"/>
      <c r="AQ40" s="94"/>
      <c r="AR40" s="94"/>
      <c r="AS40" s="52">
        <f t="shared" si="24"/>
        <v>0</v>
      </c>
      <c r="AT40" s="94">
        <f t="shared" si="25"/>
        <v>0</v>
      </c>
      <c r="AU40" s="99" t="e">
        <f t="shared" si="26"/>
        <v>#DIV/0!</v>
      </c>
      <c r="AX40" s="75">
        <v>263</v>
      </c>
      <c r="AY40" s="75">
        <f t="shared" si="27"/>
        <v>263</v>
      </c>
      <c r="AZ40" s="77" t="e">
        <f t="shared" si="28"/>
        <v>#DIV/0!</v>
      </c>
      <c r="BA40" s="624">
        <v>0</v>
      </c>
      <c r="BB40" s="624">
        <v>0</v>
      </c>
      <c r="BC40" s="624">
        <f t="shared" si="29"/>
        <v>0</v>
      </c>
      <c r="BD40" s="31"/>
      <c r="BE40" s="75">
        <v>350</v>
      </c>
      <c r="BF40" s="75">
        <f>BE40-AX40</f>
        <v>87</v>
      </c>
      <c r="BG40" s="77">
        <f>BF40/AX40</f>
        <v>0.33079847908745247</v>
      </c>
      <c r="BH40" s="94"/>
      <c r="BI40" s="94"/>
      <c r="BJ40" s="94"/>
      <c r="BK40" s="94"/>
      <c r="BL40" s="102">
        <f t="shared" si="31"/>
        <v>350</v>
      </c>
      <c r="BM40" s="102">
        <f>BL40-AS40</f>
        <v>350</v>
      </c>
      <c r="BN40" s="39">
        <v>835</v>
      </c>
      <c r="BO40" s="39">
        <f t="shared" si="33"/>
        <v>485</v>
      </c>
      <c r="BP40" s="55" t="e">
        <f>BM40/AS40</f>
        <v>#DIV/0!</v>
      </c>
      <c r="BQ40" s="99">
        <f t="shared" si="34"/>
        <v>1.3857142857142857</v>
      </c>
      <c r="BR40" s="102"/>
      <c r="BU40" s="102"/>
      <c r="BV40" s="282">
        <f t="shared" si="40"/>
        <v>835</v>
      </c>
      <c r="BW40" s="39">
        <f t="shared" si="35"/>
        <v>485</v>
      </c>
      <c r="BX40" s="51">
        <f t="shared" si="10"/>
        <v>1.3857142857142857</v>
      </c>
    </row>
    <row r="41" spans="1:76" s="20" customFormat="1" ht="18" customHeight="1">
      <c r="A41" s="85" t="s">
        <v>55</v>
      </c>
      <c r="B41" s="136">
        <f>SUM(B8:B40)</f>
        <v>204710</v>
      </c>
      <c r="C41" s="136">
        <f>SUM(C8:C40)</f>
        <v>220083</v>
      </c>
      <c r="D41" s="136">
        <f>C41-B41</f>
        <v>15373</v>
      </c>
      <c r="E41" s="360">
        <f t="shared" si="12"/>
        <v>7.5096477944409171E-2</v>
      </c>
      <c r="F41" s="136">
        <f>SUM(F7:F40)</f>
        <v>234498</v>
      </c>
      <c r="G41" s="10">
        <f t="shared" si="13"/>
        <v>14415</v>
      </c>
      <c r="H41" s="14">
        <f t="shared" si="14"/>
        <v>6.1471739631041626E-2</v>
      </c>
      <c r="I41" s="136">
        <f>SUM(I7:I40)</f>
        <v>206864</v>
      </c>
      <c r="J41" s="136">
        <f>I41-F41</f>
        <v>-27634</v>
      </c>
      <c r="K41" s="266">
        <f>(I41-F41)/F41</f>
        <v>-0.11784322254347585</v>
      </c>
      <c r="L41" s="136">
        <f>SUM(L7:L40)</f>
        <v>231364</v>
      </c>
      <c r="M41" s="136">
        <v>21501</v>
      </c>
      <c r="N41" s="137">
        <v>0.10245255237940942</v>
      </c>
      <c r="O41" s="136">
        <f>SUM(O8:O40)</f>
        <v>282412</v>
      </c>
      <c r="P41" s="136">
        <f>O41-L41</f>
        <v>51048</v>
      </c>
      <c r="Q41" s="137">
        <f>P41/L41</f>
        <v>0.220639338877267</v>
      </c>
      <c r="R41" s="136">
        <f>SUM(R7:R40)</f>
        <v>333607</v>
      </c>
      <c r="S41" s="136">
        <f t="shared" si="1"/>
        <v>51195</v>
      </c>
      <c r="T41" s="137">
        <f>S41/O41</f>
        <v>0.18127770774612978</v>
      </c>
      <c r="U41" s="136">
        <f>SUM(U7:U40)</f>
        <v>366258</v>
      </c>
      <c r="V41" s="136">
        <f t="shared" ref="V41" si="46">SUM(V7:V34)</f>
        <v>32651</v>
      </c>
      <c r="W41" s="226">
        <f>V41/R41</f>
        <v>9.7872646557176562E-2</v>
      </c>
      <c r="X41" s="182">
        <f>SUM(X7:X40)</f>
        <v>382069</v>
      </c>
      <c r="Y41" s="136">
        <f>X41-U41</f>
        <v>15811</v>
      </c>
      <c r="Z41" s="98">
        <f>Y41/U41</f>
        <v>4.3169022929191989E-2</v>
      </c>
      <c r="AA41" s="136">
        <f>SUM(AA7:AA40)</f>
        <v>405846</v>
      </c>
      <c r="AB41" s="171">
        <f>AA41-X41</f>
        <v>23777</v>
      </c>
      <c r="AC41" s="140">
        <f>AB41/X41</f>
        <v>6.2232214599980629E-2</v>
      </c>
      <c r="AD41" s="136">
        <f>SUM(AD7:AD38)</f>
        <v>311154</v>
      </c>
      <c r="AE41" s="136">
        <f>SUM(AE7:AE38)</f>
        <v>62775</v>
      </c>
      <c r="AF41" s="136">
        <f>SUM(AF7:AF40)</f>
        <v>349066</v>
      </c>
      <c r="AG41" s="52">
        <f>AF41-AA41</f>
        <v>-56780</v>
      </c>
      <c r="AH41" s="58">
        <f>AG41/AA41</f>
        <v>-0.13990528427038829</v>
      </c>
      <c r="AI41" s="136">
        <f>SUM(AI7:AI38)</f>
        <v>306863</v>
      </c>
      <c r="AJ41" s="136">
        <f>SUM(AJ7:AJ38)</f>
        <v>368305</v>
      </c>
      <c r="AK41" s="136">
        <f>SUM(AK7:AK38)</f>
        <v>321065</v>
      </c>
      <c r="AM41" s="258">
        <f t="shared" si="22"/>
        <v>321065</v>
      </c>
      <c r="AN41" s="20">
        <f t="shared" ref="AN41:AQ41" si="47">SUM(AN7:AN38)</f>
        <v>413423</v>
      </c>
      <c r="AO41" s="20">
        <f t="shared" si="47"/>
        <v>477608</v>
      </c>
      <c r="AP41" s="139">
        <f t="shared" si="47"/>
        <v>34814</v>
      </c>
      <c r="AQ41" s="139">
        <f t="shared" si="47"/>
        <v>2383</v>
      </c>
      <c r="AR41" s="139">
        <f>SUM(AR7:AR40)</f>
        <v>37197</v>
      </c>
      <c r="AS41" s="549">
        <f>BB41+AR41</f>
        <v>476840.01740999997</v>
      </c>
      <c r="AT41" s="65">
        <f t="shared" si="25"/>
        <v>127774.01740999997</v>
      </c>
      <c r="AU41" s="550">
        <f t="shared" si="26"/>
        <v>0.36604543957303193</v>
      </c>
      <c r="AV41" s="65">
        <f>+AS41-AF41</f>
        <v>127774.01740999997</v>
      </c>
      <c r="AW41" s="99">
        <f>+AV41/AF41</f>
        <v>0.36604543957303193</v>
      </c>
      <c r="AX41" s="136">
        <f>SUM(AX7:AX40)</f>
        <v>343042</v>
      </c>
      <c r="AY41" s="52">
        <f>AX41-AF41</f>
        <v>-6024</v>
      </c>
      <c r="AZ41" s="58">
        <f t="shared" si="28"/>
        <v>-1.7257481393203579E-2</v>
      </c>
      <c r="BA41" s="58"/>
      <c r="BB41" s="65">
        <f>SUM(BB7:BB40)</f>
        <v>439643.01740999997</v>
      </c>
      <c r="BC41" s="58"/>
      <c r="BD41" s="58"/>
      <c r="BE41" s="136">
        <f>SUM(BE7:BE40)</f>
        <v>480445</v>
      </c>
      <c r="BF41" s="52">
        <f>BE41-AX41</f>
        <v>137403</v>
      </c>
      <c r="BG41" s="58">
        <f>BF41/AX41</f>
        <v>0.40054279067869242</v>
      </c>
      <c r="BH41" s="65">
        <f>SUM(BH7:BH40)</f>
        <v>33938</v>
      </c>
      <c r="BI41" s="65"/>
      <c r="BJ41" s="65"/>
      <c r="BK41" s="65">
        <f>SUM(BK7:BK40)</f>
        <v>1047</v>
      </c>
      <c r="BL41" s="39">
        <f t="shared" si="31"/>
        <v>515430</v>
      </c>
      <c r="BM41" s="39">
        <f>BL41-AS41</f>
        <v>38589.982590000029</v>
      </c>
      <c r="BN41" s="30">
        <f>SUM(BN7:BN40)</f>
        <v>541241</v>
      </c>
      <c r="BO41" s="39">
        <f t="shared" si="33"/>
        <v>60796</v>
      </c>
      <c r="BP41" s="51">
        <f>BM41/AS41</f>
        <v>8.0928573905363566E-2</v>
      </c>
      <c r="BQ41" s="99">
        <f t="shared" si="34"/>
        <v>0.12654101926339123</v>
      </c>
      <c r="BR41" s="138">
        <f>SUM(BR7:BR40)</f>
        <v>47905.705000000002</v>
      </c>
      <c r="BU41" s="138">
        <f>SUM(BU7:BU40)</f>
        <v>2251.38</v>
      </c>
      <c r="BV41" s="668">
        <f t="shared" si="40"/>
        <v>591398.08499999996</v>
      </c>
      <c r="BW41" s="645">
        <f t="shared" si="35"/>
        <v>75968.084999999963</v>
      </c>
      <c r="BX41" s="551">
        <f t="shared" si="10"/>
        <v>0.14738778301612238</v>
      </c>
    </row>
    <row r="42" spans="1:76" s="20" customFormat="1" ht="18" customHeight="1">
      <c r="A42" s="85"/>
      <c r="E42" s="266"/>
      <c r="H42" s="266"/>
      <c r="K42" s="266"/>
      <c r="L42" s="136"/>
      <c r="M42" s="136"/>
      <c r="N42" s="137"/>
      <c r="O42" s="136"/>
      <c r="P42" s="136"/>
      <c r="Q42" s="137"/>
      <c r="R42" s="136"/>
      <c r="S42" s="136"/>
      <c r="T42" s="137"/>
      <c r="U42" s="136"/>
      <c r="V42" s="136"/>
      <c r="W42" s="226"/>
      <c r="X42" s="182"/>
      <c r="Y42" s="136"/>
      <c r="Z42" s="98"/>
      <c r="AA42" s="136"/>
      <c r="AB42" s="171"/>
      <c r="AC42" s="140"/>
      <c r="AD42" s="136"/>
      <c r="AE42" s="136"/>
      <c r="AF42" s="136"/>
      <c r="AG42" s="52"/>
      <c r="AH42" s="58"/>
      <c r="AI42" s="136"/>
      <c r="AJ42" s="136"/>
      <c r="AK42" s="136"/>
      <c r="AM42" s="258"/>
      <c r="AT42" s="65"/>
      <c r="AU42" s="99"/>
      <c r="AV42" s="65"/>
      <c r="AW42" s="99"/>
      <c r="AX42" s="136"/>
      <c r="AY42" s="52"/>
      <c r="AZ42" s="58"/>
      <c r="BA42" s="58"/>
      <c r="BB42" s="58"/>
      <c r="BC42" s="58"/>
      <c r="BD42" s="58"/>
      <c r="BE42" s="136"/>
      <c r="BF42" s="52"/>
      <c r="BG42" s="58"/>
      <c r="BH42" s="65"/>
      <c r="BI42" s="65"/>
      <c r="BJ42" s="65"/>
      <c r="BK42" s="65"/>
      <c r="BL42" s="39"/>
      <c r="BM42" s="39"/>
      <c r="BN42" s="39"/>
      <c r="BO42" s="39">
        <f t="shared" si="33"/>
        <v>0</v>
      </c>
      <c r="BP42" s="51"/>
      <c r="BQ42" s="99" t="e">
        <f t="shared" si="34"/>
        <v>#DIV/0!</v>
      </c>
      <c r="BR42" s="138"/>
      <c r="BV42" s="282">
        <f t="shared" si="40"/>
        <v>0</v>
      </c>
      <c r="BW42" s="39">
        <f t="shared" si="35"/>
        <v>0</v>
      </c>
      <c r="BX42" s="51" t="e">
        <f t="shared" si="10"/>
        <v>#DIV/0!</v>
      </c>
    </row>
    <row r="43" spans="1:76" s="20" customFormat="1" ht="18" customHeight="1">
      <c r="A43" s="85"/>
      <c r="E43" s="266"/>
      <c r="H43" s="266"/>
      <c r="K43" s="266"/>
      <c r="L43" s="136"/>
      <c r="M43" s="136"/>
      <c r="N43" s="137"/>
      <c r="O43" s="136"/>
      <c r="P43" s="136"/>
      <c r="Q43" s="137"/>
      <c r="R43" s="136"/>
      <c r="S43" s="136"/>
      <c r="T43" s="137"/>
      <c r="U43" s="136"/>
      <c r="V43" s="136"/>
      <c r="W43" s="226"/>
      <c r="X43" s="182"/>
      <c r="Y43" s="136"/>
      <c r="Z43" s="98"/>
      <c r="AA43" s="136"/>
      <c r="AB43" s="171"/>
      <c r="AC43" s="140"/>
      <c r="AD43" s="136"/>
      <c r="AE43" s="136"/>
      <c r="AF43" s="136"/>
      <c r="AG43" s="52"/>
      <c r="AH43" s="58"/>
      <c r="AI43" s="136"/>
      <c r="AJ43" s="136"/>
      <c r="AK43" s="136"/>
      <c r="AM43" s="258"/>
      <c r="AT43" s="65"/>
      <c r="AU43" s="99"/>
      <c r="AV43" s="65">
        <f>AS43-AF41</f>
        <v>-349066</v>
      </c>
      <c r="AW43" s="99">
        <f>AV43/AF41</f>
        <v>-1</v>
      </c>
      <c r="AX43" s="136"/>
      <c r="AY43" s="52"/>
      <c r="AZ43" s="58"/>
      <c r="BA43" s="58"/>
      <c r="BB43" s="58"/>
      <c r="BC43" s="58"/>
      <c r="BD43" s="58"/>
      <c r="BE43" s="136"/>
      <c r="BF43" s="282"/>
      <c r="BG43" s="58"/>
      <c r="BH43" s="65"/>
      <c r="BI43" s="65"/>
      <c r="BJ43" s="65"/>
      <c r="BK43" s="65"/>
      <c r="BL43" s="39"/>
      <c r="BM43" s="39"/>
      <c r="BN43" s="39"/>
      <c r="BO43" s="39">
        <f t="shared" si="33"/>
        <v>0</v>
      </c>
      <c r="BP43" s="51"/>
      <c r="BQ43" s="99" t="e">
        <f t="shared" si="34"/>
        <v>#DIV/0!</v>
      </c>
      <c r="BR43" s="138"/>
      <c r="BV43" s="282">
        <f t="shared" si="40"/>
        <v>0</v>
      </c>
      <c r="BW43" s="39">
        <f t="shared" si="35"/>
        <v>0</v>
      </c>
      <c r="BX43" s="51" t="e">
        <f t="shared" si="10"/>
        <v>#DIV/0!</v>
      </c>
    </row>
    <row r="44" spans="1:76" s="13" customFormat="1" ht="18" customHeight="1">
      <c r="A44" s="85" t="s">
        <v>442</v>
      </c>
      <c r="E44" s="15"/>
      <c r="H44" s="15"/>
      <c r="K44" s="15"/>
      <c r="L44" s="12"/>
      <c r="M44" s="12"/>
      <c r="N44" s="36"/>
      <c r="O44" s="12"/>
      <c r="P44" s="12"/>
      <c r="Q44" s="36"/>
      <c r="R44" s="12"/>
      <c r="S44" s="12"/>
      <c r="T44" s="36"/>
      <c r="U44" s="12"/>
      <c r="V44" s="12"/>
      <c r="W44" s="12"/>
      <c r="X44" s="178"/>
      <c r="Y44" s="12"/>
      <c r="Z44" s="98"/>
      <c r="AA44" s="136"/>
      <c r="AB44" s="165"/>
      <c r="AC44" s="97"/>
      <c r="AF44" s="12"/>
      <c r="AG44" s="12"/>
      <c r="AX44" s="12"/>
      <c r="AY44" s="52"/>
      <c r="AZ44" s="58"/>
      <c r="BA44" s="58"/>
      <c r="BB44" s="58"/>
      <c r="BC44" s="58"/>
      <c r="BD44" s="58"/>
      <c r="BE44" s="12"/>
      <c r="BF44" s="52"/>
      <c r="BG44" s="58"/>
      <c r="BH44" s="65"/>
      <c r="BI44" s="65"/>
      <c r="BJ44" s="65"/>
      <c r="BK44" s="65"/>
      <c r="BL44" s="39"/>
      <c r="BM44" s="39"/>
      <c r="BN44" s="39"/>
      <c r="BO44" s="39">
        <f t="shared" si="33"/>
        <v>0</v>
      </c>
      <c r="BP44" s="51"/>
      <c r="BQ44" s="99" t="e">
        <f t="shared" si="34"/>
        <v>#DIV/0!</v>
      </c>
      <c r="BR44" s="30"/>
      <c r="BV44" s="282">
        <f t="shared" si="40"/>
        <v>0</v>
      </c>
      <c r="BW44" s="39">
        <f t="shared" si="35"/>
        <v>0</v>
      </c>
      <c r="BX44" s="51" t="e">
        <f t="shared" si="10"/>
        <v>#DIV/0!</v>
      </c>
    </row>
    <row r="45" spans="1:76" s="13" customFormat="1" ht="18" customHeight="1">
      <c r="A45" s="73" t="s">
        <v>158</v>
      </c>
      <c r="E45" s="15"/>
      <c r="H45" s="15"/>
      <c r="K45" s="15"/>
      <c r="L45" s="12"/>
      <c r="M45" s="12"/>
      <c r="N45" s="36"/>
      <c r="O45" s="12"/>
      <c r="P45" s="12"/>
      <c r="Q45" s="36"/>
      <c r="R45" s="12"/>
      <c r="S45" s="12"/>
      <c r="T45" s="36"/>
      <c r="U45" s="12"/>
      <c r="V45" s="12"/>
      <c r="W45" s="12"/>
      <c r="X45" s="178"/>
      <c r="Y45" s="12"/>
      <c r="Z45" s="98"/>
      <c r="AA45" s="136"/>
      <c r="AB45" s="165"/>
      <c r="AC45" s="97"/>
      <c r="AF45" s="12"/>
      <c r="AG45" s="12"/>
      <c r="AX45" s="12"/>
      <c r="AY45" s="52"/>
      <c r="AZ45" s="58"/>
      <c r="BA45" s="58"/>
      <c r="BB45" s="58"/>
      <c r="BC45" s="58"/>
      <c r="BD45" s="58"/>
      <c r="BE45" s="12"/>
      <c r="BF45" s="52"/>
      <c r="BG45" s="58"/>
      <c r="BH45" s="65"/>
      <c r="BI45" s="65"/>
      <c r="BJ45" s="65"/>
      <c r="BK45" s="65"/>
      <c r="BL45" s="39"/>
      <c r="BM45" s="39"/>
      <c r="BN45" s="39"/>
      <c r="BO45" s="39">
        <f t="shared" si="33"/>
        <v>0</v>
      </c>
      <c r="BP45" s="51"/>
      <c r="BQ45" s="99" t="e">
        <f t="shared" si="34"/>
        <v>#DIV/0!</v>
      </c>
      <c r="BR45" s="30"/>
      <c r="BV45" s="282">
        <f t="shared" si="40"/>
        <v>0</v>
      </c>
      <c r="BW45" s="39">
        <f t="shared" si="35"/>
        <v>0</v>
      </c>
      <c r="BX45" s="51" t="e">
        <f t="shared" si="10"/>
        <v>#DIV/0!</v>
      </c>
    </row>
    <row r="46" spans="1:76" s="13" customFormat="1" ht="18" customHeight="1">
      <c r="A46" s="73" t="s">
        <v>159</v>
      </c>
      <c r="E46" s="15"/>
      <c r="H46" s="15"/>
      <c r="K46" s="15"/>
      <c r="L46" s="12"/>
      <c r="M46" s="12"/>
      <c r="N46" s="36"/>
      <c r="O46" s="12"/>
      <c r="P46" s="12"/>
      <c r="Q46" s="36"/>
      <c r="R46" s="12"/>
      <c r="S46" s="12"/>
      <c r="T46" s="36"/>
      <c r="U46" s="12"/>
      <c r="V46" s="12"/>
      <c r="W46" s="12"/>
      <c r="X46" s="178"/>
      <c r="Y46" s="12"/>
      <c r="Z46" s="98"/>
      <c r="AA46" s="136"/>
      <c r="AB46" s="165"/>
      <c r="AC46" s="97"/>
      <c r="AF46" s="12"/>
      <c r="AG46" s="12"/>
      <c r="AX46" s="12"/>
      <c r="AY46" s="52"/>
      <c r="AZ46" s="58"/>
      <c r="BA46" s="58"/>
      <c r="BB46" s="58"/>
      <c r="BC46" s="58"/>
      <c r="BD46" s="58"/>
      <c r="BE46" s="12"/>
      <c r="BF46" s="52"/>
      <c r="BG46" s="58"/>
      <c r="BH46" s="65"/>
      <c r="BI46" s="65"/>
      <c r="BJ46" s="65"/>
      <c r="BK46" s="65"/>
      <c r="BL46" s="39"/>
      <c r="BM46" s="39"/>
      <c r="BN46" s="39"/>
      <c r="BO46" s="39">
        <f t="shared" si="33"/>
        <v>0</v>
      </c>
      <c r="BP46" s="51"/>
      <c r="BQ46" s="99" t="e">
        <f t="shared" si="34"/>
        <v>#DIV/0!</v>
      </c>
      <c r="BR46" s="30"/>
      <c r="BV46" s="282">
        <f t="shared" si="40"/>
        <v>0</v>
      </c>
      <c r="BW46" s="39">
        <f t="shared" si="35"/>
        <v>0</v>
      </c>
      <c r="BX46" s="51" t="e">
        <f t="shared" si="10"/>
        <v>#DIV/0!</v>
      </c>
    </row>
    <row r="47" spans="1:76" s="13" customFormat="1" ht="18" customHeight="1">
      <c r="A47" s="73" t="s">
        <v>161</v>
      </c>
      <c r="E47" s="15"/>
      <c r="H47" s="15"/>
      <c r="K47" s="15"/>
      <c r="L47" s="12"/>
      <c r="M47" s="12"/>
      <c r="N47" s="36"/>
      <c r="O47" s="12"/>
      <c r="P47" s="12"/>
      <c r="Q47" s="36"/>
      <c r="R47" s="12"/>
      <c r="S47" s="12"/>
      <c r="T47" s="36"/>
      <c r="U47" s="12"/>
      <c r="V47" s="12"/>
      <c r="W47" s="12"/>
      <c r="X47" s="178"/>
      <c r="Y47" s="12"/>
      <c r="Z47" s="98"/>
      <c r="AA47" s="136"/>
      <c r="AB47" s="165"/>
      <c r="AC47" s="97"/>
      <c r="AF47" s="12"/>
      <c r="AG47" s="12"/>
      <c r="AI47" s="13">
        <f>354535-67904-37678-101696</f>
        <v>147257</v>
      </c>
      <c r="AX47" s="12"/>
      <c r="AY47" s="52"/>
      <c r="AZ47" s="58"/>
      <c r="BA47" s="58"/>
      <c r="BB47" s="58"/>
      <c r="BC47" s="58"/>
      <c r="BD47" s="58"/>
      <c r="BE47" s="12"/>
      <c r="BF47" s="52"/>
      <c r="BG47" s="58"/>
      <c r="BH47" s="65"/>
      <c r="BI47" s="65"/>
      <c r="BJ47" s="65"/>
      <c r="BK47" s="65"/>
      <c r="BL47" s="39"/>
      <c r="BM47" s="39"/>
      <c r="BN47" s="39"/>
      <c r="BO47" s="39">
        <f t="shared" si="33"/>
        <v>0</v>
      </c>
      <c r="BP47" s="51"/>
      <c r="BQ47" s="99" t="e">
        <f t="shared" si="34"/>
        <v>#DIV/0!</v>
      </c>
      <c r="BR47" s="30"/>
      <c r="BV47" s="282">
        <f t="shared" si="40"/>
        <v>0</v>
      </c>
      <c r="BW47" s="39">
        <f t="shared" si="35"/>
        <v>0</v>
      </c>
      <c r="BX47" s="51" t="e">
        <f t="shared" si="10"/>
        <v>#DIV/0!</v>
      </c>
    </row>
    <row r="48" spans="1:76" ht="18" customHeight="1">
      <c r="A48" s="73" t="s">
        <v>163</v>
      </c>
      <c r="N48" s="58"/>
      <c r="Q48" s="58"/>
      <c r="R48" s="12"/>
      <c r="S48" s="52"/>
      <c r="T48" s="58"/>
      <c r="U48" s="52"/>
      <c r="V48" s="52"/>
      <c r="W48" s="58"/>
      <c r="AB48" s="172"/>
      <c r="AI48" s="50">
        <f>+AI47+5268443</f>
        <v>5415700</v>
      </c>
      <c r="AR48" s="261"/>
      <c r="AS48" s="261"/>
      <c r="AU48" s="13"/>
      <c r="BH48" s="65"/>
      <c r="BI48" s="65"/>
      <c r="BJ48" s="65"/>
      <c r="BK48" s="65"/>
      <c r="BL48" s="39"/>
      <c r="BM48" s="39"/>
      <c r="BN48" s="39"/>
      <c r="BO48" s="39">
        <f t="shared" si="33"/>
        <v>0</v>
      </c>
      <c r="BP48" s="51"/>
      <c r="BQ48" s="99" t="e">
        <f t="shared" si="34"/>
        <v>#DIV/0!</v>
      </c>
      <c r="BV48" s="282">
        <f t="shared" si="40"/>
        <v>0</v>
      </c>
      <c r="BW48" s="39">
        <f t="shared" si="35"/>
        <v>0</v>
      </c>
      <c r="BX48" s="51" t="e">
        <f t="shared" si="10"/>
        <v>#DIV/0!</v>
      </c>
    </row>
    <row r="49" spans="1:76" ht="18" customHeight="1">
      <c r="A49" s="73" t="s">
        <v>414</v>
      </c>
      <c r="N49" s="58"/>
      <c r="Q49" s="58"/>
      <c r="R49" s="12"/>
      <c r="S49" s="52"/>
      <c r="T49" s="58"/>
      <c r="U49" s="52"/>
      <c r="V49" s="52"/>
      <c r="W49" s="58"/>
      <c r="AB49" s="172"/>
      <c r="AT49" s="52"/>
      <c r="AU49" s="99"/>
      <c r="AV49" s="52"/>
      <c r="AW49" s="99"/>
      <c r="BH49" s="65"/>
      <c r="BI49" s="65"/>
      <c r="BJ49" s="65"/>
      <c r="BK49" s="65"/>
      <c r="BL49" s="39"/>
      <c r="BM49" s="39"/>
      <c r="BN49" s="39"/>
      <c r="BO49" s="39">
        <f t="shared" si="33"/>
        <v>0</v>
      </c>
      <c r="BP49" s="51"/>
      <c r="BQ49" s="99" t="e">
        <f t="shared" si="34"/>
        <v>#DIV/0!</v>
      </c>
      <c r="BV49" s="282">
        <f t="shared" si="40"/>
        <v>0</v>
      </c>
      <c r="BW49" s="39">
        <f t="shared" si="35"/>
        <v>0</v>
      </c>
      <c r="BX49" s="51" t="e">
        <f t="shared" si="10"/>
        <v>#DIV/0!</v>
      </c>
    </row>
    <row r="50" spans="1:76" s="118" customFormat="1" ht="18" customHeight="1">
      <c r="A50" s="116" t="s">
        <v>50</v>
      </c>
      <c r="E50" s="357"/>
      <c r="H50" s="357"/>
      <c r="K50" s="357"/>
      <c r="L50" s="105"/>
      <c r="M50" s="105"/>
      <c r="N50" s="117"/>
      <c r="O50" s="105"/>
      <c r="P50" s="105"/>
      <c r="Q50" s="117"/>
      <c r="T50" s="119"/>
      <c r="W50" s="119"/>
      <c r="X50" s="179"/>
      <c r="Y50" s="162"/>
      <c r="Z50" s="122"/>
      <c r="AA50" s="201"/>
      <c r="AB50" s="170"/>
      <c r="AC50" s="124"/>
      <c r="AF50" s="154"/>
      <c r="AG50" s="154"/>
      <c r="AX50" s="154"/>
      <c r="AY50" s="107"/>
      <c r="AZ50" s="125"/>
      <c r="BA50" s="125"/>
      <c r="BB50" s="125"/>
      <c r="BC50" s="125"/>
      <c r="BD50" s="125"/>
      <c r="BE50" s="154"/>
      <c r="BF50" s="107"/>
      <c r="BG50" s="125"/>
      <c r="BH50" s="110"/>
      <c r="BI50" s="110"/>
      <c r="BJ50" s="110"/>
      <c r="BK50" s="110"/>
      <c r="BL50" s="562"/>
      <c r="BM50" s="562"/>
      <c r="BN50" s="562"/>
      <c r="BO50" s="39">
        <f t="shared" si="33"/>
        <v>0</v>
      </c>
      <c r="BP50" s="108"/>
      <c r="BQ50" s="99" t="e">
        <f t="shared" si="34"/>
        <v>#DIV/0!</v>
      </c>
      <c r="BR50" s="121"/>
      <c r="BV50" s="302"/>
      <c r="BW50" s="562"/>
      <c r="BX50" s="108"/>
    </row>
    <row r="51" spans="1:76" s="79" customFormat="1" ht="18" customHeight="1">
      <c r="A51" s="59" t="s">
        <v>164</v>
      </c>
      <c r="B51" s="327">
        <f>6762+8384</f>
        <v>15146</v>
      </c>
      <c r="C51" s="327">
        <f>11033+10023</f>
        <v>21056</v>
      </c>
      <c r="D51" s="327">
        <f>C51-B51</f>
        <v>5910</v>
      </c>
      <c r="E51" s="356">
        <f>(C51-B51)/B51</f>
        <v>0.39020203354020866</v>
      </c>
      <c r="F51" s="590">
        <f>20141</f>
        <v>20141</v>
      </c>
      <c r="G51" s="590">
        <f>F51-C51</f>
        <v>-915</v>
      </c>
      <c r="H51" s="276">
        <f>(F51-C51)/C51</f>
        <v>-4.3455547112462009E-2</v>
      </c>
      <c r="I51" s="590">
        <f>3546+18470</f>
        <v>22016</v>
      </c>
      <c r="J51" s="590">
        <f>I51-F51</f>
        <v>1875</v>
      </c>
      <c r="K51" s="276">
        <f>(I51-F51)/F51</f>
        <v>9.3093689489101836E-2</v>
      </c>
      <c r="L51" s="62">
        <v>31696</v>
      </c>
      <c r="M51" s="62">
        <v>9680</v>
      </c>
      <c r="N51" s="241">
        <v>0.43968023255813954</v>
      </c>
      <c r="O51" s="62">
        <v>30358</v>
      </c>
      <c r="P51" s="62">
        <f>O51-L51</f>
        <v>-1338</v>
      </c>
      <c r="Q51" s="241">
        <f t="shared" ref="Q51:Q74" si="48">P51/L51</f>
        <v>-4.2213528520949013E-2</v>
      </c>
      <c r="R51" s="62">
        <f>35288+8000</f>
        <v>43288</v>
      </c>
      <c r="S51" s="62">
        <f t="shared" ref="S51:S74" si="49">R51-O51</f>
        <v>12930</v>
      </c>
      <c r="T51" s="241">
        <f t="shared" ref="T51:T74" si="50">S51/O51</f>
        <v>0.42591738586204625</v>
      </c>
      <c r="U51" s="62">
        <f>71168-30146+5000</f>
        <v>46022</v>
      </c>
      <c r="V51" s="62">
        <f>U51-R51</f>
        <v>2734</v>
      </c>
      <c r="W51" s="241">
        <f>V51/R51</f>
        <v>6.3158381075586773E-2</v>
      </c>
      <c r="X51" s="166">
        <f>99480-23279-12228</f>
        <v>63973</v>
      </c>
      <c r="Y51" s="62">
        <f t="shared" ref="Y51:Y58" si="51">X51-U51</f>
        <v>17951</v>
      </c>
      <c r="Z51" s="95">
        <f t="shared" ref="Z51:Z58" si="52">Y51/U51</f>
        <v>0.39005258354699929</v>
      </c>
      <c r="AA51" s="202">
        <f>79664-24739</f>
        <v>54925</v>
      </c>
      <c r="AB51" s="591">
        <f t="shared" ref="AB51:AB58" si="53">AA51-X51</f>
        <v>-9048</v>
      </c>
      <c r="AC51" s="592">
        <f t="shared" ref="AC51:AC58" si="54">AB51/X51</f>
        <v>-0.14143466775045721</v>
      </c>
      <c r="AD51" s="78">
        <v>4020</v>
      </c>
      <c r="AE51" s="78">
        <f>21164+8226</f>
        <v>29390</v>
      </c>
      <c r="AF51" s="62">
        <v>27673</v>
      </c>
      <c r="AG51" s="62">
        <f t="shared" ref="AG51:AG73" si="55">AF51-AA51</f>
        <v>-27252</v>
      </c>
      <c r="AH51" s="241">
        <f t="shared" ref="AH51:AH73" si="56">AG51/AA51</f>
        <v>-0.49616750113791536</v>
      </c>
      <c r="AI51" s="78">
        <f>AF51-137</f>
        <v>27536</v>
      </c>
      <c r="AJ51" s="78">
        <f>AF51-779</f>
        <v>26894</v>
      </c>
      <c r="AK51" s="78">
        <v>3040</v>
      </c>
      <c r="AL51" s="593">
        <v>680</v>
      </c>
      <c r="AM51" s="202">
        <f t="shared" ref="AM51:AM73" si="57">+AL51+AK51</f>
        <v>3720</v>
      </c>
      <c r="AN51" s="79">
        <v>2403</v>
      </c>
      <c r="AO51" s="79">
        <v>17074</v>
      </c>
      <c r="AP51" s="603">
        <v>611</v>
      </c>
      <c r="AQ51" s="603">
        <v>601</v>
      </c>
      <c r="AR51" s="495">
        <f>AP51+AQ51</f>
        <v>1212</v>
      </c>
      <c r="AS51" s="62">
        <f>BB51+AR51</f>
        <v>16868.30013</v>
      </c>
      <c r="AT51" s="78">
        <f>AS51-AF51</f>
        <v>-10804.69987</v>
      </c>
      <c r="AU51" s="587">
        <f>AT51/AF51</f>
        <v>-0.3904419423264554</v>
      </c>
      <c r="AV51" s="78">
        <f t="shared" ref="AV51:AV74" si="58">+AS51-AF51</f>
        <v>-10804.69987</v>
      </c>
      <c r="AW51" s="587">
        <f t="shared" ref="AW51:AW74" si="59">+AV51/AF51</f>
        <v>-0.3904419423264554</v>
      </c>
      <c r="AX51" s="62">
        <v>15457</v>
      </c>
      <c r="AY51" s="62">
        <f t="shared" si="27"/>
        <v>-12216</v>
      </c>
      <c r="AZ51" s="241">
        <f t="shared" si="28"/>
        <v>-0.44144111588913382</v>
      </c>
      <c r="BA51" s="624">
        <f>2361.10689+8078.21484+8083.25177</f>
        <v>18522.573499999999</v>
      </c>
      <c r="BB51" s="624">
        <f>2157.6385+5500.39728+7998.26435</f>
        <v>15656.30013</v>
      </c>
      <c r="BC51" s="624">
        <f>BA51-BB51</f>
        <v>2866.273369999999</v>
      </c>
      <c r="BD51" s="31">
        <f>BC51/BA51</f>
        <v>0.15474487764888606</v>
      </c>
      <c r="BE51" s="62">
        <f>8239+4979</f>
        <v>13218</v>
      </c>
      <c r="BF51" s="62">
        <f t="shared" ref="BF51:BF74" si="60">BE51-AX51</f>
        <v>-2239</v>
      </c>
      <c r="BG51" s="241">
        <f t="shared" ref="BG51:BG74" si="61">BF51/AX51</f>
        <v>-0.14485346444976385</v>
      </c>
      <c r="BH51" s="78">
        <v>299</v>
      </c>
      <c r="BI51" s="78"/>
      <c r="BJ51" s="78"/>
      <c r="BK51" s="78">
        <v>48</v>
      </c>
      <c r="BL51" s="495">
        <f t="shared" si="31"/>
        <v>13565</v>
      </c>
      <c r="BM51" s="495">
        <f t="shared" ref="BM51:BM74" si="62">BL51-AS51</f>
        <v>-3303.3001299999996</v>
      </c>
      <c r="BN51" s="495">
        <v>19527</v>
      </c>
      <c r="BO51" s="39">
        <f t="shared" si="33"/>
        <v>6309</v>
      </c>
      <c r="BP51" s="587">
        <f t="shared" ref="BP51:BP74" si="63">BM51/AS51</f>
        <v>-0.1958288686199704</v>
      </c>
      <c r="BQ51" s="99">
        <f t="shared" si="34"/>
        <v>0.4773036768043577</v>
      </c>
      <c r="BR51" s="495">
        <v>4108</v>
      </c>
      <c r="BU51" s="495">
        <v>0</v>
      </c>
      <c r="BV51" s="39">
        <f t="shared" ref="BV51:BV83" si="64">BN51+BR51+BS51+BT51+BU51</f>
        <v>23635</v>
      </c>
      <c r="BW51" s="39">
        <f t="shared" ref="BW51:BW83" si="65">BV51-BL51</f>
        <v>10070</v>
      </c>
      <c r="BX51" s="51">
        <f t="shared" ref="BX51:BX83" si="66">BW51/BL51</f>
        <v>0.74235164025064504</v>
      </c>
    </row>
    <row r="52" spans="1:76" s="79" customFormat="1" ht="18" customHeight="1">
      <c r="A52" s="59" t="s">
        <v>63</v>
      </c>
      <c r="B52" s="601">
        <v>0</v>
      </c>
      <c r="C52" s="601">
        <v>0</v>
      </c>
      <c r="D52" s="327">
        <f t="shared" ref="D52:D109" si="67">C52-B52</f>
        <v>0</v>
      </c>
      <c r="E52" s="601" t="s">
        <v>78</v>
      </c>
      <c r="F52" s="601">
        <v>5447</v>
      </c>
      <c r="G52" s="590">
        <f t="shared" ref="G52:G109" si="68">F52-C52</f>
        <v>5447</v>
      </c>
      <c r="H52" s="601" t="s">
        <v>78</v>
      </c>
      <c r="I52" s="590">
        <v>6116</v>
      </c>
      <c r="J52" s="590">
        <f t="shared" ref="J52:J109" si="69">I52-F52</f>
        <v>669</v>
      </c>
      <c r="K52" s="601" t="s">
        <v>78</v>
      </c>
      <c r="L52" s="62">
        <v>6106</v>
      </c>
      <c r="M52" s="62">
        <v>-60</v>
      </c>
      <c r="N52" s="241">
        <v>-9.7307817061303929E-3</v>
      </c>
      <c r="O52" s="62">
        <v>5946</v>
      </c>
      <c r="P52" s="62">
        <f t="shared" ref="P52:P62" si="70">O52-L52</f>
        <v>-160</v>
      </c>
      <c r="Q52" s="241">
        <f t="shared" si="48"/>
        <v>-2.6203734032099576E-2</v>
      </c>
      <c r="R52" s="62">
        <v>5918</v>
      </c>
      <c r="S52" s="62">
        <f t="shared" si="49"/>
        <v>-28</v>
      </c>
      <c r="T52" s="241">
        <f t="shared" si="50"/>
        <v>-4.7090480995627309E-3</v>
      </c>
      <c r="U52" s="62">
        <v>6563</v>
      </c>
      <c r="V52" s="62">
        <f t="shared" ref="V52:V71" si="71">U52-R52</f>
        <v>645</v>
      </c>
      <c r="W52" s="241">
        <f t="shared" ref="W52:W69" si="72">V52/R52</f>
        <v>0.10898952348766475</v>
      </c>
      <c r="X52" s="166">
        <v>8042</v>
      </c>
      <c r="Y52" s="62">
        <f t="shared" si="51"/>
        <v>1479</v>
      </c>
      <c r="Z52" s="95">
        <f t="shared" si="52"/>
        <v>0.22535425872314491</v>
      </c>
      <c r="AA52" s="202">
        <v>9423</v>
      </c>
      <c r="AB52" s="591">
        <f t="shared" si="53"/>
        <v>1381</v>
      </c>
      <c r="AC52" s="592">
        <f t="shared" si="54"/>
        <v>0.17172345187764237</v>
      </c>
      <c r="AD52" s="78">
        <v>7618</v>
      </c>
      <c r="AE52" s="78">
        <v>60</v>
      </c>
      <c r="AF52" s="62">
        <v>7249</v>
      </c>
      <c r="AG52" s="62">
        <f t="shared" si="55"/>
        <v>-2174</v>
      </c>
      <c r="AH52" s="241">
        <f t="shared" si="56"/>
        <v>-0.23071208744561181</v>
      </c>
      <c r="AI52" s="78">
        <f>AF52+204</f>
        <v>7453</v>
      </c>
      <c r="AJ52" s="78">
        <f>AF52+204</f>
        <v>7453</v>
      </c>
      <c r="AK52" s="78">
        <v>8369</v>
      </c>
      <c r="AM52" s="202">
        <f t="shared" si="57"/>
        <v>8369</v>
      </c>
      <c r="AN52" s="79">
        <v>6112</v>
      </c>
      <c r="AO52" s="79">
        <v>6130</v>
      </c>
      <c r="AP52" s="603">
        <v>977</v>
      </c>
      <c r="AQ52" s="603">
        <v>95</v>
      </c>
      <c r="AR52" s="495">
        <f t="shared" ref="AR52:AR74" si="73">AP52+AQ52</f>
        <v>1072</v>
      </c>
      <c r="AS52" s="62">
        <f t="shared" ref="AS52:AS73" si="74">BB52+AR52</f>
        <v>6571.4900099999995</v>
      </c>
      <c r="AT52" s="78">
        <f t="shared" ref="AT52:AT74" si="75">AS52-AF52</f>
        <v>-677.50999000000047</v>
      </c>
      <c r="AU52" s="587">
        <f t="shared" ref="AU52:AU74" si="76">AT52/AF52</f>
        <v>-9.3462545178645398E-2</v>
      </c>
      <c r="AV52" s="78">
        <f t="shared" si="58"/>
        <v>-677.50999000000047</v>
      </c>
      <c r="AW52" s="587">
        <f t="shared" si="59"/>
        <v>-9.3462545178645398E-2</v>
      </c>
      <c r="AX52" s="62">
        <f>5974</f>
        <v>5974</v>
      </c>
      <c r="AY52" s="62">
        <f t="shared" si="27"/>
        <v>-1275</v>
      </c>
      <c r="AZ52" s="241">
        <f t="shared" si="28"/>
        <v>-0.17588632914884811</v>
      </c>
      <c r="BA52" s="625">
        <f>5830.60929+23.7824</f>
        <v>5854.3916900000004</v>
      </c>
      <c r="BB52" s="625">
        <f>5480.12761+19.3624</f>
        <v>5499.4900099999995</v>
      </c>
      <c r="BC52" s="624">
        <f t="shared" ref="BC52:BC73" si="77">BA52-BB52</f>
        <v>354.90168000000085</v>
      </c>
      <c r="BD52" s="31">
        <f t="shared" ref="BD52:BD73" si="78">BC52/BA52</f>
        <v>6.0621444343434569E-2</v>
      </c>
      <c r="BE52" s="62">
        <f>6276</f>
        <v>6276</v>
      </c>
      <c r="BF52" s="62">
        <f t="shared" si="60"/>
        <v>302</v>
      </c>
      <c r="BG52" s="241">
        <f t="shared" si="61"/>
        <v>5.0552393706059594E-2</v>
      </c>
      <c r="BH52" s="78">
        <v>1251</v>
      </c>
      <c r="BI52" s="78"/>
      <c r="BJ52" s="78"/>
      <c r="BK52" s="78">
        <v>18</v>
      </c>
      <c r="BL52" s="495">
        <f t="shared" si="31"/>
        <v>7545</v>
      </c>
      <c r="BM52" s="495">
        <f t="shared" si="62"/>
        <v>973.50999000000047</v>
      </c>
      <c r="BN52" s="495">
        <v>6389</v>
      </c>
      <c r="BO52" s="39">
        <f t="shared" si="33"/>
        <v>113</v>
      </c>
      <c r="BP52" s="587">
        <f t="shared" si="63"/>
        <v>0.14814143953937176</v>
      </c>
      <c r="BQ52" s="99">
        <f t="shared" si="34"/>
        <v>1.8005098789037603E-2</v>
      </c>
      <c r="BR52" s="495">
        <v>1339</v>
      </c>
      <c r="BU52" s="495">
        <v>0</v>
      </c>
      <c r="BV52" s="39">
        <f t="shared" si="64"/>
        <v>7728</v>
      </c>
      <c r="BW52" s="39">
        <f t="shared" si="65"/>
        <v>183</v>
      </c>
      <c r="BX52" s="51">
        <f t="shared" si="66"/>
        <v>2.4254473161033796E-2</v>
      </c>
    </row>
    <row r="53" spans="1:76" s="79" customFormat="1" ht="18" customHeight="1">
      <c r="A53" s="59" t="s">
        <v>102</v>
      </c>
      <c r="B53" s="601">
        <v>0</v>
      </c>
      <c r="C53" s="601">
        <v>0</v>
      </c>
      <c r="D53" s="327">
        <f t="shared" si="67"/>
        <v>0</v>
      </c>
      <c r="E53" s="601" t="s">
        <v>78</v>
      </c>
      <c r="F53" s="601">
        <v>1216</v>
      </c>
      <c r="G53" s="590">
        <f t="shared" si="68"/>
        <v>1216</v>
      </c>
      <c r="H53" s="601" t="s">
        <v>78</v>
      </c>
      <c r="I53" s="590">
        <v>959</v>
      </c>
      <c r="J53" s="590">
        <f t="shared" si="69"/>
        <v>-257</v>
      </c>
      <c r="K53" s="601" t="s">
        <v>78</v>
      </c>
      <c r="L53" s="62">
        <v>1002</v>
      </c>
      <c r="M53" s="62">
        <v>43</v>
      </c>
      <c r="N53" s="241">
        <v>4.4838373305526591E-2</v>
      </c>
      <c r="O53" s="62">
        <v>982</v>
      </c>
      <c r="P53" s="62">
        <f t="shared" si="70"/>
        <v>-20</v>
      </c>
      <c r="Q53" s="241">
        <f t="shared" si="48"/>
        <v>-1.9960079840319361E-2</v>
      </c>
      <c r="R53" s="62">
        <v>1698</v>
      </c>
      <c r="S53" s="62">
        <f t="shared" si="49"/>
        <v>716</v>
      </c>
      <c r="T53" s="241">
        <f t="shared" si="50"/>
        <v>0.72912423625254585</v>
      </c>
      <c r="U53" s="62">
        <v>2048</v>
      </c>
      <c r="V53" s="62">
        <f t="shared" si="71"/>
        <v>350</v>
      </c>
      <c r="W53" s="241">
        <f t="shared" si="72"/>
        <v>0.2061248527679623</v>
      </c>
      <c r="X53" s="166">
        <v>4493</v>
      </c>
      <c r="Y53" s="62">
        <f t="shared" si="51"/>
        <v>2445</v>
      </c>
      <c r="Z53" s="95">
        <f t="shared" si="52"/>
        <v>1.19384765625</v>
      </c>
      <c r="AA53" s="202">
        <v>3225</v>
      </c>
      <c r="AB53" s="591">
        <f t="shared" si="53"/>
        <v>-1268</v>
      </c>
      <c r="AC53" s="592">
        <f t="shared" si="54"/>
        <v>-0.28221678166036057</v>
      </c>
      <c r="AD53" s="78">
        <v>2385</v>
      </c>
      <c r="AE53" s="78"/>
      <c r="AF53" s="62">
        <v>2339</v>
      </c>
      <c r="AG53" s="62">
        <f t="shared" si="55"/>
        <v>-886</v>
      </c>
      <c r="AH53" s="241">
        <f t="shared" si="56"/>
        <v>-0.27472868217054264</v>
      </c>
      <c r="AI53" s="78">
        <f>AF53-271</f>
        <v>2068</v>
      </c>
      <c r="AJ53" s="78">
        <f>AF53-271</f>
        <v>2068</v>
      </c>
      <c r="AK53" s="78">
        <v>2453</v>
      </c>
      <c r="AM53" s="202">
        <f t="shared" si="57"/>
        <v>2453</v>
      </c>
      <c r="AN53" s="79">
        <v>2114</v>
      </c>
      <c r="AO53" s="79">
        <v>2114</v>
      </c>
      <c r="AP53" s="603">
        <v>88</v>
      </c>
      <c r="AQ53" s="603">
        <v>28</v>
      </c>
      <c r="AR53" s="495">
        <f t="shared" si="73"/>
        <v>116</v>
      </c>
      <c r="AS53" s="62">
        <f t="shared" si="74"/>
        <v>7651.7482600000003</v>
      </c>
      <c r="AT53" s="78">
        <f t="shared" si="75"/>
        <v>5312.7482600000003</v>
      </c>
      <c r="AU53" s="587">
        <f t="shared" si="76"/>
        <v>2.2713759127832409</v>
      </c>
      <c r="AV53" s="78">
        <f t="shared" si="58"/>
        <v>5312.7482600000003</v>
      </c>
      <c r="AW53" s="587">
        <f t="shared" si="59"/>
        <v>2.2713759127832409</v>
      </c>
      <c r="AX53" s="62">
        <f>4653+3023</f>
        <v>7676</v>
      </c>
      <c r="AY53" s="62">
        <f t="shared" si="27"/>
        <v>5337</v>
      </c>
      <c r="AZ53" s="241">
        <f t="shared" si="28"/>
        <v>2.281744335185977</v>
      </c>
      <c r="BA53" s="624">
        <v>7676.28078</v>
      </c>
      <c r="BB53" s="624">
        <v>7535.7482600000003</v>
      </c>
      <c r="BC53" s="624">
        <f t="shared" si="77"/>
        <v>140.53251999999975</v>
      </c>
      <c r="BD53" s="31">
        <f t="shared" si="78"/>
        <v>1.8307370981810251E-2</v>
      </c>
      <c r="BE53" s="62">
        <f>3052+1800</f>
        <v>4852</v>
      </c>
      <c r="BF53" s="62">
        <f t="shared" si="60"/>
        <v>-2824</v>
      </c>
      <c r="BG53" s="241">
        <f t="shared" si="61"/>
        <v>-0.36789994788952579</v>
      </c>
      <c r="BH53" s="78">
        <v>69</v>
      </c>
      <c r="BI53" s="78"/>
      <c r="BJ53" s="78"/>
      <c r="BK53" s="78">
        <v>40</v>
      </c>
      <c r="BL53" s="495">
        <f t="shared" si="31"/>
        <v>4961</v>
      </c>
      <c r="BM53" s="495">
        <f t="shared" si="62"/>
        <v>-2690.7482600000003</v>
      </c>
      <c r="BN53" s="495">
        <v>5276</v>
      </c>
      <c r="BO53" s="39">
        <f t="shared" si="33"/>
        <v>424</v>
      </c>
      <c r="BP53" s="587">
        <f t="shared" si="63"/>
        <v>-0.35165143553742584</v>
      </c>
      <c r="BQ53" s="99">
        <f t="shared" si="34"/>
        <v>8.7386644682605111E-2</v>
      </c>
      <c r="BR53" s="495">
        <v>86</v>
      </c>
      <c r="BU53" s="495">
        <v>1</v>
      </c>
      <c r="BV53" s="39">
        <f t="shared" si="64"/>
        <v>5363</v>
      </c>
      <c r="BW53" s="39">
        <f t="shared" si="65"/>
        <v>402</v>
      </c>
      <c r="BX53" s="51">
        <f t="shared" si="66"/>
        <v>8.103204998992139E-2</v>
      </c>
    </row>
    <row r="54" spans="1:76" s="79" customFormat="1" ht="18" customHeight="1">
      <c r="A54" s="59" t="s">
        <v>103</v>
      </c>
      <c r="B54" s="601">
        <v>0</v>
      </c>
      <c r="C54" s="601">
        <v>0</v>
      </c>
      <c r="D54" s="327">
        <f t="shared" si="67"/>
        <v>0</v>
      </c>
      <c r="E54" s="601" t="s">
        <v>78</v>
      </c>
      <c r="F54" s="601">
        <v>427</v>
      </c>
      <c r="G54" s="590">
        <f t="shared" si="68"/>
        <v>427</v>
      </c>
      <c r="H54" s="601" t="s">
        <v>78</v>
      </c>
      <c r="I54" s="590">
        <v>443</v>
      </c>
      <c r="J54" s="590">
        <f t="shared" si="69"/>
        <v>16</v>
      </c>
      <c r="K54" s="601" t="s">
        <v>78</v>
      </c>
      <c r="L54" s="62">
        <v>515</v>
      </c>
      <c r="M54" s="62">
        <v>72</v>
      </c>
      <c r="N54" s="241">
        <v>0.16252821670428894</v>
      </c>
      <c r="O54" s="62">
        <v>516</v>
      </c>
      <c r="P54" s="62">
        <f t="shared" si="70"/>
        <v>1</v>
      </c>
      <c r="Q54" s="241">
        <f t="shared" si="48"/>
        <v>1.9417475728155339E-3</v>
      </c>
      <c r="R54" s="62">
        <v>536</v>
      </c>
      <c r="S54" s="62">
        <f t="shared" si="49"/>
        <v>20</v>
      </c>
      <c r="T54" s="241">
        <f t="shared" si="50"/>
        <v>3.875968992248062E-2</v>
      </c>
      <c r="U54" s="62">
        <v>543</v>
      </c>
      <c r="V54" s="62">
        <f t="shared" si="71"/>
        <v>7</v>
      </c>
      <c r="W54" s="241">
        <f t="shared" si="72"/>
        <v>1.3059701492537313E-2</v>
      </c>
      <c r="X54" s="166">
        <v>841</v>
      </c>
      <c r="Y54" s="62">
        <f t="shared" si="51"/>
        <v>298</v>
      </c>
      <c r="Z54" s="95">
        <f t="shared" si="52"/>
        <v>0.54880294659300188</v>
      </c>
      <c r="AA54" s="202">
        <v>652</v>
      </c>
      <c r="AB54" s="591">
        <f t="shared" si="53"/>
        <v>-189</v>
      </c>
      <c r="AC54" s="592">
        <f t="shared" si="54"/>
        <v>-0.22473246135552913</v>
      </c>
      <c r="AD54" s="545">
        <v>584</v>
      </c>
      <c r="AE54" s="545">
        <v>52</v>
      </c>
      <c r="AF54" s="62">
        <v>537</v>
      </c>
      <c r="AG54" s="62">
        <f t="shared" si="55"/>
        <v>-115</v>
      </c>
      <c r="AH54" s="241">
        <f t="shared" si="56"/>
        <v>-0.17638036809815952</v>
      </c>
      <c r="AI54" s="246">
        <f>AF54</f>
        <v>537</v>
      </c>
      <c r="AJ54" s="246">
        <f>AF54</f>
        <v>537</v>
      </c>
      <c r="AK54" s="78">
        <v>595</v>
      </c>
      <c r="AM54" s="202">
        <f t="shared" si="57"/>
        <v>595</v>
      </c>
      <c r="AN54" s="593">
        <v>555</v>
      </c>
      <c r="AO54" s="593">
        <v>602</v>
      </c>
      <c r="AP54" s="603">
        <v>0</v>
      </c>
      <c r="AQ54" s="603">
        <v>2</v>
      </c>
      <c r="AR54" s="495">
        <f t="shared" si="73"/>
        <v>2</v>
      </c>
      <c r="AS54" s="62">
        <f t="shared" si="74"/>
        <v>646.78075000000001</v>
      </c>
      <c r="AT54" s="78">
        <f t="shared" si="75"/>
        <v>109.78075000000001</v>
      </c>
      <c r="AU54" s="587">
        <f t="shared" si="76"/>
        <v>0.204433426443203</v>
      </c>
      <c r="AV54" s="78">
        <f t="shared" si="58"/>
        <v>109.78075000000001</v>
      </c>
      <c r="AW54" s="587">
        <f t="shared" si="59"/>
        <v>0.204433426443203</v>
      </c>
      <c r="AX54" s="202">
        <f>593+3</f>
        <v>596</v>
      </c>
      <c r="AY54" s="62">
        <f t="shared" si="27"/>
        <v>59</v>
      </c>
      <c r="AZ54" s="241">
        <f t="shared" si="28"/>
        <v>0.10986964618249534</v>
      </c>
      <c r="BA54" s="624">
        <f>670.42108+76.359</f>
        <v>746.78008</v>
      </c>
      <c r="BB54" s="624">
        <f>571.1893+73.59145</f>
        <v>644.78075000000001</v>
      </c>
      <c r="BC54" s="624">
        <f t="shared" si="77"/>
        <v>101.99932999999999</v>
      </c>
      <c r="BD54" s="31">
        <f t="shared" si="78"/>
        <v>0.13658549917400045</v>
      </c>
      <c r="BE54" s="62">
        <f>671+55</f>
        <v>726</v>
      </c>
      <c r="BF54" s="62">
        <f t="shared" si="60"/>
        <v>130</v>
      </c>
      <c r="BG54" s="241">
        <f t="shared" si="61"/>
        <v>0.21812080536912751</v>
      </c>
      <c r="BH54" s="78">
        <v>23</v>
      </c>
      <c r="BI54" s="78"/>
      <c r="BJ54" s="78"/>
      <c r="BK54" s="78">
        <v>1</v>
      </c>
      <c r="BL54" s="495">
        <f t="shared" si="31"/>
        <v>750</v>
      </c>
      <c r="BM54" s="495">
        <f t="shared" si="62"/>
        <v>103.21924999999999</v>
      </c>
      <c r="BN54" s="495">
        <v>869</v>
      </c>
      <c r="BO54" s="39">
        <f t="shared" si="33"/>
        <v>143</v>
      </c>
      <c r="BP54" s="587">
        <f t="shared" si="63"/>
        <v>0.15958924256790263</v>
      </c>
      <c r="BQ54" s="99">
        <f t="shared" si="34"/>
        <v>0.19696969696969696</v>
      </c>
      <c r="BR54" s="495">
        <v>146</v>
      </c>
      <c r="BU54" s="495">
        <v>1</v>
      </c>
      <c r="BV54" s="39">
        <f t="shared" si="64"/>
        <v>1016</v>
      </c>
      <c r="BW54" s="39">
        <f t="shared" si="65"/>
        <v>266</v>
      </c>
      <c r="BX54" s="51">
        <f t="shared" si="66"/>
        <v>0.35466666666666669</v>
      </c>
    </row>
    <row r="55" spans="1:76" s="79" customFormat="1" ht="18" customHeight="1">
      <c r="A55" s="59" t="s">
        <v>64</v>
      </c>
      <c r="B55" s="327">
        <v>1222</v>
      </c>
      <c r="C55" s="327">
        <v>1813</v>
      </c>
      <c r="D55" s="327">
        <f t="shared" si="67"/>
        <v>591</v>
      </c>
      <c r="E55" s="356">
        <f t="shared" ref="E55:E109" si="79">(C55-B55)/B55</f>
        <v>0.48363338788870702</v>
      </c>
      <c r="F55" s="590">
        <v>1892</v>
      </c>
      <c r="G55" s="590">
        <f t="shared" si="68"/>
        <v>79</v>
      </c>
      <c r="H55" s="276">
        <f t="shared" ref="H55:H109" si="80">(F55-C55)/C55</f>
        <v>4.3574186431329286E-2</v>
      </c>
      <c r="I55" s="590">
        <v>2302</v>
      </c>
      <c r="J55" s="590">
        <f t="shared" si="69"/>
        <v>410</v>
      </c>
      <c r="K55" s="276">
        <f t="shared" ref="K55:K109" si="81">(I55-F55)/F55</f>
        <v>0.21670190274841439</v>
      </c>
      <c r="L55" s="62">
        <v>2464</v>
      </c>
      <c r="M55" s="62">
        <v>162</v>
      </c>
      <c r="N55" s="241">
        <v>7.0373588184187666E-2</v>
      </c>
      <c r="O55" s="62">
        <v>2457</v>
      </c>
      <c r="P55" s="62">
        <f t="shared" si="70"/>
        <v>-7</v>
      </c>
      <c r="Q55" s="241">
        <f t="shared" si="48"/>
        <v>-2.840909090909091E-3</v>
      </c>
      <c r="R55" s="62">
        <v>2602</v>
      </c>
      <c r="S55" s="62">
        <f t="shared" si="49"/>
        <v>145</v>
      </c>
      <c r="T55" s="241">
        <f t="shared" si="50"/>
        <v>5.9015059015059018E-2</v>
      </c>
      <c r="U55" s="62">
        <v>3055</v>
      </c>
      <c r="V55" s="62">
        <f t="shared" si="71"/>
        <v>453</v>
      </c>
      <c r="W55" s="241">
        <f t="shared" si="72"/>
        <v>0.17409684857801691</v>
      </c>
      <c r="X55" s="166">
        <v>3094</v>
      </c>
      <c r="Y55" s="62">
        <f t="shared" si="51"/>
        <v>39</v>
      </c>
      <c r="Z55" s="95">
        <f t="shared" si="52"/>
        <v>1.276595744680851E-2</v>
      </c>
      <c r="AA55" s="202">
        <v>3137</v>
      </c>
      <c r="AB55" s="591">
        <f t="shared" si="53"/>
        <v>43</v>
      </c>
      <c r="AC55" s="592">
        <f t="shared" si="54"/>
        <v>1.3897866839043309E-2</v>
      </c>
      <c r="AD55" s="78">
        <v>3136</v>
      </c>
      <c r="AE55" s="78"/>
      <c r="AF55" s="62">
        <v>2986</v>
      </c>
      <c r="AG55" s="62">
        <f t="shared" si="55"/>
        <v>-151</v>
      </c>
      <c r="AH55" s="241">
        <f t="shared" si="56"/>
        <v>-4.8135160981829773E-2</v>
      </c>
      <c r="AI55" s="246">
        <f>AF55</f>
        <v>2986</v>
      </c>
      <c r="AJ55" s="246">
        <f>AF55</f>
        <v>2986</v>
      </c>
      <c r="AK55" s="78">
        <v>3224</v>
      </c>
      <c r="AM55" s="202">
        <f t="shared" si="57"/>
        <v>3224</v>
      </c>
      <c r="AN55" s="593">
        <v>2657</v>
      </c>
      <c r="AO55" s="593">
        <v>2657</v>
      </c>
      <c r="AP55" s="603">
        <v>180</v>
      </c>
      <c r="AQ55" s="603">
        <v>15</v>
      </c>
      <c r="AR55" s="495">
        <f t="shared" si="73"/>
        <v>195</v>
      </c>
      <c r="AS55" s="62">
        <f t="shared" si="74"/>
        <v>2661.2408</v>
      </c>
      <c r="AT55" s="78">
        <f t="shared" si="75"/>
        <v>-324.75919999999996</v>
      </c>
      <c r="AU55" s="587">
        <f t="shared" si="76"/>
        <v>-0.1087606162089752</v>
      </c>
      <c r="AV55" s="78">
        <f t="shared" si="58"/>
        <v>-324.75919999999996</v>
      </c>
      <c r="AW55" s="587">
        <f t="shared" si="59"/>
        <v>-0.1087606162089752</v>
      </c>
      <c r="AX55" s="62">
        <v>2553</v>
      </c>
      <c r="AY55" s="62">
        <f t="shared" si="27"/>
        <v>-433</v>
      </c>
      <c r="AZ55" s="241">
        <f t="shared" si="28"/>
        <v>-0.14501004688546551</v>
      </c>
      <c r="BA55" s="624">
        <v>2553.3083700000002</v>
      </c>
      <c r="BB55" s="624">
        <v>2466.2408</v>
      </c>
      <c r="BC55" s="624">
        <f t="shared" si="77"/>
        <v>87.06757000000016</v>
      </c>
      <c r="BD55" s="31">
        <f t="shared" si="78"/>
        <v>3.4099903882741804E-2</v>
      </c>
      <c r="BE55" s="62">
        <v>2544</v>
      </c>
      <c r="BF55" s="62">
        <f t="shared" si="60"/>
        <v>-9</v>
      </c>
      <c r="BG55" s="241">
        <f t="shared" si="61"/>
        <v>-3.5252643948296123E-3</v>
      </c>
      <c r="BH55" s="78">
        <v>140</v>
      </c>
      <c r="BI55" s="78"/>
      <c r="BJ55" s="78"/>
      <c r="BK55" s="78">
        <v>10</v>
      </c>
      <c r="BL55" s="495">
        <f t="shared" si="31"/>
        <v>2694</v>
      </c>
      <c r="BM55" s="495">
        <f t="shared" si="62"/>
        <v>32.759199999999964</v>
      </c>
      <c r="BN55" s="495">
        <v>2596</v>
      </c>
      <c r="BO55" s="39">
        <f t="shared" si="33"/>
        <v>52</v>
      </c>
      <c r="BP55" s="587">
        <f t="shared" si="63"/>
        <v>1.2309746641491429E-2</v>
      </c>
      <c r="BQ55" s="99">
        <f t="shared" si="34"/>
        <v>2.0440251572327043E-2</v>
      </c>
      <c r="BR55" s="495">
        <v>174</v>
      </c>
      <c r="BU55" s="495">
        <v>1</v>
      </c>
      <c r="BV55" s="39">
        <f t="shared" si="64"/>
        <v>2771</v>
      </c>
      <c r="BW55" s="39">
        <f t="shared" si="65"/>
        <v>77</v>
      </c>
      <c r="BX55" s="51">
        <f t="shared" si="66"/>
        <v>2.8582034149962882E-2</v>
      </c>
    </row>
    <row r="56" spans="1:76" s="79" customFormat="1" ht="18" customHeight="1">
      <c r="A56" s="59" t="s">
        <v>65</v>
      </c>
      <c r="B56" s="327">
        <f>3988+1898</f>
        <v>5886</v>
      </c>
      <c r="C56" s="327">
        <f>4998+3055</f>
        <v>8053</v>
      </c>
      <c r="D56" s="327">
        <f t="shared" si="67"/>
        <v>2167</v>
      </c>
      <c r="E56" s="356">
        <f t="shared" si="79"/>
        <v>0.36816173972137273</v>
      </c>
      <c r="F56" s="590">
        <f>5425+2860</f>
        <v>8285</v>
      </c>
      <c r="G56" s="590">
        <f t="shared" si="68"/>
        <v>232</v>
      </c>
      <c r="H56" s="276">
        <f t="shared" si="80"/>
        <v>2.8809139451136223E-2</v>
      </c>
      <c r="I56" s="590">
        <f>5787+4395</f>
        <v>10182</v>
      </c>
      <c r="J56" s="590">
        <f t="shared" si="69"/>
        <v>1897</v>
      </c>
      <c r="K56" s="276">
        <f t="shared" si="81"/>
        <v>0.22896801448400725</v>
      </c>
      <c r="L56" s="62">
        <v>16587</v>
      </c>
      <c r="M56" s="62">
        <v>6405</v>
      </c>
      <c r="N56" s="241">
        <v>0.6290512669416618</v>
      </c>
      <c r="O56" s="62">
        <v>47491</v>
      </c>
      <c r="P56" s="62">
        <f t="shared" si="70"/>
        <v>30904</v>
      </c>
      <c r="Q56" s="241">
        <f t="shared" si="48"/>
        <v>1.8631458371013445</v>
      </c>
      <c r="R56" s="62">
        <v>51385</v>
      </c>
      <c r="S56" s="62">
        <f t="shared" si="49"/>
        <v>3894</v>
      </c>
      <c r="T56" s="241">
        <f t="shared" si="50"/>
        <v>8.1994483165231308E-2</v>
      </c>
      <c r="U56" s="62">
        <f>5543+69742</f>
        <v>75285</v>
      </c>
      <c r="V56" s="62">
        <f t="shared" si="71"/>
        <v>23900</v>
      </c>
      <c r="W56" s="241">
        <f t="shared" si="72"/>
        <v>0.46511627906976744</v>
      </c>
      <c r="X56" s="166">
        <f>19439</f>
        <v>19439</v>
      </c>
      <c r="Y56" s="62">
        <f t="shared" si="51"/>
        <v>-55846</v>
      </c>
      <c r="Z56" s="95">
        <f t="shared" si="52"/>
        <v>-0.74179451417945141</v>
      </c>
      <c r="AA56" s="202">
        <f>15851+45832</f>
        <v>61683</v>
      </c>
      <c r="AB56" s="591">
        <f t="shared" si="53"/>
        <v>42244</v>
      </c>
      <c r="AC56" s="592">
        <f t="shared" si="54"/>
        <v>2.1731570554040847</v>
      </c>
      <c r="AD56" s="78">
        <v>10020</v>
      </c>
      <c r="AE56" s="78">
        <v>10603</v>
      </c>
      <c r="AF56" s="62">
        <v>26457</v>
      </c>
      <c r="AG56" s="62">
        <f t="shared" si="55"/>
        <v>-35226</v>
      </c>
      <c r="AH56" s="241">
        <f t="shared" si="56"/>
        <v>-0.57108117309469386</v>
      </c>
      <c r="AI56" s="246">
        <f>AF56+5199</f>
        <v>31656</v>
      </c>
      <c r="AJ56" s="246">
        <f>AF56+6535</f>
        <v>32992</v>
      </c>
      <c r="AK56" s="78">
        <v>9925</v>
      </c>
      <c r="AL56" s="593">
        <v>5031</v>
      </c>
      <c r="AM56" s="202">
        <f t="shared" si="57"/>
        <v>14956</v>
      </c>
      <c r="AN56" s="593">
        <v>12064</v>
      </c>
      <c r="AO56" s="593">
        <v>20478</v>
      </c>
      <c r="AP56" s="603">
        <v>2445</v>
      </c>
      <c r="AQ56" s="603">
        <v>54</v>
      </c>
      <c r="AR56" s="495">
        <f t="shared" si="73"/>
        <v>2499</v>
      </c>
      <c r="AS56" s="62">
        <f>BB56+AR56</f>
        <v>19880.780460000002</v>
      </c>
      <c r="AT56" s="78">
        <f t="shared" si="75"/>
        <v>-6576.2195399999982</v>
      </c>
      <c r="AU56" s="587">
        <f t="shared" si="76"/>
        <v>-0.24856255584533388</v>
      </c>
      <c r="AV56" s="78">
        <f t="shared" si="58"/>
        <v>-6576.2195399999982</v>
      </c>
      <c r="AW56" s="587">
        <f t="shared" si="59"/>
        <v>-0.24856255584533388</v>
      </c>
      <c r="AX56" s="62">
        <f>18876</f>
        <v>18876</v>
      </c>
      <c r="AY56" s="62">
        <f t="shared" si="27"/>
        <v>-7581</v>
      </c>
      <c r="AZ56" s="241">
        <f t="shared" si="28"/>
        <v>-0.28654042408436331</v>
      </c>
      <c r="BA56" s="624">
        <f>10771.66346+8337.43685</f>
        <v>19109.100310000002</v>
      </c>
      <c r="BB56" s="624">
        <f>10771.66346+6610.117</f>
        <v>17381.780460000002</v>
      </c>
      <c r="BC56" s="624">
        <f t="shared" si="77"/>
        <v>1727.3198499999999</v>
      </c>
      <c r="BD56" s="31">
        <f t="shared" si="78"/>
        <v>9.0392526177492216E-2</v>
      </c>
      <c r="BE56" s="62">
        <f>20019</f>
        <v>20019</v>
      </c>
      <c r="BF56" s="62">
        <f t="shared" si="60"/>
        <v>1143</v>
      </c>
      <c r="BG56" s="241">
        <f t="shared" si="61"/>
        <v>6.055308328035601E-2</v>
      </c>
      <c r="BH56" s="78">
        <v>3162</v>
      </c>
      <c r="BI56" s="78"/>
      <c r="BJ56" s="78"/>
      <c r="BK56" s="78"/>
      <c r="BL56" s="495">
        <f t="shared" si="31"/>
        <v>23181</v>
      </c>
      <c r="BM56" s="495">
        <f t="shared" si="62"/>
        <v>3300.2195399999982</v>
      </c>
      <c r="BN56" s="495">
        <v>14784</v>
      </c>
      <c r="BO56" s="39">
        <f t="shared" si="33"/>
        <v>-5235</v>
      </c>
      <c r="BP56" s="587">
        <f t="shared" si="63"/>
        <v>0.16600050217545625</v>
      </c>
      <c r="BQ56" s="99">
        <f t="shared" si="34"/>
        <v>-0.26150157350517012</v>
      </c>
      <c r="BR56" s="495">
        <v>3377</v>
      </c>
      <c r="BU56" s="495">
        <v>107</v>
      </c>
      <c r="BV56" s="39">
        <f t="shared" si="64"/>
        <v>18268</v>
      </c>
      <c r="BW56" s="39">
        <f t="shared" si="65"/>
        <v>-4913</v>
      </c>
      <c r="BX56" s="51">
        <f t="shared" si="66"/>
        <v>-0.21194081359734265</v>
      </c>
    </row>
    <row r="57" spans="1:76" ht="18" customHeight="1">
      <c r="A57" s="59" t="s">
        <v>94</v>
      </c>
      <c r="B57" s="329" t="s">
        <v>78</v>
      </c>
      <c r="C57" s="329" t="s">
        <v>78</v>
      </c>
      <c r="D57" s="329" t="s">
        <v>78</v>
      </c>
      <c r="E57" s="329" t="s">
        <v>78</v>
      </c>
      <c r="F57" s="329">
        <v>0</v>
      </c>
      <c r="G57" s="329" t="s">
        <v>78</v>
      </c>
      <c r="H57" s="329" t="s">
        <v>78</v>
      </c>
      <c r="I57" s="329">
        <v>0</v>
      </c>
      <c r="J57" s="10">
        <f t="shared" si="69"/>
        <v>0</v>
      </c>
      <c r="K57" s="329" t="s">
        <v>78</v>
      </c>
      <c r="L57" s="66">
        <v>0</v>
      </c>
      <c r="M57" s="52">
        <v>0</v>
      </c>
      <c r="N57" s="60" t="s">
        <v>78</v>
      </c>
      <c r="O57" s="66">
        <v>0</v>
      </c>
      <c r="P57" s="66">
        <v>0</v>
      </c>
      <c r="Q57" s="60" t="s">
        <v>78</v>
      </c>
      <c r="R57" s="52">
        <v>10903</v>
      </c>
      <c r="S57" s="52">
        <f t="shared" si="49"/>
        <v>10903</v>
      </c>
      <c r="T57" s="60" t="s">
        <v>78</v>
      </c>
      <c r="U57" s="52">
        <v>22730</v>
      </c>
      <c r="V57" s="52">
        <f t="shared" si="71"/>
        <v>11827</v>
      </c>
      <c r="W57" s="58">
        <f t="shared" si="72"/>
        <v>1.0847473172521325</v>
      </c>
      <c r="X57" s="166">
        <v>30983</v>
      </c>
      <c r="Y57" s="52">
        <f t="shared" si="51"/>
        <v>8253</v>
      </c>
      <c r="Z57" s="95">
        <f t="shared" si="52"/>
        <v>0.36308842938847341</v>
      </c>
      <c r="AA57" s="202">
        <v>30983</v>
      </c>
      <c r="AB57" s="172">
        <f t="shared" si="53"/>
        <v>0</v>
      </c>
      <c r="AC57" s="100">
        <f t="shared" si="54"/>
        <v>0</v>
      </c>
      <c r="AD57" s="219">
        <v>25103</v>
      </c>
      <c r="AE57" s="219"/>
      <c r="AF57" s="52">
        <v>25103</v>
      </c>
      <c r="AG57" s="52">
        <f t="shared" si="55"/>
        <v>-5880</v>
      </c>
      <c r="AH57" s="58">
        <f t="shared" si="56"/>
        <v>-0.18978149307684861</v>
      </c>
      <c r="AI57" s="246">
        <f>AF57</f>
        <v>25103</v>
      </c>
      <c r="AJ57" s="246">
        <f>AF57</f>
        <v>25103</v>
      </c>
      <c r="AK57" s="65">
        <v>16457</v>
      </c>
      <c r="AL57" s="50">
        <v>9000</v>
      </c>
      <c r="AM57" s="258">
        <f t="shared" si="57"/>
        <v>25457</v>
      </c>
      <c r="AN57" s="220">
        <v>24823</v>
      </c>
      <c r="AO57" s="220">
        <v>24823</v>
      </c>
      <c r="AP57" s="542">
        <v>0</v>
      </c>
      <c r="AQ57" s="542">
        <v>0</v>
      </c>
      <c r="AR57" s="39">
        <f t="shared" si="73"/>
        <v>0</v>
      </c>
      <c r="AS57" s="62">
        <f t="shared" si="74"/>
        <v>22822.88351</v>
      </c>
      <c r="AT57" s="65">
        <f t="shared" si="75"/>
        <v>-2280.1164900000003</v>
      </c>
      <c r="AU57" s="51">
        <f t="shared" si="76"/>
        <v>-9.0830438194638111E-2</v>
      </c>
      <c r="AV57" s="65">
        <f t="shared" si="58"/>
        <v>-2280.1164900000003</v>
      </c>
      <c r="AW57" s="51">
        <f t="shared" si="59"/>
        <v>-9.0830438194638111E-2</v>
      </c>
      <c r="AX57" s="52">
        <v>22823</v>
      </c>
      <c r="AY57" s="52">
        <f t="shared" si="27"/>
        <v>-2280</v>
      </c>
      <c r="AZ57" s="58">
        <f t="shared" si="28"/>
        <v>-9.0825797713420711E-2</v>
      </c>
      <c r="BA57" s="624">
        <v>22822.88351</v>
      </c>
      <c r="BB57" s="624">
        <v>22822.88351</v>
      </c>
      <c r="BC57" s="624">
        <f t="shared" si="77"/>
        <v>0</v>
      </c>
      <c r="BD57" s="31">
        <f t="shared" si="78"/>
        <v>0</v>
      </c>
      <c r="BE57" s="52">
        <v>22000</v>
      </c>
      <c r="BF57" s="52">
        <f t="shared" si="60"/>
        <v>-823</v>
      </c>
      <c r="BG57" s="58">
        <f t="shared" si="61"/>
        <v>-3.6060114796477236E-2</v>
      </c>
      <c r="BH57" s="65"/>
      <c r="BI57" s="65"/>
      <c r="BJ57" s="65"/>
      <c r="BK57" s="65"/>
      <c r="BL57" s="39">
        <f t="shared" si="31"/>
        <v>22000</v>
      </c>
      <c r="BM57" s="39">
        <f t="shared" si="62"/>
        <v>-822.88350999999966</v>
      </c>
      <c r="BN57" s="39">
        <v>30182</v>
      </c>
      <c r="BO57" s="39">
        <f t="shared" si="33"/>
        <v>8182</v>
      </c>
      <c r="BP57" s="51">
        <f t="shared" si="63"/>
        <v>-3.605519476272346E-2</v>
      </c>
      <c r="BQ57" s="99">
        <f t="shared" si="34"/>
        <v>0.37190909090909091</v>
      </c>
      <c r="BU57" s="39"/>
      <c r="BV57" s="39">
        <f t="shared" si="64"/>
        <v>30182</v>
      </c>
      <c r="BW57" s="39">
        <f t="shared" si="65"/>
        <v>8182</v>
      </c>
      <c r="BX57" s="51">
        <f t="shared" si="66"/>
        <v>0.37190909090909091</v>
      </c>
    </row>
    <row r="58" spans="1:76" s="79" customFormat="1" ht="18" customHeight="1">
      <c r="A58" s="59" t="s">
        <v>8</v>
      </c>
      <c r="B58" s="327">
        <f>11253+12536</f>
        <v>23789</v>
      </c>
      <c r="C58" s="327">
        <f>12289+14196</f>
        <v>26485</v>
      </c>
      <c r="D58" s="327">
        <f t="shared" si="67"/>
        <v>2696</v>
      </c>
      <c r="E58" s="356">
        <f t="shared" si="79"/>
        <v>0.11332969019294632</v>
      </c>
      <c r="F58" s="590">
        <f>8419+15527</f>
        <v>23946</v>
      </c>
      <c r="G58" s="590">
        <f t="shared" si="68"/>
        <v>-2539</v>
      </c>
      <c r="H58" s="276">
        <f t="shared" si="80"/>
        <v>-9.5865584292996034E-2</v>
      </c>
      <c r="I58" s="590">
        <f>12795+20753</f>
        <v>33548</v>
      </c>
      <c r="J58" s="590">
        <f t="shared" si="69"/>
        <v>9602</v>
      </c>
      <c r="K58" s="276">
        <f t="shared" si="81"/>
        <v>0.40098555082268439</v>
      </c>
      <c r="L58" s="62">
        <v>29873</v>
      </c>
      <c r="M58" s="62">
        <v>-3675</v>
      </c>
      <c r="N58" s="241">
        <v>-0.10954453320615237</v>
      </c>
      <c r="O58" s="62">
        <v>40290</v>
      </c>
      <c r="P58" s="62">
        <f t="shared" si="70"/>
        <v>10417</v>
      </c>
      <c r="Q58" s="241">
        <f t="shared" si="48"/>
        <v>0.34870953704013657</v>
      </c>
      <c r="R58" s="62">
        <v>48789</v>
      </c>
      <c r="S58" s="62">
        <f t="shared" si="49"/>
        <v>8499</v>
      </c>
      <c r="T58" s="241">
        <f t="shared" si="50"/>
        <v>0.21094564408041697</v>
      </c>
      <c r="U58" s="62">
        <v>70252</v>
      </c>
      <c r="V58" s="62">
        <f t="shared" si="71"/>
        <v>21463</v>
      </c>
      <c r="W58" s="241">
        <f t="shared" si="72"/>
        <v>0.43991473487876365</v>
      </c>
      <c r="X58" s="166">
        <v>111991</v>
      </c>
      <c r="Y58" s="62">
        <f t="shared" si="51"/>
        <v>41739</v>
      </c>
      <c r="Z58" s="95">
        <f t="shared" si="52"/>
        <v>0.59413255138643739</v>
      </c>
      <c r="AA58" s="202">
        <v>93251</v>
      </c>
      <c r="AB58" s="591">
        <f t="shared" si="53"/>
        <v>-18740</v>
      </c>
      <c r="AC58" s="592">
        <f t="shared" si="54"/>
        <v>-0.16733487512389389</v>
      </c>
      <c r="AD58" s="78">
        <v>57215</v>
      </c>
      <c r="AE58" s="78">
        <v>40771</v>
      </c>
      <c r="AF58" s="62">
        <v>78883</v>
      </c>
      <c r="AG58" s="62">
        <f t="shared" si="55"/>
        <v>-14368</v>
      </c>
      <c r="AH58" s="241">
        <f t="shared" si="56"/>
        <v>-0.15407877663510311</v>
      </c>
      <c r="AI58" s="545">
        <f>AF58-6</f>
        <v>78877</v>
      </c>
      <c r="AJ58" s="545">
        <f>AF58-6</f>
        <v>78877</v>
      </c>
      <c r="AK58" s="78">
        <v>33420</v>
      </c>
      <c r="AL58" s="593">
        <v>23420</v>
      </c>
      <c r="AM58" s="202">
        <f t="shared" si="57"/>
        <v>56840</v>
      </c>
      <c r="AN58" s="593">
        <v>37872</v>
      </c>
      <c r="AO58" s="593">
        <v>74366</v>
      </c>
      <c r="AP58" s="603">
        <v>8901</v>
      </c>
      <c r="AQ58" s="603">
        <v>737</v>
      </c>
      <c r="AR58" s="495">
        <f t="shared" si="73"/>
        <v>9638</v>
      </c>
      <c r="AS58" s="62">
        <f t="shared" si="74"/>
        <v>69549.239529999992</v>
      </c>
      <c r="AT58" s="78">
        <f t="shared" si="75"/>
        <v>-9333.7604700000084</v>
      </c>
      <c r="AU58" s="587">
        <f t="shared" si="76"/>
        <v>-0.1183241062079283</v>
      </c>
      <c r="AV58" s="78">
        <f t="shared" si="58"/>
        <v>-9333.7604700000084</v>
      </c>
      <c r="AW58" s="587">
        <f t="shared" si="59"/>
        <v>-0.1183241062079283</v>
      </c>
      <c r="AX58" s="62">
        <v>74405</v>
      </c>
      <c r="AY58" s="62">
        <f t="shared" si="27"/>
        <v>-4478</v>
      </c>
      <c r="AZ58" s="241">
        <f t="shared" si="28"/>
        <v>-5.6767617864432136E-2</v>
      </c>
      <c r="BA58" s="624">
        <f>38860.53801+36245.50726</f>
        <v>75106.045270000002</v>
      </c>
      <c r="BB58" s="624">
        <f>38147.82831+21763.41122</f>
        <v>59911.239529999999</v>
      </c>
      <c r="BC58" s="624">
        <f t="shared" si="77"/>
        <v>15194.805740000003</v>
      </c>
      <c r="BD58" s="31">
        <f t="shared" si="78"/>
        <v>0.20231135437068931</v>
      </c>
      <c r="BE58" s="62">
        <f>40654+29981</f>
        <v>70635</v>
      </c>
      <c r="BF58" s="62">
        <f t="shared" si="60"/>
        <v>-3770</v>
      </c>
      <c r="BG58" s="241">
        <f t="shared" si="61"/>
        <v>-5.0668637860358849E-2</v>
      </c>
      <c r="BH58" s="78">
        <v>5218</v>
      </c>
      <c r="BI58" s="78"/>
      <c r="BJ58" s="78"/>
      <c r="BK58" s="78">
        <v>75</v>
      </c>
      <c r="BL58" s="495">
        <f t="shared" si="31"/>
        <v>75928</v>
      </c>
      <c r="BM58" s="495">
        <f t="shared" si="62"/>
        <v>6378.7604700000084</v>
      </c>
      <c r="BN58" s="495">
        <v>78332</v>
      </c>
      <c r="BO58" s="39">
        <f t="shared" si="33"/>
        <v>7697</v>
      </c>
      <c r="BP58" s="587">
        <f t="shared" si="63"/>
        <v>9.1715747190140542E-2</v>
      </c>
      <c r="BQ58" s="99">
        <f t="shared" si="34"/>
        <v>0.10896864160826786</v>
      </c>
      <c r="BR58" s="495">
        <v>5167</v>
      </c>
      <c r="BU58" s="495">
        <v>23</v>
      </c>
      <c r="BV58" s="39">
        <f t="shared" si="64"/>
        <v>83522</v>
      </c>
      <c r="BW58" s="39">
        <f t="shared" si="65"/>
        <v>7594</v>
      </c>
      <c r="BX58" s="51">
        <f t="shared" si="66"/>
        <v>0.10001580444631757</v>
      </c>
    </row>
    <row r="59" spans="1:76" ht="18" customHeight="1">
      <c r="A59" s="59" t="s">
        <v>165</v>
      </c>
      <c r="B59" s="327">
        <v>240</v>
      </c>
      <c r="C59" s="327">
        <v>240</v>
      </c>
      <c r="D59" s="327">
        <f t="shared" si="67"/>
        <v>0</v>
      </c>
      <c r="E59" s="356">
        <f t="shared" si="79"/>
        <v>0</v>
      </c>
      <c r="F59" s="10">
        <v>243</v>
      </c>
      <c r="G59" s="10">
        <f t="shared" si="68"/>
        <v>3</v>
      </c>
      <c r="H59" s="14">
        <f t="shared" si="80"/>
        <v>1.2500000000000001E-2</v>
      </c>
      <c r="I59" s="10">
        <v>260</v>
      </c>
      <c r="J59" s="10">
        <f t="shared" si="69"/>
        <v>17</v>
      </c>
      <c r="K59" s="14">
        <f t="shared" si="81"/>
        <v>6.9958847736625515E-2</v>
      </c>
      <c r="L59" s="52">
        <v>74</v>
      </c>
      <c r="M59" s="52">
        <v>-186</v>
      </c>
      <c r="N59" s="58">
        <v>-0.7153846153846154</v>
      </c>
      <c r="O59" s="66">
        <v>0</v>
      </c>
      <c r="P59" s="52">
        <f t="shared" si="70"/>
        <v>-74</v>
      </c>
      <c r="Q59" s="58">
        <f t="shared" si="48"/>
        <v>-1</v>
      </c>
      <c r="R59" s="52">
        <v>0</v>
      </c>
      <c r="S59" s="52">
        <f t="shared" si="49"/>
        <v>0</v>
      </c>
      <c r="T59" s="60" t="s">
        <v>78</v>
      </c>
      <c r="U59" s="67">
        <v>0</v>
      </c>
      <c r="V59" s="52">
        <f t="shared" si="71"/>
        <v>0</v>
      </c>
      <c r="W59" s="60" t="s">
        <v>78</v>
      </c>
      <c r="Y59" s="52"/>
      <c r="AB59" s="172"/>
      <c r="AC59" s="60"/>
      <c r="AG59" s="52">
        <f t="shared" si="55"/>
        <v>0</v>
      </c>
      <c r="AH59" s="58" t="e">
        <f t="shared" si="56"/>
        <v>#DIV/0!</v>
      </c>
      <c r="AI59" s="220">
        <v>0</v>
      </c>
      <c r="AJ59" s="220">
        <v>0</v>
      </c>
      <c r="AK59" s="65"/>
      <c r="AM59" s="258"/>
      <c r="AN59" s="220"/>
      <c r="AO59" s="220">
        <v>0</v>
      </c>
      <c r="AP59" s="542">
        <v>0</v>
      </c>
      <c r="AQ59" s="542">
        <v>0</v>
      </c>
      <c r="AR59" s="39">
        <f t="shared" si="73"/>
        <v>0</v>
      </c>
      <c r="AS59" s="62">
        <f t="shared" si="74"/>
        <v>0</v>
      </c>
      <c r="AT59" s="65">
        <f t="shared" si="75"/>
        <v>0</v>
      </c>
      <c r="AU59" s="51" t="e">
        <f t="shared" si="76"/>
        <v>#DIV/0!</v>
      </c>
      <c r="AV59" s="65">
        <f t="shared" si="58"/>
        <v>0</v>
      </c>
      <c r="AW59" s="51" t="e">
        <f t="shared" si="59"/>
        <v>#DIV/0!</v>
      </c>
      <c r="AY59" s="52">
        <f t="shared" si="27"/>
        <v>0</v>
      </c>
      <c r="AZ59" s="58" t="e">
        <f t="shared" si="28"/>
        <v>#DIV/0!</v>
      </c>
      <c r="BC59" s="624">
        <f t="shared" si="77"/>
        <v>0</v>
      </c>
      <c r="BD59" s="31"/>
      <c r="BF59" s="52">
        <f t="shared" si="60"/>
        <v>0</v>
      </c>
      <c r="BG59" s="58" t="e">
        <f t="shared" si="61"/>
        <v>#DIV/0!</v>
      </c>
      <c r="BH59" s="65"/>
      <c r="BI59" s="65"/>
      <c r="BJ59" s="65"/>
      <c r="BK59" s="65"/>
      <c r="BL59" s="39">
        <f t="shared" si="31"/>
        <v>0</v>
      </c>
      <c r="BM59" s="39">
        <f t="shared" si="62"/>
        <v>0</v>
      </c>
      <c r="BN59" s="39"/>
      <c r="BO59" s="39">
        <f t="shared" si="33"/>
        <v>0</v>
      </c>
      <c r="BP59" s="51" t="e">
        <f t="shared" si="63"/>
        <v>#DIV/0!</v>
      </c>
      <c r="BQ59" s="99" t="e">
        <f t="shared" si="34"/>
        <v>#DIV/0!</v>
      </c>
      <c r="BU59" s="39"/>
      <c r="BV59" s="39">
        <f t="shared" si="64"/>
        <v>0</v>
      </c>
      <c r="BW59" s="39">
        <f t="shared" si="65"/>
        <v>0</v>
      </c>
      <c r="BX59" s="51" t="e">
        <f t="shared" si="66"/>
        <v>#DIV/0!</v>
      </c>
    </row>
    <row r="60" spans="1:76" s="79" customFormat="1" ht="18" customHeight="1">
      <c r="A60" s="59" t="s">
        <v>66</v>
      </c>
      <c r="B60" s="327">
        <v>255</v>
      </c>
      <c r="C60" s="327">
        <v>283</v>
      </c>
      <c r="D60" s="327">
        <f t="shared" si="67"/>
        <v>28</v>
      </c>
      <c r="E60" s="356">
        <f t="shared" si="79"/>
        <v>0.10980392156862745</v>
      </c>
      <c r="F60" s="590">
        <v>274</v>
      </c>
      <c r="G60" s="590">
        <f t="shared" si="68"/>
        <v>-9</v>
      </c>
      <c r="H60" s="276">
        <f t="shared" si="80"/>
        <v>-3.1802120141342753E-2</v>
      </c>
      <c r="I60" s="590">
        <v>281</v>
      </c>
      <c r="J60" s="590">
        <f t="shared" si="69"/>
        <v>7</v>
      </c>
      <c r="K60" s="276">
        <f t="shared" si="81"/>
        <v>2.5547445255474453E-2</v>
      </c>
      <c r="L60" s="62">
        <v>336</v>
      </c>
      <c r="M60" s="62">
        <v>55</v>
      </c>
      <c r="N60" s="241">
        <v>0.19572953736654805</v>
      </c>
      <c r="O60" s="62">
        <v>337</v>
      </c>
      <c r="P60" s="62">
        <f t="shared" si="70"/>
        <v>1</v>
      </c>
      <c r="Q60" s="241">
        <f t="shared" si="48"/>
        <v>2.976190476190476E-3</v>
      </c>
      <c r="R60" s="62">
        <v>408</v>
      </c>
      <c r="S60" s="62">
        <f t="shared" si="49"/>
        <v>71</v>
      </c>
      <c r="T60" s="241">
        <f t="shared" si="50"/>
        <v>0.21068249258160238</v>
      </c>
      <c r="U60" s="604">
        <v>519</v>
      </c>
      <c r="V60" s="62">
        <f t="shared" si="71"/>
        <v>111</v>
      </c>
      <c r="W60" s="241">
        <f t="shared" si="72"/>
        <v>0.27205882352941174</v>
      </c>
      <c r="X60" s="166">
        <v>693</v>
      </c>
      <c r="Y60" s="62">
        <f>X60-U60</f>
        <v>174</v>
      </c>
      <c r="Z60" s="95">
        <f>Y60/U60</f>
        <v>0.33526011560693642</v>
      </c>
      <c r="AA60" s="202">
        <v>708</v>
      </c>
      <c r="AB60" s="591">
        <f>AA60-X60</f>
        <v>15</v>
      </c>
      <c r="AC60" s="592">
        <f>AB60/X60</f>
        <v>2.1645021645021644E-2</v>
      </c>
      <c r="AD60" s="545">
        <v>698</v>
      </c>
      <c r="AE60" s="545"/>
      <c r="AF60" s="62">
        <v>645</v>
      </c>
      <c r="AG60" s="62">
        <f t="shared" si="55"/>
        <v>-63</v>
      </c>
      <c r="AH60" s="241">
        <f t="shared" si="56"/>
        <v>-8.8983050847457626E-2</v>
      </c>
      <c r="AI60" s="545">
        <f>AF60</f>
        <v>645</v>
      </c>
      <c r="AJ60" s="545">
        <f>AF60</f>
        <v>645</v>
      </c>
      <c r="AK60" s="78">
        <v>716</v>
      </c>
      <c r="AM60" s="202">
        <f t="shared" si="57"/>
        <v>716</v>
      </c>
      <c r="AN60" s="593">
        <v>734</v>
      </c>
      <c r="AO60" s="593">
        <v>734</v>
      </c>
      <c r="AP60" s="603">
        <v>47</v>
      </c>
      <c r="AQ60" s="603">
        <v>0</v>
      </c>
      <c r="AR60" s="495">
        <f t="shared" si="73"/>
        <v>47</v>
      </c>
      <c r="AS60" s="62">
        <f t="shared" si="74"/>
        <v>1109.6933300000001</v>
      </c>
      <c r="AT60" s="78">
        <f t="shared" si="75"/>
        <v>464.69333000000006</v>
      </c>
      <c r="AU60" s="587">
        <f t="shared" si="76"/>
        <v>0.72045477519379852</v>
      </c>
      <c r="AV60" s="78">
        <f t="shared" si="58"/>
        <v>464.69333000000006</v>
      </c>
      <c r="AW60" s="587">
        <f t="shared" si="59"/>
        <v>0.72045477519379852</v>
      </c>
      <c r="AX60" s="62">
        <v>1254</v>
      </c>
      <c r="AY60" s="62">
        <f t="shared" si="27"/>
        <v>609</v>
      </c>
      <c r="AZ60" s="241">
        <f t="shared" si="28"/>
        <v>0.94418604651162785</v>
      </c>
      <c r="BA60" s="624">
        <v>1254.2058400000001</v>
      </c>
      <c r="BB60" s="624">
        <v>1062.6933300000001</v>
      </c>
      <c r="BC60" s="624">
        <f t="shared" si="77"/>
        <v>191.51251000000002</v>
      </c>
      <c r="BD60" s="31">
        <f t="shared" si="78"/>
        <v>0.1526962352527397</v>
      </c>
      <c r="BE60" s="62">
        <v>1631</v>
      </c>
      <c r="BF60" s="62">
        <f t="shared" si="60"/>
        <v>377</v>
      </c>
      <c r="BG60" s="241">
        <f t="shared" si="61"/>
        <v>0.30063795853269537</v>
      </c>
      <c r="BH60" s="78">
        <v>37</v>
      </c>
      <c r="BI60" s="78"/>
      <c r="BJ60" s="78"/>
      <c r="BK60" s="78">
        <v>4</v>
      </c>
      <c r="BL60" s="495">
        <f t="shared" si="31"/>
        <v>1672</v>
      </c>
      <c r="BM60" s="495">
        <f t="shared" si="62"/>
        <v>562.30666999999994</v>
      </c>
      <c r="BN60" s="495">
        <v>1663</v>
      </c>
      <c r="BO60" s="39">
        <f t="shared" si="33"/>
        <v>32</v>
      </c>
      <c r="BP60" s="587">
        <f t="shared" si="63"/>
        <v>0.50672258253548297</v>
      </c>
      <c r="BQ60" s="99">
        <f t="shared" si="34"/>
        <v>1.9619865113427344E-2</v>
      </c>
      <c r="BR60" s="495">
        <v>69</v>
      </c>
      <c r="BU60" s="495">
        <v>0</v>
      </c>
      <c r="BV60" s="39">
        <f t="shared" si="64"/>
        <v>1732</v>
      </c>
      <c r="BW60" s="39">
        <f t="shared" si="65"/>
        <v>60</v>
      </c>
      <c r="BX60" s="51">
        <f t="shared" si="66"/>
        <v>3.5885167464114832E-2</v>
      </c>
    </row>
    <row r="61" spans="1:76" s="79" customFormat="1" ht="18" customHeight="1">
      <c r="A61" s="53" t="s">
        <v>67</v>
      </c>
      <c r="B61" s="327">
        <f>25172+1127</f>
        <v>26299</v>
      </c>
      <c r="C61" s="327">
        <f>23865+1138</f>
        <v>25003</v>
      </c>
      <c r="D61" s="327">
        <f t="shared" si="67"/>
        <v>-1296</v>
      </c>
      <c r="E61" s="356">
        <f t="shared" si="79"/>
        <v>-4.9279440282900489E-2</v>
      </c>
      <c r="F61" s="11">
        <f>25662+1483</f>
        <v>27145</v>
      </c>
      <c r="G61" s="590">
        <f t="shared" si="68"/>
        <v>2142</v>
      </c>
      <c r="H61" s="276">
        <f t="shared" si="80"/>
        <v>8.5669719633643962E-2</v>
      </c>
      <c r="I61" s="11">
        <f>24031+5674</f>
        <v>29705</v>
      </c>
      <c r="J61" s="590">
        <f t="shared" si="69"/>
        <v>2560</v>
      </c>
      <c r="K61" s="276">
        <f t="shared" si="81"/>
        <v>9.4308344078099099E-2</v>
      </c>
      <c r="L61" s="155">
        <v>30756</v>
      </c>
      <c r="M61" s="62">
        <v>1051</v>
      </c>
      <c r="N61" s="241">
        <v>3.5381248947988553E-2</v>
      </c>
      <c r="O61" s="155">
        <v>34942</v>
      </c>
      <c r="P61" s="155">
        <f t="shared" si="70"/>
        <v>4186</v>
      </c>
      <c r="Q61" s="241">
        <f t="shared" si="48"/>
        <v>0.1361035245155417</v>
      </c>
      <c r="R61" s="62">
        <v>41516</v>
      </c>
      <c r="S61" s="62">
        <f t="shared" si="49"/>
        <v>6574</v>
      </c>
      <c r="T61" s="241">
        <f t="shared" si="50"/>
        <v>0.1881403468605117</v>
      </c>
      <c r="U61" s="604">
        <v>41690</v>
      </c>
      <c r="V61" s="62">
        <f t="shared" si="71"/>
        <v>174</v>
      </c>
      <c r="W61" s="241">
        <f t="shared" si="72"/>
        <v>4.1911552172656328E-3</v>
      </c>
      <c r="X61" s="166">
        <v>37395</v>
      </c>
      <c r="Y61" s="62">
        <f>X61-U61</f>
        <v>-4295</v>
      </c>
      <c r="Z61" s="95">
        <f>Y61/U61</f>
        <v>-0.10302230750779563</v>
      </c>
      <c r="AA61" s="202">
        <v>36938</v>
      </c>
      <c r="AB61" s="591">
        <f>AA61-X61</f>
        <v>-457</v>
      </c>
      <c r="AC61" s="592">
        <f>AB61/X61</f>
        <v>-1.2220885145072871E-2</v>
      </c>
      <c r="AD61" s="78">
        <v>13258</v>
      </c>
      <c r="AE61" s="78">
        <v>21875</v>
      </c>
      <c r="AF61" s="62">
        <v>32251</v>
      </c>
      <c r="AG61" s="62">
        <f t="shared" si="55"/>
        <v>-4687</v>
      </c>
      <c r="AH61" s="241">
        <f t="shared" si="56"/>
        <v>-0.12688829931236126</v>
      </c>
      <c r="AI61" s="545">
        <f>AF61+1278</f>
        <v>33529</v>
      </c>
      <c r="AJ61" s="545">
        <f>AF61-681</f>
        <v>31570</v>
      </c>
      <c r="AK61" s="78">
        <v>13821</v>
      </c>
      <c r="AM61" s="202">
        <f t="shared" si="57"/>
        <v>13821</v>
      </c>
      <c r="AN61" s="593">
        <v>8061</v>
      </c>
      <c r="AO61" s="593">
        <v>25592</v>
      </c>
      <c r="AP61" s="603">
        <v>6036</v>
      </c>
      <c r="AQ61" s="603">
        <v>402</v>
      </c>
      <c r="AR61" s="495">
        <f t="shared" si="73"/>
        <v>6438</v>
      </c>
      <c r="AS61" s="62">
        <f t="shared" si="74"/>
        <v>28136.326290000001</v>
      </c>
      <c r="AT61" s="78">
        <f t="shared" si="75"/>
        <v>-4114.6737099999991</v>
      </c>
      <c r="AU61" s="587">
        <f t="shared" si="76"/>
        <v>-0.12758282564881707</v>
      </c>
      <c r="AV61" s="78">
        <f t="shared" si="58"/>
        <v>-4114.6737099999991</v>
      </c>
      <c r="AW61" s="587">
        <f t="shared" si="59"/>
        <v>-0.12758282564881707</v>
      </c>
      <c r="AX61" s="62">
        <f>24715</f>
        <v>24715</v>
      </c>
      <c r="AY61" s="62">
        <f t="shared" si="27"/>
        <v>-7536</v>
      </c>
      <c r="AZ61" s="241">
        <f t="shared" si="28"/>
        <v>-0.23366717311091129</v>
      </c>
      <c r="BA61" s="624">
        <f>7871.09065+16243.401</f>
        <v>24114.49165</v>
      </c>
      <c r="BB61" s="624">
        <f>7624.17191+14074.15438</f>
        <v>21698.326290000001</v>
      </c>
      <c r="BC61" s="624">
        <f t="shared" si="77"/>
        <v>2416.1653599999991</v>
      </c>
      <c r="BD61" s="31">
        <f t="shared" si="78"/>
        <v>0.10019557513666265</v>
      </c>
      <c r="BE61" s="62">
        <f>26031</f>
        <v>26031</v>
      </c>
      <c r="BF61" s="62">
        <f t="shared" si="60"/>
        <v>1316</v>
      </c>
      <c r="BG61" s="241">
        <f t="shared" si="61"/>
        <v>5.3247015982197048E-2</v>
      </c>
      <c r="BH61" s="78">
        <v>6492</v>
      </c>
      <c r="BI61" s="78"/>
      <c r="BJ61" s="78"/>
      <c r="BK61" s="78">
        <v>543</v>
      </c>
      <c r="BL61" s="495">
        <f t="shared" si="31"/>
        <v>33066</v>
      </c>
      <c r="BM61" s="495">
        <f t="shared" si="62"/>
        <v>4929.6737099999991</v>
      </c>
      <c r="BN61" s="495">
        <v>33149</v>
      </c>
      <c r="BO61" s="39">
        <f t="shared" si="33"/>
        <v>7118</v>
      </c>
      <c r="BP61" s="587">
        <f t="shared" si="63"/>
        <v>0.17520672952076427</v>
      </c>
      <c r="BQ61" s="99">
        <f t="shared" si="34"/>
        <v>0.2734432023356767</v>
      </c>
      <c r="BR61" s="495">
        <v>6693</v>
      </c>
      <c r="BU61" s="495">
        <v>249</v>
      </c>
      <c r="BV61" s="39">
        <f t="shared" si="64"/>
        <v>40091</v>
      </c>
      <c r="BW61" s="39">
        <f t="shared" si="65"/>
        <v>7025</v>
      </c>
      <c r="BX61" s="51">
        <f t="shared" si="66"/>
        <v>0.21245388011855076</v>
      </c>
    </row>
    <row r="62" spans="1:76" ht="18" customHeight="1">
      <c r="A62" s="53" t="s">
        <v>166</v>
      </c>
      <c r="B62" s="328" t="s">
        <v>78</v>
      </c>
      <c r="C62" s="328" t="s">
        <v>78</v>
      </c>
      <c r="D62" s="328" t="s">
        <v>78</v>
      </c>
      <c r="E62" s="328" t="s">
        <v>78</v>
      </c>
      <c r="F62" s="328" t="s">
        <v>78</v>
      </c>
      <c r="G62" s="328" t="s">
        <v>78</v>
      </c>
      <c r="H62" s="328" t="s">
        <v>78</v>
      </c>
      <c r="I62" s="328" t="s">
        <v>78</v>
      </c>
      <c r="J62" s="328" t="s">
        <v>78</v>
      </c>
      <c r="K62" s="328" t="s">
        <v>78</v>
      </c>
      <c r="L62" s="69">
        <v>0</v>
      </c>
      <c r="M62" s="52">
        <v>0</v>
      </c>
      <c r="N62" s="60" t="s">
        <v>78</v>
      </c>
      <c r="O62" s="69">
        <v>0</v>
      </c>
      <c r="P62" s="69">
        <f t="shared" si="70"/>
        <v>0</v>
      </c>
      <c r="Q62" s="60" t="s">
        <v>78</v>
      </c>
      <c r="R62" s="52">
        <v>0</v>
      </c>
      <c r="S62" s="52">
        <f t="shared" si="49"/>
        <v>0</v>
      </c>
      <c r="T62" s="60" t="s">
        <v>78</v>
      </c>
      <c r="U62" s="68">
        <v>0</v>
      </c>
      <c r="V62" s="52">
        <f t="shared" si="71"/>
        <v>0</v>
      </c>
      <c r="W62" s="60" t="s">
        <v>78</v>
      </c>
      <c r="X62" s="166">
        <v>1523</v>
      </c>
      <c r="Y62" s="52">
        <f>X62-U62</f>
        <v>1523</v>
      </c>
      <c r="AA62" s="202">
        <v>2530</v>
      </c>
      <c r="AB62" s="172">
        <f>AA62-X62</f>
        <v>1007</v>
      </c>
      <c r="AC62" s="100">
        <f>AB62/X62</f>
        <v>0.66119500984898227</v>
      </c>
      <c r="AD62" s="219">
        <v>560</v>
      </c>
      <c r="AE62" s="219">
        <v>3007</v>
      </c>
      <c r="AF62" s="52">
        <v>2319</v>
      </c>
      <c r="AG62" s="52">
        <f t="shared" si="55"/>
        <v>-211</v>
      </c>
      <c r="AH62" s="58">
        <f t="shared" si="56"/>
        <v>-8.3399209486166012E-2</v>
      </c>
      <c r="AI62" s="219">
        <f>AF62</f>
        <v>2319</v>
      </c>
      <c r="AJ62" s="219">
        <f>AF62-793</f>
        <v>1526</v>
      </c>
      <c r="AK62" s="65">
        <v>815</v>
      </c>
      <c r="AM62" s="258">
        <f t="shared" si="57"/>
        <v>815</v>
      </c>
      <c r="AN62" s="220">
        <v>0</v>
      </c>
      <c r="AO62" s="220">
        <v>1570</v>
      </c>
      <c r="AP62" s="542">
        <v>0</v>
      </c>
      <c r="AQ62" s="542">
        <v>0</v>
      </c>
      <c r="AR62" s="39">
        <f t="shared" si="73"/>
        <v>0</v>
      </c>
      <c r="AS62" s="62">
        <f t="shared" si="74"/>
        <v>1755.4464200000002</v>
      </c>
      <c r="AT62" s="65">
        <f t="shared" si="75"/>
        <v>-563.55357999999978</v>
      </c>
      <c r="AU62" s="51">
        <f t="shared" si="76"/>
        <v>-0.24301577404053462</v>
      </c>
      <c r="AV62" s="65">
        <f t="shared" si="58"/>
        <v>-563.55357999999978</v>
      </c>
      <c r="AW62" s="51">
        <f t="shared" si="59"/>
        <v>-0.24301577404053462</v>
      </c>
      <c r="AX62" s="52">
        <v>1816</v>
      </c>
      <c r="AY62" s="52">
        <f t="shared" si="27"/>
        <v>-503</v>
      </c>
      <c r="AZ62" s="58">
        <f t="shared" si="28"/>
        <v>-0.21690383786114706</v>
      </c>
      <c r="BA62" s="624">
        <f>645.16693+1231.02768</f>
        <v>1876.19461</v>
      </c>
      <c r="BB62" s="624">
        <f>560.40051+1195.04591</f>
        <v>1755.4464200000002</v>
      </c>
      <c r="BC62" s="624">
        <f t="shared" si="77"/>
        <v>120.74818999999979</v>
      </c>
      <c r="BD62" s="31">
        <f t="shared" si="78"/>
        <v>6.4358030535009256E-2</v>
      </c>
      <c r="BE62" s="52">
        <v>1924</v>
      </c>
      <c r="BF62" s="52">
        <f t="shared" si="60"/>
        <v>108</v>
      </c>
      <c r="BG62" s="58">
        <f t="shared" si="61"/>
        <v>5.9471365638766517E-2</v>
      </c>
      <c r="BH62" s="65"/>
      <c r="BI62" s="65"/>
      <c r="BJ62" s="65"/>
      <c r="BK62" s="65">
        <v>26</v>
      </c>
      <c r="BL62" s="39">
        <f t="shared" si="31"/>
        <v>1950</v>
      </c>
      <c r="BM62" s="39">
        <f t="shared" si="62"/>
        <v>194.55357999999978</v>
      </c>
      <c r="BN62" s="39">
        <v>1961</v>
      </c>
      <c r="BO62" s="39">
        <f t="shared" si="33"/>
        <v>37</v>
      </c>
      <c r="BP62" s="51">
        <f t="shared" si="63"/>
        <v>0.1108285492416224</v>
      </c>
      <c r="BQ62" s="99">
        <f t="shared" si="34"/>
        <v>1.9230769230769232E-2</v>
      </c>
      <c r="BR62" s="39">
        <v>155</v>
      </c>
      <c r="BU62" s="39">
        <v>0</v>
      </c>
      <c r="BV62" s="39">
        <f t="shared" si="64"/>
        <v>2116</v>
      </c>
      <c r="BW62" s="39">
        <f t="shared" si="65"/>
        <v>166</v>
      </c>
      <c r="BX62" s="51">
        <f t="shared" si="66"/>
        <v>8.5128205128205126E-2</v>
      </c>
    </row>
    <row r="63" spans="1:76" s="79" customFormat="1" ht="18" customHeight="1">
      <c r="A63" s="245" t="s">
        <v>371</v>
      </c>
      <c r="B63" s="601" t="s">
        <v>78</v>
      </c>
      <c r="C63" s="601" t="s">
        <v>78</v>
      </c>
      <c r="D63" s="595" t="s">
        <v>78</v>
      </c>
      <c r="E63" s="595" t="s">
        <v>78</v>
      </c>
      <c r="F63" s="11">
        <v>1736</v>
      </c>
      <c r="G63" s="595" t="s">
        <v>78</v>
      </c>
      <c r="H63" s="595" t="s">
        <v>78</v>
      </c>
      <c r="I63" s="11">
        <v>1691</v>
      </c>
      <c r="J63" s="590">
        <f t="shared" si="69"/>
        <v>-45</v>
      </c>
      <c r="K63" s="276">
        <f t="shared" si="81"/>
        <v>-2.5921658986175114E-2</v>
      </c>
      <c r="L63" s="155">
        <v>2358</v>
      </c>
      <c r="M63" s="62">
        <v>357</v>
      </c>
      <c r="N63" s="241">
        <v>3.8185902235533212E-2</v>
      </c>
      <c r="O63" s="155">
        <v>4135</v>
      </c>
      <c r="P63" s="155">
        <f t="shared" ref="P63:P74" si="82">O63-L63</f>
        <v>1777</v>
      </c>
      <c r="Q63" s="241">
        <f t="shared" si="48"/>
        <v>0.75360474978795589</v>
      </c>
      <c r="R63" s="155">
        <v>8595</v>
      </c>
      <c r="S63" s="155">
        <f t="shared" si="49"/>
        <v>4460</v>
      </c>
      <c r="T63" s="241">
        <f t="shared" si="50"/>
        <v>1.0785973397823458</v>
      </c>
      <c r="U63" s="604">
        <v>10032</v>
      </c>
      <c r="V63" s="62">
        <f t="shared" si="71"/>
        <v>1437</v>
      </c>
      <c r="W63" s="241">
        <f t="shared" si="72"/>
        <v>0.16719022687609075</v>
      </c>
      <c r="X63" s="166">
        <v>9902</v>
      </c>
      <c r="Y63" s="62">
        <f>X63-U63</f>
        <v>-130</v>
      </c>
      <c r="Z63" s="95">
        <f>Y63/U63</f>
        <v>-1.2958532695374801E-2</v>
      </c>
      <c r="AA63" s="202">
        <v>13627</v>
      </c>
      <c r="AB63" s="591">
        <f>AA63-X63</f>
        <v>3725</v>
      </c>
      <c r="AC63" s="592">
        <f>AB63/X63</f>
        <v>0.37618662896384569</v>
      </c>
      <c r="AD63" s="78">
        <v>5434</v>
      </c>
      <c r="AE63" s="78">
        <v>400</v>
      </c>
      <c r="AF63" s="62">
        <v>5211</v>
      </c>
      <c r="AG63" s="62">
        <f t="shared" si="55"/>
        <v>-8416</v>
      </c>
      <c r="AH63" s="241">
        <f t="shared" si="56"/>
        <v>-0.61759741689293313</v>
      </c>
      <c r="AI63" s="545">
        <f>AF63-44</f>
        <v>5167</v>
      </c>
      <c r="AJ63" s="545">
        <f>AF63-44</f>
        <v>5167</v>
      </c>
      <c r="AK63" s="78">
        <v>3485</v>
      </c>
      <c r="AL63" s="593">
        <v>2000</v>
      </c>
      <c r="AM63" s="202">
        <f t="shared" si="57"/>
        <v>5485</v>
      </c>
      <c r="AN63" s="593">
        <v>4940</v>
      </c>
      <c r="AO63" s="593">
        <v>5111</v>
      </c>
      <c r="AP63" s="603">
        <v>210</v>
      </c>
      <c r="AQ63" s="603">
        <v>3</v>
      </c>
      <c r="AR63" s="495">
        <f t="shared" si="73"/>
        <v>213</v>
      </c>
      <c r="AS63" s="62">
        <f t="shared" si="74"/>
        <v>4936.61481</v>
      </c>
      <c r="AT63" s="78">
        <f t="shared" si="75"/>
        <v>-274.38518999999997</v>
      </c>
      <c r="AU63" s="587">
        <f t="shared" si="76"/>
        <v>-5.2654997121473798E-2</v>
      </c>
      <c r="AV63" s="78">
        <f t="shared" si="58"/>
        <v>-274.38518999999997</v>
      </c>
      <c r="AW63" s="587">
        <f t="shared" si="59"/>
        <v>-5.2654997121473798E-2</v>
      </c>
      <c r="AX63" s="62">
        <f>4532</f>
        <v>4532</v>
      </c>
      <c r="AY63" s="62">
        <f t="shared" si="27"/>
        <v>-679</v>
      </c>
      <c r="AZ63" s="241">
        <f t="shared" si="28"/>
        <v>-0.13030128574170025</v>
      </c>
      <c r="BA63" s="624">
        <f>4361.981+645.85</f>
        <v>5007.8310000000001</v>
      </c>
      <c r="BB63" s="624">
        <f>4182.07981+541.535</f>
        <v>4723.61481</v>
      </c>
      <c r="BC63" s="624">
        <f t="shared" si="77"/>
        <v>284.2161900000001</v>
      </c>
      <c r="BD63" s="31">
        <f t="shared" si="78"/>
        <v>5.6754349338066737E-2</v>
      </c>
      <c r="BE63" s="62">
        <f>4020</f>
        <v>4020</v>
      </c>
      <c r="BF63" s="62">
        <f t="shared" si="60"/>
        <v>-512</v>
      </c>
      <c r="BG63" s="241">
        <f t="shared" si="61"/>
        <v>-0.11297440423654016</v>
      </c>
      <c r="BH63" s="78">
        <v>403</v>
      </c>
      <c r="BI63" s="78"/>
      <c r="BJ63" s="78"/>
      <c r="BK63" s="78">
        <v>32</v>
      </c>
      <c r="BL63" s="495">
        <f t="shared" si="31"/>
        <v>4455</v>
      </c>
      <c r="BM63" s="495">
        <f t="shared" si="62"/>
        <v>-481.61481000000003</v>
      </c>
      <c r="BN63" s="495">
        <v>4390</v>
      </c>
      <c r="BO63" s="39">
        <f t="shared" si="33"/>
        <v>370</v>
      </c>
      <c r="BP63" s="587">
        <f t="shared" si="63"/>
        <v>-9.7559730409673195E-2</v>
      </c>
      <c r="BQ63" s="99">
        <f t="shared" si="34"/>
        <v>9.2039800995024873E-2</v>
      </c>
      <c r="BR63" s="495">
        <v>833</v>
      </c>
      <c r="BU63" s="495">
        <v>0</v>
      </c>
      <c r="BV63" s="39">
        <f t="shared" si="64"/>
        <v>5223</v>
      </c>
      <c r="BW63" s="39">
        <f t="shared" si="65"/>
        <v>768</v>
      </c>
      <c r="BX63" s="51">
        <f t="shared" si="66"/>
        <v>0.1723905723905724</v>
      </c>
    </row>
    <row r="64" spans="1:76" ht="18" customHeight="1">
      <c r="A64" s="63" t="s">
        <v>108</v>
      </c>
      <c r="B64" s="327">
        <v>0</v>
      </c>
      <c r="C64" s="327">
        <v>0</v>
      </c>
      <c r="D64" s="327">
        <f t="shared" si="67"/>
        <v>0</v>
      </c>
      <c r="E64" s="328" t="s">
        <v>78</v>
      </c>
      <c r="F64" s="329">
        <v>1976</v>
      </c>
      <c r="G64" s="10">
        <f t="shared" si="68"/>
        <v>1976</v>
      </c>
      <c r="H64" s="328" t="s">
        <v>78</v>
      </c>
      <c r="I64" s="329">
        <v>2605</v>
      </c>
      <c r="J64" s="10">
        <f t="shared" si="69"/>
        <v>629</v>
      </c>
      <c r="K64" s="14">
        <f t="shared" si="81"/>
        <v>0.31831983805668018</v>
      </c>
      <c r="L64" s="69">
        <v>2995</v>
      </c>
      <c r="M64" s="52">
        <v>390</v>
      </c>
      <c r="N64" s="58">
        <v>0.14971209213051823</v>
      </c>
      <c r="O64" s="69">
        <v>3105</v>
      </c>
      <c r="P64" s="69">
        <f t="shared" si="82"/>
        <v>110</v>
      </c>
      <c r="Q64" s="58">
        <f t="shared" si="48"/>
        <v>3.6727879799666109E-2</v>
      </c>
      <c r="R64" s="69">
        <v>3158</v>
      </c>
      <c r="S64" s="69">
        <f t="shared" si="49"/>
        <v>53</v>
      </c>
      <c r="T64" s="58">
        <f t="shared" si="50"/>
        <v>1.7069243156199679E-2</v>
      </c>
      <c r="U64" s="68">
        <v>3523</v>
      </c>
      <c r="V64" s="52">
        <f t="shared" si="71"/>
        <v>365</v>
      </c>
      <c r="W64" s="58">
        <f t="shared" si="72"/>
        <v>0.11557948068397721</v>
      </c>
      <c r="X64" s="166">
        <v>5276</v>
      </c>
      <c r="Y64" s="52">
        <f>X64-U64</f>
        <v>1753</v>
      </c>
      <c r="Z64" s="95">
        <f>Y64/U64</f>
        <v>0.49758728356514337</v>
      </c>
      <c r="AA64" s="202">
        <v>6441</v>
      </c>
      <c r="AB64" s="172">
        <f>AA64-X64</f>
        <v>1165</v>
      </c>
      <c r="AC64" s="100">
        <f>AB64/X64</f>
        <v>0.2208112206216831</v>
      </c>
      <c r="AD64" s="219">
        <v>400</v>
      </c>
      <c r="AE64" s="219">
        <v>5486</v>
      </c>
      <c r="AF64" s="52">
        <v>5251</v>
      </c>
      <c r="AG64" s="52">
        <f t="shared" si="55"/>
        <v>-1190</v>
      </c>
      <c r="AH64" s="58">
        <f t="shared" si="56"/>
        <v>-0.18475392019872691</v>
      </c>
      <c r="AI64" s="219">
        <f>AF64</f>
        <v>5251</v>
      </c>
      <c r="AJ64" s="219">
        <f>AF64-232</f>
        <v>5019</v>
      </c>
      <c r="AK64" s="65">
        <v>409</v>
      </c>
      <c r="AM64" s="258">
        <f t="shared" si="57"/>
        <v>409</v>
      </c>
      <c r="AN64" s="220">
        <v>400</v>
      </c>
      <c r="AO64" s="220">
        <v>5194</v>
      </c>
      <c r="AP64" s="542">
        <v>0</v>
      </c>
      <c r="AQ64" s="542">
        <v>0</v>
      </c>
      <c r="AR64" s="39">
        <f t="shared" si="73"/>
        <v>0</v>
      </c>
      <c r="AS64" s="62">
        <f t="shared" si="74"/>
        <v>4525.5811000000003</v>
      </c>
      <c r="AT64" s="65">
        <f t="shared" si="75"/>
        <v>-725.41889999999967</v>
      </c>
      <c r="AU64" s="51">
        <f t="shared" si="76"/>
        <v>-0.13814871453056554</v>
      </c>
      <c r="AV64" s="65">
        <f t="shared" si="58"/>
        <v>-725.41889999999967</v>
      </c>
      <c r="AW64" s="51">
        <f t="shared" si="59"/>
        <v>-0.13814871453056554</v>
      </c>
      <c r="AX64" s="52">
        <v>4843</v>
      </c>
      <c r="AY64" s="52">
        <f t="shared" si="27"/>
        <v>-408</v>
      </c>
      <c r="AZ64" s="58">
        <f t="shared" si="28"/>
        <v>-7.7699485812226243E-2</v>
      </c>
      <c r="BA64" s="624">
        <v>4842.7169199999998</v>
      </c>
      <c r="BB64" s="624">
        <v>4525.5811000000003</v>
      </c>
      <c r="BC64" s="624">
        <f t="shared" si="77"/>
        <v>317.13581999999951</v>
      </c>
      <c r="BD64" s="31">
        <f t="shared" si="78"/>
        <v>6.5487168719331121E-2</v>
      </c>
      <c r="BE64" s="52">
        <f>739+5225</f>
        <v>5964</v>
      </c>
      <c r="BF64" s="52">
        <f t="shared" si="60"/>
        <v>1121</v>
      </c>
      <c r="BG64" s="58">
        <f t="shared" si="61"/>
        <v>0.23146809828618625</v>
      </c>
      <c r="BH64" s="65"/>
      <c r="BI64" s="65"/>
      <c r="BJ64" s="65"/>
      <c r="BK64" s="65"/>
      <c r="BL64" s="39">
        <f t="shared" si="31"/>
        <v>5964</v>
      </c>
      <c r="BM64" s="39">
        <f t="shared" si="62"/>
        <v>1438.4188999999997</v>
      </c>
      <c r="BN64" s="39">
        <v>6835</v>
      </c>
      <c r="BO64" s="39">
        <f t="shared" si="33"/>
        <v>871</v>
      </c>
      <c r="BP64" s="51">
        <f t="shared" si="63"/>
        <v>0.31784181262379751</v>
      </c>
      <c r="BQ64" s="99">
        <f t="shared" si="34"/>
        <v>0.14604292421193829</v>
      </c>
      <c r="BR64" s="39">
        <v>409</v>
      </c>
      <c r="BU64" s="39">
        <v>155</v>
      </c>
      <c r="BV64" s="39">
        <f t="shared" si="64"/>
        <v>7399</v>
      </c>
      <c r="BW64" s="39">
        <f t="shared" si="65"/>
        <v>1435</v>
      </c>
      <c r="BX64" s="51">
        <f t="shared" si="66"/>
        <v>0.24061032863849766</v>
      </c>
    </row>
    <row r="65" spans="1:76" ht="18" customHeight="1">
      <c r="A65" s="63" t="s">
        <v>167</v>
      </c>
      <c r="B65" s="328" t="s">
        <v>78</v>
      </c>
      <c r="C65" s="328" t="s">
        <v>78</v>
      </c>
      <c r="D65" s="328" t="s">
        <v>78</v>
      </c>
      <c r="E65" s="328" t="s">
        <v>78</v>
      </c>
      <c r="F65" s="328" t="s">
        <v>78</v>
      </c>
      <c r="G65" s="328" t="s">
        <v>78</v>
      </c>
      <c r="H65" s="328" t="s">
        <v>78</v>
      </c>
      <c r="I65" s="328" t="s">
        <v>78</v>
      </c>
      <c r="J65" s="328" t="s">
        <v>78</v>
      </c>
      <c r="K65" s="328" t="s">
        <v>78</v>
      </c>
      <c r="L65" s="525" t="s">
        <v>78</v>
      </c>
      <c r="M65" s="522" t="s">
        <v>78</v>
      </c>
      <c r="N65" s="522" t="s">
        <v>78</v>
      </c>
      <c r="O65" s="525" t="s">
        <v>78</v>
      </c>
      <c r="P65" s="525" t="s">
        <v>78</v>
      </c>
      <c r="Q65" s="522" t="s">
        <v>78</v>
      </c>
      <c r="R65" s="525" t="s">
        <v>78</v>
      </c>
      <c r="S65" s="525" t="s">
        <v>78</v>
      </c>
      <c r="T65" s="66" t="s">
        <v>78</v>
      </c>
      <c r="U65" s="68"/>
      <c r="V65" s="52" t="e">
        <f t="shared" si="71"/>
        <v>#VALUE!</v>
      </c>
      <c r="W65" s="60" t="s">
        <v>78</v>
      </c>
      <c r="Y65" s="52"/>
      <c r="AB65" s="172"/>
      <c r="AC65" s="60"/>
      <c r="AG65" s="52">
        <f t="shared" si="55"/>
        <v>0</v>
      </c>
      <c r="AH65" s="58" t="e">
        <f t="shared" si="56"/>
        <v>#DIV/0!</v>
      </c>
      <c r="AI65" s="50">
        <v>0</v>
      </c>
      <c r="AJ65" s="50">
        <v>0</v>
      </c>
      <c r="AM65" s="258">
        <f t="shared" si="57"/>
        <v>0</v>
      </c>
      <c r="AN65" s="220">
        <v>0</v>
      </c>
      <c r="AO65" s="220">
        <v>0</v>
      </c>
      <c r="AP65" s="542">
        <v>0</v>
      </c>
      <c r="AQ65" s="542">
        <v>0</v>
      </c>
      <c r="AR65" s="39">
        <f t="shared" si="73"/>
        <v>0</v>
      </c>
      <c r="AS65" s="62">
        <f t="shared" si="74"/>
        <v>0</v>
      </c>
      <c r="AT65" s="65">
        <f t="shared" si="75"/>
        <v>0</v>
      </c>
      <c r="AU65" s="51" t="e">
        <f t="shared" si="76"/>
        <v>#DIV/0!</v>
      </c>
      <c r="AV65" s="65">
        <f t="shared" si="58"/>
        <v>0</v>
      </c>
      <c r="AW65" s="51" t="e">
        <f t="shared" si="59"/>
        <v>#DIV/0!</v>
      </c>
      <c r="AY65" s="52">
        <f t="shared" si="27"/>
        <v>0</v>
      </c>
      <c r="AZ65" s="58" t="e">
        <f t="shared" si="28"/>
        <v>#DIV/0!</v>
      </c>
      <c r="BC65" s="624">
        <f t="shared" si="77"/>
        <v>0</v>
      </c>
      <c r="BD65" s="31"/>
      <c r="BF65" s="52">
        <f t="shared" si="60"/>
        <v>0</v>
      </c>
      <c r="BG65" s="58" t="e">
        <f t="shared" si="61"/>
        <v>#DIV/0!</v>
      </c>
      <c r="BH65" s="65"/>
      <c r="BI65" s="65"/>
      <c r="BJ65" s="65"/>
      <c r="BK65" s="65"/>
      <c r="BL65" s="39">
        <f t="shared" si="31"/>
        <v>0</v>
      </c>
      <c r="BM65" s="39">
        <f t="shared" si="62"/>
        <v>0</v>
      </c>
      <c r="BN65" s="39"/>
      <c r="BO65" s="39">
        <f t="shared" si="33"/>
        <v>0</v>
      </c>
      <c r="BP65" s="51" t="e">
        <f t="shared" si="63"/>
        <v>#DIV/0!</v>
      </c>
      <c r="BQ65" s="99" t="e">
        <f t="shared" si="34"/>
        <v>#DIV/0!</v>
      </c>
      <c r="BU65" s="39"/>
      <c r="BV65" s="39">
        <f t="shared" si="64"/>
        <v>0</v>
      </c>
      <c r="BW65" s="39">
        <f t="shared" si="65"/>
        <v>0</v>
      </c>
      <c r="BX65" s="51" t="e">
        <f t="shared" si="66"/>
        <v>#DIV/0!</v>
      </c>
    </row>
    <row r="66" spans="1:76" s="79" customFormat="1" ht="18" customHeight="1">
      <c r="A66" s="53" t="s">
        <v>107</v>
      </c>
      <c r="B66" s="327">
        <v>5155</v>
      </c>
      <c r="C66" s="327">
        <v>5962</v>
      </c>
      <c r="D66" s="327">
        <f t="shared" si="67"/>
        <v>807</v>
      </c>
      <c r="E66" s="356">
        <f t="shared" si="79"/>
        <v>0.1565470417070805</v>
      </c>
      <c r="F66" s="601">
        <v>6127</v>
      </c>
      <c r="G66" s="590">
        <f t="shared" si="68"/>
        <v>165</v>
      </c>
      <c r="H66" s="276">
        <f t="shared" si="80"/>
        <v>2.7675276752767528E-2</v>
      </c>
      <c r="I66" s="601">
        <v>6353</v>
      </c>
      <c r="J66" s="590">
        <f t="shared" si="69"/>
        <v>226</v>
      </c>
      <c r="K66" s="276">
        <f t="shared" si="81"/>
        <v>3.6885914803329527E-2</v>
      </c>
      <c r="L66" s="155">
        <v>6478</v>
      </c>
      <c r="M66" s="62">
        <v>125</v>
      </c>
      <c r="N66" s="241">
        <v>1.967574374311349E-2</v>
      </c>
      <c r="O66" s="155">
        <v>6551</v>
      </c>
      <c r="P66" s="155">
        <f t="shared" si="82"/>
        <v>73</v>
      </c>
      <c r="Q66" s="241">
        <f t="shared" si="48"/>
        <v>1.1268910157456005E-2</v>
      </c>
      <c r="R66" s="155">
        <v>10186</v>
      </c>
      <c r="S66" s="155">
        <f t="shared" si="49"/>
        <v>3635</v>
      </c>
      <c r="T66" s="241">
        <f t="shared" si="50"/>
        <v>0.55487711799725237</v>
      </c>
      <c r="U66" s="62">
        <v>7628</v>
      </c>
      <c r="V66" s="62">
        <f t="shared" si="71"/>
        <v>-2558</v>
      </c>
      <c r="W66" s="241">
        <f t="shared" si="72"/>
        <v>-0.2511290005890438</v>
      </c>
      <c r="X66" s="166">
        <v>8568</v>
      </c>
      <c r="Y66" s="62">
        <f t="shared" ref="Y66:Y72" si="83">X66-U66</f>
        <v>940</v>
      </c>
      <c r="Z66" s="95">
        <f t="shared" ref="Z66:Z71" si="84">Y66/U66</f>
        <v>0.1232302045097011</v>
      </c>
      <c r="AA66" s="202">
        <v>9790</v>
      </c>
      <c r="AB66" s="591">
        <f t="shared" ref="AB66:AB72" si="85">AA66-X66</f>
        <v>1222</v>
      </c>
      <c r="AC66" s="592">
        <f>AB66/X66</f>
        <v>0.14262371615312791</v>
      </c>
      <c r="AD66" s="545">
        <v>0</v>
      </c>
      <c r="AE66" s="545">
        <v>9958</v>
      </c>
      <c r="AF66" s="62">
        <v>9561</v>
      </c>
      <c r="AG66" s="62">
        <f t="shared" si="55"/>
        <v>-229</v>
      </c>
      <c r="AH66" s="241">
        <f t="shared" si="56"/>
        <v>-2.3391215526046987E-2</v>
      </c>
      <c r="AI66" s="78">
        <f>AF66</f>
        <v>9561</v>
      </c>
      <c r="AJ66" s="78">
        <f>AF66</f>
        <v>9561</v>
      </c>
      <c r="AM66" s="202">
        <f t="shared" si="57"/>
        <v>0</v>
      </c>
      <c r="AN66" s="593">
        <v>0</v>
      </c>
      <c r="AO66" s="593">
        <v>9569</v>
      </c>
      <c r="AP66" s="603">
        <v>0</v>
      </c>
      <c r="AQ66" s="603">
        <v>78</v>
      </c>
      <c r="AR66" s="495">
        <f t="shared" si="73"/>
        <v>78</v>
      </c>
      <c r="AS66" s="62">
        <f t="shared" si="74"/>
        <v>9316.9128099999998</v>
      </c>
      <c r="AT66" s="78">
        <f t="shared" si="75"/>
        <v>-244.08719000000019</v>
      </c>
      <c r="AU66" s="587">
        <f t="shared" si="76"/>
        <v>-2.5529462399330634E-2</v>
      </c>
      <c r="AV66" s="78">
        <f t="shared" si="58"/>
        <v>-244.08719000000019</v>
      </c>
      <c r="AW66" s="587">
        <f t="shared" si="59"/>
        <v>-2.5529462399330634E-2</v>
      </c>
      <c r="AX66" s="62">
        <v>9453</v>
      </c>
      <c r="AY66" s="62">
        <f t="shared" si="27"/>
        <v>-108</v>
      </c>
      <c r="AZ66" s="241">
        <f t="shared" si="28"/>
        <v>-1.1295889551302165E-2</v>
      </c>
      <c r="BA66" s="624">
        <v>9453.4728799999993</v>
      </c>
      <c r="BB66" s="624">
        <v>9238.9128099999998</v>
      </c>
      <c r="BC66" s="624">
        <f t="shared" si="77"/>
        <v>214.56006999999954</v>
      </c>
      <c r="BD66" s="31">
        <f t="shared" si="78"/>
        <v>2.2696428362737268E-2</v>
      </c>
      <c r="BE66" s="62">
        <v>9901</v>
      </c>
      <c r="BF66" s="62">
        <f t="shared" si="60"/>
        <v>448</v>
      </c>
      <c r="BG66" s="241">
        <f t="shared" si="61"/>
        <v>4.7392362213054054E-2</v>
      </c>
      <c r="BH66" s="78"/>
      <c r="BI66" s="78"/>
      <c r="BJ66" s="78"/>
      <c r="BK66" s="78"/>
      <c r="BL66" s="495">
        <f t="shared" si="31"/>
        <v>9901</v>
      </c>
      <c r="BM66" s="495">
        <f t="shared" si="62"/>
        <v>584.08719000000019</v>
      </c>
      <c r="BN66" s="495">
        <v>10360</v>
      </c>
      <c r="BO66" s="39">
        <f t="shared" si="33"/>
        <v>459</v>
      </c>
      <c r="BP66" s="587">
        <f t="shared" si="63"/>
        <v>6.2691065368035814E-2</v>
      </c>
      <c r="BQ66" s="99">
        <f t="shared" si="34"/>
        <v>4.6358953641046356E-2</v>
      </c>
      <c r="BR66" s="495">
        <v>1702</v>
      </c>
      <c r="BU66" s="495">
        <v>0</v>
      </c>
      <c r="BV66" s="39">
        <f t="shared" si="64"/>
        <v>12062</v>
      </c>
      <c r="BW66" s="39">
        <f t="shared" si="65"/>
        <v>2161</v>
      </c>
      <c r="BX66" s="51">
        <f t="shared" si="66"/>
        <v>0.21826078173921826</v>
      </c>
    </row>
    <row r="67" spans="1:76" ht="18" customHeight="1">
      <c r="A67" s="63" t="s">
        <v>109</v>
      </c>
      <c r="B67" s="328">
        <v>2757</v>
      </c>
      <c r="C67" s="328">
        <v>3052</v>
      </c>
      <c r="D67" s="327">
        <f t="shared" si="67"/>
        <v>295</v>
      </c>
      <c r="E67" s="356">
        <f t="shared" si="79"/>
        <v>0.10700036271309395</v>
      </c>
      <c r="F67" s="329">
        <v>3826</v>
      </c>
      <c r="G67" s="10">
        <f t="shared" si="68"/>
        <v>774</v>
      </c>
      <c r="H67" s="14">
        <f t="shared" si="80"/>
        <v>0.25360419397116646</v>
      </c>
      <c r="I67" s="329">
        <v>3779</v>
      </c>
      <c r="J67" s="10">
        <f t="shared" si="69"/>
        <v>-47</v>
      </c>
      <c r="K67" s="14">
        <f t="shared" si="81"/>
        <v>-1.2284370099320438E-2</v>
      </c>
      <c r="L67" s="69">
        <v>4192</v>
      </c>
      <c r="M67" s="52">
        <v>413</v>
      </c>
      <c r="N67" s="58">
        <v>0.10928817147393491</v>
      </c>
      <c r="O67" s="69">
        <v>3830</v>
      </c>
      <c r="P67" s="69">
        <f t="shared" si="82"/>
        <v>-362</v>
      </c>
      <c r="Q67" s="58">
        <f t="shared" si="48"/>
        <v>-8.6354961832061067E-2</v>
      </c>
      <c r="R67" s="69">
        <v>4239</v>
      </c>
      <c r="S67" s="69">
        <f t="shared" si="49"/>
        <v>409</v>
      </c>
      <c r="T67" s="58">
        <f t="shared" si="50"/>
        <v>0.10678851174934725</v>
      </c>
      <c r="U67" s="52">
        <v>4384</v>
      </c>
      <c r="V67" s="52">
        <f t="shared" si="71"/>
        <v>145</v>
      </c>
      <c r="W67" s="58">
        <f t="shared" si="72"/>
        <v>3.4206180702995991E-2</v>
      </c>
      <c r="X67" s="166">
        <v>4865</v>
      </c>
      <c r="Y67" s="52">
        <f t="shared" si="83"/>
        <v>481</v>
      </c>
      <c r="Z67" s="95">
        <f t="shared" si="84"/>
        <v>0.10971715328467153</v>
      </c>
      <c r="AA67" s="202">
        <v>5025</v>
      </c>
      <c r="AB67" s="172">
        <f t="shared" si="85"/>
        <v>160</v>
      </c>
      <c r="AC67" s="100">
        <f>AB67/X67</f>
        <v>3.28879753340185E-2</v>
      </c>
      <c r="AD67" s="219">
        <v>0</v>
      </c>
      <c r="AE67" s="219">
        <v>5136</v>
      </c>
      <c r="AF67" s="52">
        <v>4723</v>
      </c>
      <c r="AG67" s="52">
        <f t="shared" si="55"/>
        <v>-302</v>
      </c>
      <c r="AH67" s="58">
        <f t="shared" si="56"/>
        <v>-6.0099502487562191E-2</v>
      </c>
      <c r="AI67" s="65">
        <f>AF67</f>
        <v>4723</v>
      </c>
      <c r="AJ67" s="65">
        <f>AF67</f>
        <v>4723</v>
      </c>
      <c r="AM67" s="258">
        <f t="shared" si="57"/>
        <v>0</v>
      </c>
      <c r="AN67" s="220">
        <v>0</v>
      </c>
      <c r="AO67" s="220">
        <v>5229</v>
      </c>
      <c r="AP67" s="542">
        <v>0</v>
      </c>
      <c r="AQ67" s="542">
        <v>14</v>
      </c>
      <c r="AR67" s="39">
        <f t="shared" si="73"/>
        <v>14</v>
      </c>
      <c r="AS67" s="62">
        <f t="shared" si="74"/>
        <v>4974.1370699999998</v>
      </c>
      <c r="AT67" s="65">
        <f t="shared" si="75"/>
        <v>251.13706999999977</v>
      </c>
      <c r="AU67" s="51">
        <f t="shared" si="76"/>
        <v>5.3173209824264191E-2</v>
      </c>
      <c r="AV67" s="65">
        <f t="shared" si="58"/>
        <v>251.13706999999977</v>
      </c>
      <c r="AW67" s="51">
        <f t="shared" si="59"/>
        <v>5.3173209824264191E-2</v>
      </c>
      <c r="AX67" s="52">
        <v>5170</v>
      </c>
      <c r="AY67" s="52">
        <f t="shared" si="27"/>
        <v>447</v>
      </c>
      <c r="AZ67" s="58">
        <f t="shared" si="28"/>
        <v>9.4643235231844161E-2</v>
      </c>
      <c r="BA67" s="624">
        <v>5170.1981900000001</v>
      </c>
      <c r="BB67" s="624">
        <v>4960.1370699999998</v>
      </c>
      <c r="BC67" s="624">
        <f t="shared" si="77"/>
        <v>210.0611200000003</v>
      </c>
      <c r="BD67" s="31">
        <f t="shared" si="78"/>
        <v>4.062922005703621E-2</v>
      </c>
      <c r="BE67" s="52">
        <v>5447</v>
      </c>
      <c r="BF67" s="52">
        <f t="shared" si="60"/>
        <v>277</v>
      </c>
      <c r="BG67" s="58">
        <f t="shared" si="61"/>
        <v>5.3578336557059958E-2</v>
      </c>
      <c r="BH67" s="65"/>
      <c r="BI67" s="65"/>
      <c r="BJ67" s="65"/>
      <c r="BK67" s="65"/>
      <c r="BL67" s="39">
        <f t="shared" si="31"/>
        <v>5447</v>
      </c>
      <c r="BM67" s="39">
        <f t="shared" si="62"/>
        <v>472.86293000000023</v>
      </c>
      <c r="BN67" s="39">
        <v>6116</v>
      </c>
      <c r="BO67" s="39">
        <f t="shared" si="33"/>
        <v>669</v>
      </c>
      <c r="BP67" s="51">
        <f t="shared" si="63"/>
        <v>9.50643143414623E-2</v>
      </c>
      <c r="BQ67" s="99">
        <f t="shared" si="34"/>
        <v>0.12281990086286029</v>
      </c>
      <c r="BR67" s="39">
        <v>1038</v>
      </c>
      <c r="BU67" s="39">
        <v>0</v>
      </c>
      <c r="BV67" s="39">
        <f t="shared" si="64"/>
        <v>7154</v>
      </c>
      <c r="BW67" s="39">
        <f t="shared" si="65"/>
        <v>1707</v>
      </c>
      <c r="BX67" s="51">
        <f t="shared" si="66"/>
        <v>0.31338351386084085</v>
      </c>
    </row>
    <row r="68" spans="1:76" ht="18" customHeight="1">
      <c r="A68" s="63" t="s">
        <v>110</v>
      </c>
      <c r="B68" s="328">
        <v>6426</v>
      </c>
      <c r="C68" s="328">
        <v>7518</v>
      </c>
      <c r="D68" s="327">
        <f t="shared" si="67"/>
        <v>1092</v>
      </c>
      <c r="E68" s="356">
        <f t="shared" si="79"/>
        <v>0.16993464052287582</v>
      </c>
      <c r="F68" s="329">
        <v>8346</v>
      </c>
      <c r="G68" s="10">
        <f t="shared" si="68"/>
        <v>828</v>
      </c>
      <c r="H68" s="14">
        <f t="shared" si="80"/>
        <v>0.11013567438148444</v>
      </c>
      <c r="I68" s="329">
        <v>9349</v>
      </c>
      <c r="J68" s="10">
        <f t="shared" si="69"/>
        <v>1003</v>
      </c>
      <c r="K68" s="14">
        <f t="shared" si="81"/>
        <v>0.12017733045770429</v>
      </c>
      <c r="L68" s="69">
        <f>9706+1682</f>
        <v>11388</v>
      </c>
      <c r="M68" s="52">
        <f>L68-I68</f>
        <v>2039</v>
      </c>
      <c r="N68" s="58">
        <f>M68/I68</f>
        <v>0.21809819232003422</v>
      </c>
      <c r="O68" s="69">
        <v>11766</v>
      </c>
      <c r="P68" s="69">
        <f>O68-L68</f>
        <v>378</v>
      </c>
      <c r="Q68" s="58">
        <f t="shared" si="48"/>
        <v>3.3192834562697573E-2</v>
      </c>
      <c r="R68" s="69">
        <v>13157</v>
      </c>
      <c r="S68" s="69">
        <f t="shared" si="49"/>
        <v>1391</v>
      </c>
      <c r="T68" s="58">
        <f t="shared" si="50"/>
        <v>0.11822199558048614</v>
      </c>
      <c r="U68" s="52">
        <v>13971</v>
      </c>
      <c r="V68" s="52">
        <f t="shared" si="71"/>
        <v>814</v>
      </c>
      <c r="W68" s="58">
        <f t="shared" si="72"/>
        <v>6.186820703807859E-2</v>
      </c>
      <c r="X68" s="166">
        <v>14651</v>
      </c>
      <c r="Y68" s="52">
        <f t="shared" si="83"/>
        <v>680</v>
      </c>
      <c r="Z68" s="95">
        <f t="shared" si="84"/>
        <v>4.867224966001002E-2</v>
      </c>
      <c r="AA68" s="202">
        <v>16319</v>
      </c>
      <c r="AB68" s="172">
        <f t="shared" si="85"/>
        <v>1668</v>
      </c>
      <c r="AC68" s="100">
        <f>AB68/X68</f>
        <v>0.11384888403521944</v>
      </c>
      <c r="AD68" s="219">
        <v>0</v>
      </c>
      <c r="AE68" s="219">
        <v>16327</v>
      </c>
      <c r="AF68" s="52">
        <v>14953</v>
      </c>
      <c r="AG68" s="52">
        <f t="shared" si="55"/>
        <v>-1366</v>
      </c>
      <c r="AH68" s="58">
        <f t="shared" si="56"/>
        <v>-8.370610944298057E-2</v>
      </c>
      <c r="AI68" s="65">
        <f>AF68</f>
        <v>14953</v>
      </c>
      <c r="AJ68" s="65">
        <f>AF68-546</f>
        <v>14407</v>
      </c>
      <c r="AM68" s="258">
        <f t="shared" si="57"/>
        <v>0</v>
      </c>
      <c r="AN68" s="220">
        <v>0</v>
      </c>
      <c r="AO68" s="220">
        <v>16674</v>
      </c>
      <c r="AP68" s="542">
        <v>0</v>
      </c>
      <c r="AQ68" s="542">
        <v>119</v>
      </c>
      <c r="AR68" s="39">
        <f t="shared" si="73"/>
        <v>119</v>
      </c>
      <c r="AS68" s="62">
        <f t="shared" si="74"/>
        <v>13872.063039999999</v>
      </c>
      <c r="AT68" s="65">
        <f t="shared" si="75"/>
        <v>-1080.9369600000009</v>
      </c>
      <c r="AU68" s="51">
        <f t="shared" si="76"/>
        <v>-7.2288969437571113E-2</v>
      </c>
      <c r="AV68" s="65">
        <f t="shared" si="58"/>
        <v>-1080.9369600000009</v>
      </c>
      <c r="AW68" s="51">
        <f t="shared" si="59"/>
        <v>-7.2288969437571113E-2</v>
      </c>
      <c r="AX68" s="52">
        <v>15088</v>
      </c>
      <c r="AY68" s="52">
        <f t="shared" si="27"/>
        <v>135</v>
      </c>
      <c r="AZ68" s="58">
        <f t="shared" si="28"/>
        <v>9.0282886377315592E-3</v>
      </c>
      <c r="BA68" s="624">
        <v>15086.813529999999</v>
      </c>
      <c r="BB68" s="624">
        <v>13753.063039999999</v>
      </c>
      <c r="BC68" s="624">
        <f t="shared" si="77"/>
        <v>1333.7504900000004</v>
      </c>
      <c r="BD68" s="31">
        <f t="shared" si="78"/>
        <v>8.8405049041525491E-2</v>
      </c>
      <c r="BE68" s="52">
        <v>17042</v>
      </c>
      <c r="BF68" s="52">
        <f t="shared" si="60"/>
        <v>1954</v>
      </c>
      <c r="BG68" s="58">
        <f t="shared" si="61"/>
        <v>0.12950689289501591</v>
      </c>
      <c r="BH68" s="65"/>
      <c r="BI68" s="65"/>
      <c r="BJ68" s="65"/>
      <c r="BK68" s="65"/>
      <c r="BL68" s="39">
        <f t="shared" si="31"/>
        <v>17042</v>
      </c>
      <c r="BM68" s="39">
        <f t="shared" si="62"/>
        <v>3169.9369600000009</v>
      </c>
      <c r="BN68" s="39">
        <v>17868</v>
      </c>
      <c r="BO68" s="39">
        <f t="shared" si="33"/>
        <v>826</v>
      </c>
      <c r="BP68" s="51">
        <f t="shared" si="63"/>
        <v>0.22851229488069</v>
      </c>
      <c r="BQ68" s="99">
        <f t="shared" si="34"/>
        <v>4.8468489613895084E-2</v>
      </c>
      <c r="BR68" s="39">
        <v>1900</v>
      </c>
      <c r="BU68" s="39">
        <v>1</v>
      </c>
      <c r="BV68" s="39">
        <f t="shared" si="64"/>
        <v>19769</v>
      </c>
      <c r="BW68" s="39">
        <f t="shared" si="65"/>
        <v>2727</v>
      </c>
      <c r="BX68" s="51">
        <f t="shared" si="66"/>
        <v>0.16001642999647928</v>
      </c>
    </row>
    <row r="69" spans="1:76" ht="18" customHeight="1">
      <c r="A69" s="63" t="s">
        <v>111</v>
      </c>
      <c r="B69" s="328">
        <v>3320</v>
      </c>
      <c r="C69" s="328">
        <v>7687</v>
      </c>
      <c r="D69" s="327">
        <f t="shared" si="67"/>
        <v>4367</v>
      </c>
      <c r="E69" s="356">
        <f t="shared" si="79"/>
        <v>1.3153614457831326</v>
      </c>
      <c r="F69" s="329">
        <v>3197</v>
      </c>
      <c r="G69" s="10">
        <f t="shared" si="68"/>
        <v>-4490</v>
      </c>
      <c r="H69" s="14">
        <f t="shared" si="80"/>
        <v>-0.58410303109145312</v>
      </c>
      <c r="I69" s="329">
        <v>5355</v>
      </c>
      <c r="J69" s="10">
        <f t="shared" si="69"/>
        <v>2158</v>
      </c>
      <c r="K69" s="14">
        <f t="shared" si="81"/>
        <v>0.67500781983109159</v>
      </c>
      <c r="L69" s="69">
        <v>4485</v>
      </c>
      <c r="M69" s="52">
        <v>-870</v>
      </c>
      <c r="N69" s="58">
        <v>-0.16246498599439776</v>
      </c>
      <c r="O69" s="69">
        <v>4885</v>
      </c>
      <c r="P69" s="69">
        <f t="shared" si="82"/>
        <v>400</v>
      </c>
      <c r="Q69" s="58">
        <f t="shared" si="48"/>
        <v>8.9186176142697887E-2</v>
      </c>
      <c r="R69" s="69">
        <v>5385</v>
      </c>
      <c r="S69" s="69">
        <f t="shared" si="49"/>
        <v>500</v>
      </c>
      <c r="T69" s="58">
        <f t="shared" si="50"/>
        <v>0.10235414534288639</v>
      </c>
      <c r="U69" s="52">
        <v>6565</v>
      </c>
      <c r="V69" s="52">
        <f t="shared" si="71"/>
        <v>1180</v>
      </c>
      <c r="W69" s="58">
        <f t="shared" si="72"/>
        <v>0.21912720519962861</v>
      </c>
      <c r="X69" s="166">
        <v>6942</v>
      </c>
      <c r="Y69" s="52">
        <f t="shared" si="83"/>
        <v>377</v>
      </c>
      <c r="Z69" s="95">
        <f t="shared" si="84"/>
        <v>5.7425742574257428E-2</v>
      </c>
      <c r="AA69" s="202">
        <v>7089</v>
      </c>
      <c r="AB69" s="172">
        <f t="shared" si="85"/>
        <v>147</v>
      </c>
      <c r="AC69" s="100">
        <f>AB69/X69</f>
        <v>2.1175453759723423E-2</v>
      </c>
      <c r="AD69" s="219">
        <v>0</v>
      </c>
      <c r="AE69" s="219">
        <v>8477</v>
      </c>
      <c r="AF69" s="52">
        <v>6685</v>
      </c>
      <c r="AG69" s="52">
        <f t="shared" si="55"/>
        <v>-404</v>
      </c>
      <c r="AH69" s="58">
        <f t="shared" si="56"/>
        <v>-5.698970235576245E-2</v>
      </c>
      <c r="AI69" s="65">
        <f>AF69</f>
        <v>6685</v>
      </c>
      <c r="AJ69" s="65">
        <f>AF69-851</f>
        <v>5834</v>
      </c>
      <c r="AM69" s="258">
        <f t="shared" si="57"/>
        <v>0</v>
      </c>
      <c r="AN69" s="220">
        <v>0</v>
      </c>
      <c r="AO69" s="220">
        <v>7631</v>
      </c>
      <c r="AP69" s="542">
        <v>0</v>
      </c>
      <c r="AQ69" s="542">
        <v>0</v>
      </c>
      <c r="AR69" s="39">
        <f t="shared" si="73"/>
        <v>0</v>
      </c>
      <c r="AS69" s="62">
        <f t="shared" si="74"/>
        <v>6956.5019300000004</v>
      </c>
      <c r="AT69" s="65">
        <f t="shared" si="75"/>
        <v>271.50193000000036</v>
      </c>
      <c r="AU69" s="51">
        <f t="shared" si="76"/>
        <v>4.0613602094240892E-2</v>
      </c>
      <c r="AV69" s="65">
        <f t="shared" si="58"/>
        <v>271.50193000000036</v>
      </c>
      <c r="AW69" s="51">
        <f t="shared" si="59"/>
        <v>4.0613602094240892E-2</v>
      </c>
      <c r="AX69" s="52">
        <v>7295</v>
      </c>
      <c r="AY69" s="52">
        <f t="shared" si="27"/>
        <v>610</v>
      </c>
      <c r="AZ69" s="58">
        <f t="shared" si="28"/>
        <v>9.1249065071054597E-2</v>
      </c>
      <c r="BA69" s="624">
        <v>7295.3704900000002</v>
      </c>
      <c r="BB69" s="624">
        <v>6956.5019300000004</v>
      </c>
      <c r="BC69" s="624">
        <f t="shared" si="77"/>
        <v>338.86855999999989</v>
      </c>
      <c r="BD69" s="31">
        <f t="shared" si="78"/>
        <v>4.6449808198843083E-2</v>
      </c>
      <c r="BE69" s="52">
        <v>8525</v>
      </c>
      <c r="BF69" s="52">
        <f t="shared" si="60"/>
        <v>1230</v>
      </c>
      <c r="BG69" s="58">
        <f t="shared" si="61"/>
        <v>0.16860863605209048</v>
      </c>
      <c r="BH69" s="65"/>
      <c r="BI69" s="65"/>
      <c r="BJ69" s="65"/>
      <c r="BK69" s="65"/>
      <c r="BL69" s="39">
        <f t="shared" si="31"/>
        <v>8525</v>
      </c>
      <c r="BM69" s="39">
        <f t="shared" si="62"/>
        <v>1568.4980699999996</v>
      </c>
      <c r="BN69" s="39">
        <v>8592</v>
      </c>
      <c r="BO69" s="39">
        <f t="shared" si="33"/>
        <v>67</v>
      </c>
      <c r="BP69" s="51">
        <f t="shared" si="63"/>
        <v>0.22547223960879423</v>
      </c>
      <c r="BQ69" s="99">
        <f t="shared" si="34"/>
        <v>7.8592375366568924E-3</v>
      </c>
      <c r="BR69" s="39">
        <v>196</v>
      </c>
      <c r="BU69" s="39">
        <v>0</v>
      </c>
      <c r="BV69" s="39">
        <f t="shared" si="64"/>
        <v>8788</v>
      </c>
      <c r="BW69" s="39">
        <f t="shared" si="65"/>
        <v>263</v>
      </c>
      <c r="BX69" s="51">
        <f t="shared" si="66"/>
        <v>3.0850439882697946E-2</v>
      </c>
    </row>
    <row r="70" spans="1:76" ht="18" customHeight="1">
      <c r="A70" s="63" t="s">
        <v>101</v>
      </c>
      <c r="B70" s="328" t="s">
        <v>78</v>
      </c>
      <c r="C70" s="328" t="s">
        <v>78</v>
      </c>
      <c r="D70" s="328" t="s">
        <v>78</v>
      </c>
      <c r="E70" s="328" t="s">
        <v>78</v>
      </c>
      <c r="F70" s="328" t="s">
        <v>78</v>
      </c>
      <c r="G70" s="328" t="s">
        <v>78</v>
      </c>
      <c r="H70" s="328" t="s">
        <v>78</v>
      </c>
      <c r="I70" s="329" t="s">
        <v>78</v>
      </c>
      <c r="J70" s="329" t="s">
        <v>78</v>
      </c>
      <c r="K70" s="329" t="s">
        <v>78</v>
      </c>
      <c r="L70" s="526" t="s">
        <v>78</v>
      </c>
      <c r="M70" s="526" t="s">
        <v>78</v>
      </c>
      <c r="N70" s="326" t="s">
        <v>78</v>
      </c>
      <c r="O70" s="526" t="s">
        <v>78</v>
      </c>
      <c r="P70" s="526" t="s">
        <v>78</v>
      </c>
      <c r="Q70" s="326" t="s">
        <v>78</v>
      </c>
      <c r="R70" s="526" t="s">
        <v>78</v>
      </c>
      <c r="S70" s="526" t="s">
        <v>78</v>
      </c>
      <c r="T70" s="326" t="s">
        <v>78</v>
      </c>
      <c r="U70" s="526" t="s">
        <v>78</v>
      </c>
      <c r="V70" s="526" t="s">
        <v>78</v>
      </c>
      <c r="W70" s="526" t="s">
        <v>78</v>
      </c>
      <c r="X70" s="523" t="s">
        <v>78</v>
      </c>
      <c r="Y70" s="521" t="s">
        <v>78</v>
      </c>
      <c r="Z70" s="523" t="s">
        <v>78</v>
      </c>
      <c r="AA70" s="524" t="s">
        <v>78</v>
      </c>
      <c r="AB70" s="328" t="s">
        <v>78</v>
      </c>
      <c r="AC70" s="60" t="s">
        <v>78</v>
      </c>
      <c r="AD70" s="219">
        <v>0</v>
      </c>
      <c r="AE70" s="219"/>
      <c r="AG70" s="52" t="e">
        <f t="shared" si="55"/>
        <v>#VALUE!</v>
      </c>
      <c r="AH70" s="58" t="e">
        <f t="shared" si="56"/>
        <v>#VALUE!</v>
      </c>
      <c r="AI70" s="50">
        <v>0</v>
      </c>
      <c r="AJ70" s="50">
        <v>0</v>
      </c>
      <c r="AM70" s="258">
        <f t="shared" si="57"/>
        <v>0</v>
      </c>
      <c r="AN70" s="220">
        <v>0</v>
      </c>
      <c r="AO70" s="220">
        <v>0</v>
      </c>
      <c r="AP70" s="542">
        <v>0</v>
      </c>
      <c r="AQ70" s="542">
        <v>0</v>
      </c>
      <c r="AR70" s="39">
        <f t="shared" si="73"/>
        <v>0</v>
      </c>
      <c r="AS70" s="62">
        <f t="shared" si="74"/>
        <v>0</v>
      </c>
      <c r="AT70" s="65">
        <f t="shared" si="75"/>
        <v>0</v>
      </c>
      <c r="AU70" s="51" t="e">
        <f t="shared" si="76"/>
        <v>#DIV/0!</v>
      </c>
      <c r="AV70" s="65">
        <f t="shared" si="58"/>
        <v>0</v>
      </c>
      <c r="AW70" s="51" t="e">
        <f t="shared" si="59"/>
        <v>#DIV/0!</v>
      </c>
      <c r="AY70" s="52">
        <f t="shared" si="27"/>
        <v>0</v>
      </c>
      <c r="AZ70" s="58" t="e">
        <f t="shared" si="28"/>
        <v>#DIV/0!</v>
      </c>
      <c r="BC70" s="624">
        <f t="shared" si="77"/>
        <v>0</v>
      </c>
      <c r="BD70" s="31"/>
      <c r="BF70" s="52">
        <f t="shared" si="60"/>
        <v>0</v>
      </c>
      <c r="BG70" s="58" t="e">
        <f t="shared" si="61"/>
        <v>#DIV/0!</v>
      </c>
      <c r="BH70" s="65"/>
      <c r="BI70" s="65"/>
      <c r="BJ70" s="65"/>
      <c r="BK70" s="65"/>
      <c r="BL70" s="39">
        <f t="shared" si="31"/>
        <v>0</v>
      </c>
      <c r="BM70" s="39">
        <f t="shared" si="62"/>
        <v>0</v>
      </c>
      <c r="BN70" s="39"/>
      <c r="BO70" s="39">
        <f t="shared" si="33"/>
        <v>0</v>
      </c>
      <c r="BP70" s="51" t="e">
        <f t="shared" si="63"/>
        <v>#DIV/0!</v>
      </c>
      <c r="BQ70" s="99" t="e">
        <f t="shared" si="34"/>
        <v>#DIV/0!</v>
      </c>
      <c r="BU70" s="39"/>
      <c r="BV70" s="39">
        <f t="shared" si="64"/>
        <v>0</v>
      </c>
      <c r="BW70" s="39">
        <f t="shared" si="65"/>
        <v>0</v>
      </c>
      <c r="BX70" s="51" t="e">
        <f t="shared" si="66"/>
        <v>#DIV/0!</v>
      </c>
    </row>
    <row r="71" spans="1:76" ht="18" customHeight="1">
      <c r="A71" s="53" t="s">
        <v>168</v>
      </c>
      <c r="B71" s="328" t="s">
        <v>78</v>
      </c>
      <c r="C71" s="328" t="s">
        <v>78</v>
      </c>
      <c r="D71" s="328" t="s">
        <v>78</v>
      </c>
      <c r="E71" s="328" t="s">
        <v>78</v>
      </c>
      <c r="F71" s="328" t="s">
        <v>78</v>
      </c>
      <c r="G71" s="328" t="s">
        <v>78</v>
      </c>
      <c r="H71" s="328" t="s">
        <v>78</v>
      </c>
      <c r="I71" s="329" t="s">
        <v>78</v>
      </c>
      <c r="J71" s="329" t="s">
        <v>78</v>
      </c>
      <c r="K71" s="329" t="s">
        <v>78</v>
      </c>
      <c r="L71" s="69">
        <v>0</v>
      </c>
      <c r="M71" s="69">
        <v>0</v>
      </c>
      <c r="N71" s="70">
        <v>0</v>
      </c>
      <c r="O71" s="69">
        <v>0</v>
      </c>
      <c r="P71" s="69">
        <v>0</v>
      </c>
      <c r="Q71" s="70">
        <v>0</v>
      </c>
      <c r="R71" s="69">
        <v>0</v>
      </c>
      <c r="S71" s="69">
        <v>0</v>
      </c>
      <c r="T71" s="70">
        <v>0</v>
      </c>
      <c r="U71" s="71">
        <v>58500</v>
      </c>
      <c r="V71" s="69">
        <f t="shared" si="71"/>
        <v>58500</v>
      </c>
      <c r="W71" s="70" t="s">
        <v>78</v>
      </c>
      <c r="X71" s="176">
        <v>70589</v>
      </c>
      <c r="Y71" s="52">
        <f t="shared" si="83"/>
        <v>12089</v>
      </c>
      <c r="Z71" s="95">
        <f t="shared" si="84"/>
        <v>0.20664957264957265</v>
      </c>
      <c r="AA71" s="202">
        <v>32775</v>
      </c>
      <c r="AB71" s="172">
        <f t="shared" si="85"/>
        <v>-37814</v>
      </c>
      <c r="AC71" s="100">
        <f>AB71/X71</f>
        <v>-0.53569252999759165</v>
      </c>
      <c r="AD71" s="219">
        <v>0</v>
      </c>
      <c r="AE71" s="219">
        <v>13039</v>
      </c>
      <c r="AF71" s="52">
        <v>13039</v>
      </c>
      <c r="AG71" s="52">
        <f t="shared" si="55"/>
        <v>-19736</v>
      </c>
      <c r="AH71" s="58">
        <f t="shared" si="56"/>
        <v>-0.60216628527841343</v>
      </c>
      <c r="AI71" s="65">
        <f>AF71</f>
        <v>13039</v>
      </c>
      <c r="AJ71" s="65">
        <f>AF71</f>
        <v>13039</v>
      </c>
      <c r="AM71" s="258">
        <f t="shared" si="57"/>
        <v>0</v>
      </c>
      <c r="AN71" s="220">
        <v>0</v>
      </c>
      <c r="AO71" s="220">
        <v>14384</v>
      </c>
      <c r="AP71" s="542">
        <v>0</v>
      </c>
      <c r="AQ71" s="542">
        <v>0</v>
      </c>
      <c r="AR71" s="39">
        <f t="shared" si="73"/>
        <v>0</v>
      </c>
      <c r="AS71" s="62">
        <f t="shared" si="74"/>
        <v>34018.224999999999</v>
      </c>
      <c r="AT71" s="65">
        <f t="shared" si="75"/>
        <v>20979.224999999999</v>
      </c>
      <c r="AU71" s="51">
        <f t="shared" si="76"/>
        <v>1.6089596594830891</v>
      </c>
      <c r="AV71" s="65">
        <f t="shared" si="58"/>
        <v>20979.224999999999</v>
      </c>
      <c r="AW71" s="51">
        <f t="shared" si="59"/>
        <v>1.6089596594830891</v>
      </c>
      <c r="AX71" s="52">
        <f>24686+15691</f>
        <v>40377</v>
      </c>
      <c r="AY71" s="52">
        <f t="shared" si="27"/>
        <v>27338</v>
      </c>
      <c r="AZ71" s="58">
        <f t="shared" si="28"/>
        <v>2.0966331773909044</v>
      </c>
      <c r="BA71" s="624">
        <v>34018.224999999999</v>
      </c>
      <c r="BB71" s="624">
        <v>34018.224999999999</v>
      </c>
      <c r="BC71" s="624">
        <f t="shared" si="77"/>
        <v>0</v>
      </c>
      <c r="BD71" s="31">
        <f t="shared" si="78"/>
        <v>0</v>
      </c>
      <c r="BE71" s="52">
        <f>(23533+19378)-18000</f>
        <v>24911</v>
      </c>
      <c r="BF71" s="52">
        <f t="shared" si="60"/>
        <v>-15466</v>
      </c>
      <c r="BG71" s="58">
        <f t="shared" si="61"/>
        <v>-0.38303984941922381</v>
      </c>
      <c r="BH71" s="65"/>
      <c r="BI71" s="65"/>
      <c r="BJ71" s="65"/>
      <c r="BK71" s="65"/>
      <c r="BL71" s="39">
        <f t="shared" si="31"/>
        <v>24911</v>
      </c>
      <c r="BM71" s="39">
        <f t="shared" si="62"/>
        <v>-9107.2249999999985</v>
      </c>
      <c r="BN71" s="39">
        <f>45360-19900</f>
        <v>25460</v>
      </c>
      <c r="BO71" s="39">
        <f t="shared" si="33"/>
        <v>549</v>
      </c>
      <c r="BP71" s="51">
        <f t="shared" si="63"/>
        <v>-0.26771605514397057</v>
      </c>
      <c r="BQ71" s="99">
        <f t="shared" si="34"/>
        <v>2.2038456906587452E-2</v>
      </c>
      <c r="BU71" s="39"/>
      <c r="BV71" s="39">
        <f t="shared" si="64"/>
        <v>25460</v>
      </c>
      <c r="BW71" s="39">
        <f t="shared" si="65"/>
        <v>549</v>
      </c>
      <c r="BX71" s="51">
        <f t="shared" si="66"/>
        <v>2.2038456906587452E-2</v>
      </c>
    </row>
    <row r="72" spans="1:76" s="63" customFormat="1" ht="18" customHeight="1">
      <c r="A72" s="63" t="s">
        <v>124</v>
      </c>
      <c r="B72" s="328" t="s">
        <v>78</v>
      </c>
      <c r="C72" s="328" t="s">
        <v>78</v>
      </c>
      <c r="D72" s="328" t="s">
        <v>78</v>
      </c>
      <c r="E72" s="328" t="s">
        <v>78</v>
      </c>
      <c r="F72" s="328" t="s">
        <v>78</v>
      </c>
      <c r="G72" s="328" t="s">
        <v>78</v>
      </c>
      <c r="H72" s="328" t="s">
        <v>78</v>
      </c>
      <c r="I72" s="329" t="s">
        <v>78</v>
      </c>
      <c r="J72" s="329" t="s">
        <v>78</v>
      </c>
      <c r="K72" s="329" t="s">
        <v>78</v>
      </c>
      <c r="L72" s="329" t="s">
        <v>78</v>
      </c>
      <c r="M72" s="329" t="s">
        <v>78</v>
      </c>
      <c r="N72" s="329" t="s">
        <v>78</v>
      </c>
      <c r="O72" s="329" t="s">
        <v>78</v>
      </c>
      <c r="P72" s="329" t="s">
        <v>78</v>
      </c>
      <c r="Q72" s="329" t="s">
        <v>78</v>
      </c>
      <c r="R72" s="329" t="s">
        <v>78</v>
      </c>
      <c r="S72" s="329" t="s">
        <v>78</v>
      </c>
      <c r="T72" s="329" t="s">
        <v>78</v>
      </c>
      <c r="U72" s="71">
        <v>0</v>
      </c>
      <c r="V72" s="69"/>
      <c r="W72" s="70"/>
      <c r="X72" s="176">
        <v>0</v>
      </c>
      <c r="Y72" s="69">
        <f t="shared" si="83"/>
        <v>0</v>
      </c>
      <c r="Z72" s="96"/>
      <c r="AA72" s="205">
        <v>2500</v>
      </c>
      <c r="AB72" s="173">
        <f t="shared" si="85"/>
        <v>2500</v>
      </c>
      <c r="AC72" s="70" t="s">
        <v>78</v>
      </c>
      <c r="AD72" s="244">
        <v>0</v>
      </c>
      <c r="AE72" s="244"/>
      <c r="AF72" s="52"/>
      <c r="AG72" s="52">
        <f t="shared" si="55"/>
        <v>-2500</v>
      </c>
      <c r="AH72" s="58">
        <f t="shared" si="56"/>
        <v>-1</v>
      </c>
      <c r="AI72" s="63">
        <v>0</v>
      </c>
      <c r="AJ72" s="63">
        <v>0</v>
      </c>
      <c r="AM72" s="258">
        <f t="shared" si="57"/>
        <v>0</v>
      </c>
      <c r="AN72" s="253">
        <v>0</v>
      </c>
      <c r="AO72" s="220">
        <v>0</v>
      </c>
      <c r="AP72" s="543">
        <v>0</v>
      </c>
      <c r="AQ72" s="544">
        <v>0</v>
      </c>
      <c r="AR72" s="39">
        <f t="shared" si="73"/>
        <v>0</v>
      </c>
      <c r="AS72" s="62">
        <f t="shared" si="74"/>
        <v>0</v>
      </c>
      <c r="AT72" s="65">
        <f t="shared" si="75"/>
        <v>0</v>
      </c>
      <c r="AU72" s="51" t="e">
        <f t="shared" si="76"/>
        <v>#DIV/0!</v>
      </c>
      <c r="AV72" s="65">
        <f t="shared" si="58"/>
        <v>0</v>
      </c>
      <c r="AW72" s="51" t="e">
        <f t="shared" si="59"/>
        <v>#DIV/0!</v>
      </c>
      <c r="AX72" s="69"/>
      <c r="AY72" s="52">
        <f t="shared" si="27"/>
        <v>0</v>
      </c>
      <c r="AZ72" s="58" t="e">
        <f t="shared" si="28"/>
        <v>#DIV/0!</v>
      </c>
      <c r="BA72" s="58"/>
      <c r="BB72" s="58"/>
      <c r="BC72" s="624">
        <f t="shared" si="77"/>
        <v>0</v>
      </c>
      <c r="BD72" s="31"/>
      <c r="BE72" s="69"/>
      <c r="BF72" s="52">
        <f t="shared" si="60"/>
        <v>0</v>
      </c>
      <c r="BG72" s="58" t="e">
        <f t="shared" si="61"/>
        <v>#DIV/0!</v>
      </c>
      <c r="BH72" s="65"/>
      <c r="BI72" s="65"/>
      <c r="BJ72" s="65"/>
      <c r="BK72" s="65"/>
      <c r="BL72" s="39">
        <f t="shared" si="31"/>
        <v>0</v>
      </c>
      <c r="BM72" s="39">
        <f t="shared" si="62"/>
        <v>0</v>
      </c>
      <c r="BN72" s="39">
        <v>0</v>
      </c>
      <c r="BO72" s="39">
        <f t="shared" ref="BO72:BO135" si="86">BN72-BE72</f>
        <v>0</v>
      </c>
      <c r="BP72" s="51" t="e">
        <f t="shared" si="63"/>
        <v>#DIV/0!</v>
      </c>
      <c r="BQ72" s="99" t="e">
        <f t="shared" ref="BQ72:BQ135" si="87">BO72/BE72</f>
        <v>#DIV/0!</v>
      </c>
      <c r="BR72" s="40"/>
      <c r="BU72" s="40"/>
      <c r="BV72" s="39">
        <f t="shared" si="64"/>
        <v>0</v>
      </c>
      <c r="BW72" s="39">
        <f t="shared" si="65"/>
        <v>0</v>
      </c>
      <c r="BX72" s="51" t="e">
        <f t="shared" si="66"/>
        <v>#DIV/0!</v>
      </c>
    </row>
    <row r="73" spans="1:76" s="54" customFormat="1" ht="18" customHeight="1" thickBot="1">
      <c r="A73" s="130" t="s">
        <v>215</v>
      </c>
      <c r="B73" s="332" t="s">
        <v>78</v>
      </c>
      <c r="C73" s="332" t="s">
        <v>78</v>
      </c>
      <c r="D73" s="332" t="s">
        <v>78</v>
      </c>
      <c r="E73" s="332" t="s">
        <v>78</v>
      </c>
      <c r="F73" s="332" t="s">
        <v>78</v>
      </c>
      <c r="G73" s="332" t="s">
        <v>78</v>
      </c>
      <c r="H73" s="332" t="s">
        <v>78</v>
      </c>
      <c r="I73" s="333" t="s">
        <v>78</v>
      </c>
      <c r="J73" s="333" t="s">
        <v>78</v>
      </c>
      <c r="K73" s="333" t="s">
        <v>78</v>
      </c>
      <c r="L73" s="333" t="s">
        <v>78</v>
      </c>
      <c r="M73" s="333" t="s">
        <v>78</v>
      </c>
      <c r="N73" s="333" t="s">
        <v>78</v>
      </c>
      <c r="O73" s="333" t="s">
        <v>78</v>
      </c>
      <c r="P73" s="333" t="s">
        <v>78</v>
      </c>
      <c r="Q73" s="333" t="s">
        <v>78</v>
      </c>
      <c r="R73" s="333" t="s">
        <v>78</v>
      </c>
      <c r="S73" s="333" t="s">
        <v>78</v>
      </c>
      <c r="T73" s="333" t="s">
        <v>78</v>
      </c>
      <c r="X73" s="177"/>
      <c r="Y73" s="161"/>
      <c r="Z73" s="126"/>
      <c r="AA73" s="206"/>
      <c r="AB73" s="75"/>
      <c r="AC73" s="128"/>
      <c r="AD73" s="54">
        <v>0</v>
      </c>
      <c r="AE73" s="54">
        <v>23000</v>
      </c>
      <c r="AF73" s="75">
        <v>0</v>
      </c>
      <c r="AG73" s="75">
        <f t="shared" si="55"/>
        <v>0</v>
      </c>
      <c r="AH73" s="77" t="e">
        <f t="shared" si="56"/>
        <v>#DIV/0!</v>
      </c>
      <c r="AI73" s="94">
        <f>AF73</f>
        <v>0</v>
      </c>
      <c r="AJ73" s="94">
        <f>AF73</f>
        <v>0</v>
      </c>
      <c r="AM73" s="258">
        <f t="shared" si="57"/>
        <v>0</v>
      </c>
      <c r="AN73" s="54">
        <v>0</v>
      </c>
      <c r="AO73" s="220">
        <v>23000</v>
      </c>
      <c r="AP73" s="102">
        <v>0</v>
      </c>
      <c r="AQ73" s="102">
        <v>0</v>
      </c>
      <c r="AR73" s="102">
        <f t="shared" si="73"/>
        <v>0</v>
      </c>
      <c r="AS73" s="62">
        <f t="shared" si="74"/>
        <v>20787.692579999999</v>
      </c>
      <c r="AT73" s="65">
        <f t="shared" si="75"/>
        <v>20787.692579999999</v>
      </c>
      <c r="AU73" s="51" t="e">
        <f t="shared" si="76"/>
        <v>#DIV/0!</v>
      </c>
      <c r="AV73" s="65">
        <f t="shared" si="58"/>
        <v>20787.692579999999</v>
      </c>
      <c r="AW73" s="51" t="e">
        <f t="shared" si="59"/>
        <v>#DIV/0!</v>
      </c>
      <c r="AX73" s="75">
        <v>23000</v>
      </c>
      <c r="AY73" s="75">
        <f t="shared" ref="AY73:AY133" si="88">AX73-AF73</f>
        <v>23000</v>
      </c>
      <c r="AZ73" s="77" t="e">
        <f t="shared" ref="AZ73:AZ133" si="89">AY73/AF73</f>
        <v>#DIV/0!</v>
      </c>
      <c r="BA73" s="624">
        <v>23000</v>
      </c>
      <c r="BB73" s="624">
        <v>20787.692579999999</v>
      </c>
      <c r="BC73" s="624">
        <f t="shared" si="77"/>
        <v>2212.307420000001</v>
      </c>
      <c r="BD73" s="31">
        <f t="shared" si="78"/>
        <v>9.618727913043483E-2</v>
      </c>
      <c r="BE73" s="75">
        <v>23000</v>
      </c>
      <c r="BF73" s="75">
        <f t="shared" si="60"/>
        <v>0</v>
      </c>
      <c r="BG73" s="77">
        <f t="shared" si="61"/>
        <v>0</v>
      </c>
      <c r="BH73" s="94"/>
      <c r="BI73" s="94"/>
      <c r="BJ73" s="94"/>
      <c r="BK73" s="94"/>
      <c r="BL73" s="102">
        <f t="shared" ref="BL73:BL133" si="90">BE73+BH73+BI73+BJ73+BK73</f>
        <v>23000</v>
      </c>
      <c r="BM73" s="102">
        <f t="shared" si="62"/>
        <v>2212.307420000001</v>
      </c>
      <c r="BN73" s="102">
        <v>23000</v>
      </c>
      <c r="BO73" s="39">
        <f t="shared" si="86"/>
        <v>0</v>
      </c>
      <c r="BP73" s="55">
        <f t="shared" si="63"/>
        <v>0.10642390498541811</v>
      </c>
      <c r="BQ73" s="99">
        <f t="shared" si="87"/>
        <v>0</v>
      </c>
      <c r="BR73" s="102"/>
      <c r="BU73" s="102"/>
      <c r="BV73" s="39">
        <f t="shared" si="64"/>
        <v>23000</v>
      </c>
      <c r="BW73" s="39">
        <f t="shared" si="65"/>
        <v>0</v>
      </c>
      <c r="BX73" s="51">
        <f t="shared" si="66"/>
        <v>0</v>
      </c>
    </row>
    <row r="74" spans="1:76" s="13" customFormat="1" ht="18" customHeight="1">
      <c r="A74" s="64" t="s">
        <v>56</v>
      </c>
      <c r="B74" s="12">
        <f t="shared" ref="B74:I74" si="91">SUM(B51:B73)</f>
        <v>90495</v>
      </c>
      <c r="C74" s="12">
        <f t="shared" si="91"/>
        <v>107152</v>
      </c>
      <c r="D74" s="25">
        <f t="shared" si="67"/>
        <v>16657</v>
      </c>
      <c r="E74" s="363">
        <f t="shared" si="79"/>
        <v>0.18406541797889386</v>
      </c>
      <c r="F74" s="12">
        <f t="shared" si="91"/>
        <v>114224</v>
      </c>
      <c r="G74" s="12">
        <f t="shared" si="68"/>
        <v>7072</v>
      </c>
      <c r="H74" s="15">
        <f t="shared" si="80"/>
        <v>6.5999701358817386E-2</v>
      </c>
      <c r="I74" s="12">
        <f t="shared" si="91"/>
        <v>134944</v>
      </c>
      <c r="J74" s="12">
        <f t="shared" si="69"/>
        <v>20720</v>
      </c>
      <c r="K74" s="15">
        <f t="shared" si="81"/>
        <v>0.18139795489564364</v>
      </c>
      <c r="L74" s="12">
        <f>SUM(L51:L73)</f>
        <v>151305</v>
      </c>
      <c r="M74" s="12">
        <v>5290</v>
      </c>
      <c r="N74" s="36">
        <v>3.6575332047319768E-2</v>
      </c>
      <c r="O74" s="12">
        <f>SUM(O51:O73)</f>
        <v>197591</v>
      </c>
      <c r="P74" s="12">
        <f t="shared" si="82"/>
        <v>46286</v>
      </c>
      <c r="Q74" s="36">
        <f t="shared" si="48"/>
        <v>0.30591189980502959</v>
      </c>
      <c r="R74" s="12">
        <f>SUM(R51:R73)</f>
        <v>251763</v>
      </c>
      <c r="S74" s="12">
        <f t="shared" si="49"/>
        <v>54172</v>
      </c>
      <c r="T74" s="36">
        <f t="shared" si="50"/>
        <v>0.2741622847194457</v>
      </c>
      <c r="U74" s="12">
        <f>SUM(U51:U73)</f>
        <v>373310</v>
      </c>
      <c r="V74" s="12" t="e">
        <f t="shared" ref="V74" si="92">SUM(V51:V72)</f>
        <v>#VALUE!</v>
      </c>
      <c r="W74" s="36" t="e">
        <f>V74/R74</f>
        <v>#VALUE!</v>
      </c>
      <c r="X74" s="12">
        <f>SUM(X51:X73)</f>
        <v>403260</v>
      </c>
      <c r="Y74" s="12">
        <f>X74-U74</f>
        <v>29950</v>
      </c>
      <c r="Z74" s="98">
        <f>Y74/U74</f>
        <v>8.0228228549998656E-2</v>
      </c>
      <c r="AA74" s="12">
        <f>SUM(AA51:AA73)</f>
        <v>391021</v>
      </c>
      <c r="AB74" s="165">
        <f>AA74-X74</f>
        <v>-12239</v>
      </c>
      <c r="AC74" s="97">
        <f>AB74/X74</f>
        <v>-3.0350146307593116E-2</v>
      </c>
      <c r="AD74" s="12">
        <f>SUM(AD51:AD73)+6500</f>
        <v>136931</v>
      </c>
      <c r="AE74" s="12">
        <f>SUM(AE51:AE73)</f>
        <v>187581</v>
      </c>
      <c r="AF74" s="12">
        <f>SUM(AF51:AF73)</f>
        <v>265865</v>
      </c>
      <c r="AG74" s="52">
        <f>AF74-AA74</f>
        <v>-125156</v>
      </c>
      <c r="AH74" s="58">
        <f>AG74/AA74</f>
        <v>-0.32007488088875025</v>
      </c>
      <c r="AI74" s="12">
        <f t="shared" ref="AI74:AN74" si="93">SUM(AI51:AI73)</f>
        <v>272088</v>
      </c>
      <c r="AJ74" s="12">
        <f t="shared" si="93"/>
        <v>268401</v>
      </c>
      <c r="AK74" s="65">
        <f t="shared" si="93"/>
        <v>96729</v>
      </c>
      <c r="AL74" s="65">
        <f t="shared" si="93"/>
        <v>40131</v>
      </c>
      <c r="AM74" s="258">
        <f t="shared" si="93"/>
        <v>136860</v>
      </c>
      <c r="AN74" s="258">
        <f t="shared" si="93"/>
        <v>102735</v>
      </c>
      <c r="AO74" s="13">
        <f t="shared" ref="AO74:AQ74" si="94">SUM(AO51:AO73)</f>
        <v>262932</v>
      </c>
      <c r="AP74" s="30">
        <f t="shared" si="94"/>
        <v>19495</v>
      </c>
      <c r="AQ74" s="30">
        <f t="shared" si="94"/>
        <v>2148</v>
      </c>
      <c r="AR74" s="39">
        <f t="shared" si="73"/>
        <v>21643</v>
      </c>
      <c r="AS74" s="65">
        <f>BB74+AR74</f>
        <v>277041.65783000004</v>
      </c>
      <c r="AT74" s="547">
        <f t="shared" si="75"/>
        <v>11176.65783000004</v>
      </c>
      <c r="AU74" s="551">
        <f t="shared" si="76"/>
        <v>4.2038846143719708E-2</v>
      </c>
      <c r="AV74" s="13">
        <f t="shared" si="58"/>
        <v>11176.65783000004</v>
      </c>
      <c r="AW74" s="15">
        <f t="shared" si="59"/>
        <v>4.2038846143719708E-2</v>
      </c>
      <c r="AX74" s="12">
        <f>SUM(AX51:AX73)</f>
        <v>285903</v>
      </c>
      <c r="AY74" s="52">
        <f t="shared" si="88"/>
        <v>20038</v>
      </c>
      <c r="AZ74" s="58">
        <f t="shared" si="89"/>
        <v>7.5369078291614169E-2</v>
      </c>
      <c r="BA74" s="58"/>
      <c r="BB74" s="65">
        <f>SUM(BB51:BB73)</f>
        <v>255398.65783000004</v>
      </c>
      <c r="BC74" s="58"/>
      <c r="BD74" s="58"/>
      <c r="BE74" s="12">
        <f>SUM(BE51:BE73)</f>
        <v>268666</v>
      </c>
      <c r="BF74" s="52">
        <f t="shared" si="60"/>
        <v>-17237</v>
      </c>
      <c r="BG74" s="58">
        <f t="shared" si="61"/>
        <v>-6.028967866724029E-2</v>
      </c>
      <c r="BH74" s="65">
        <f>SUM(BH51:BH73)</f>
        <v>17094</v>
      </c>
      <c r="BI74" s="65"/>
      <c r="BJ74" s="65"/>
      <c r="BK74" s="65">
        <f>SUM(BK51:BK73)</f>
        <v>797</v>
      </c>
      <c r="BL74" s="39">
        <f t="shared" si="90"/>
        <v>286557</v>
      </c>
      <c r="BM74" s="39">
        <f t="shared" si="62"/>
        <v>9515.3421699999599</v>
      </c>
      <c r="BN74" s="30">
        <f>SUM(BN51:BN73)</f>
        <v>297349</v>
      </c>
      <c r="BO74" s="39">
        <f t="shared" si="86"/>
        <v>28683</v>
      </c>
      <c r="BP74" s="51">
        <f t="shared" si="63"/>
        <v>3.4346250468363933E-2</v>
      </c>
      <c r="BQ74" s="99">
        <f t="shared" si="87"/>
        <v>0.10676081082087052</v>
      </c>
      <c r="BR74" s="30">
        <f>SUM(BR51:BR73)</f>
        <v>27392</v>
      </c>
      <c r="BU74" s="30">
        <f>SUM(BU51:BU73)</f>
        <v>538</v>
      </c>
      <c r="BV74" s="669">
        <f t="shared" si="64"/>
        <v>325279</v>
      </c>
      <c r="BW74" s="645">
        <f t="shared" si="65"/>
        <v>38722</v>
      </c>
      <c r="BX74" s="551">
        <f t="shared" si="66"/>
        <v>0.1351284386701424</v>
      </c>
    </row>
    <row r="75" spans="1:76" s="13" customFormat="1" ht="18" customHeight="1">
      <c r="A75" s="85"/>
      <c r="D75" s="327"/>
      <c r="E75" s="356"/>
      <c r="G75" s="10"/>
      <c r="H75" s="14"/>
      <c r="J75" s="10"/>
      <c r="K75" s="14"/>
      <c r="L75" s="12"/>
      <c r="M75" s="12"/>
      <c r="N75" s="36"/>
      <c r="O75" s="12"/>
      <c r="P75" s="12"/>
      <c r="Q75" s="36"/>
      <c r="R75" s="12"/>
      <c r="S75" s="12"/>
      <c r="T75" s="36"/>
      <c r="U75" s="12"/>
      <c r="V75" s="12"/>
      <c r="W75" s="36"/>
      <c r="X75" s="12"/>
      <c r="Y75" s="12"/>
      <c r="Z75" s="98"/>
      <c r="AA75" s="12"/>
      <c r="AB75" s="165"/>
      <c r="AC75" s="97"/>
      <c r="AD75" s="12">
        <v>6500</v>
      </c>
      <c r="AE75" s="12"/>
      <c r="AF75" s="12"/>
      <c r="AG75" s="52"/>
      <c r="AH75" s="58"/>
      <c r="AI75" s="12"/>
      <c r="AJ75" s="12"/>
      <c r="AK75" s="65"/>
      <c r="AL75" s="65"/>
      <c r="AM75" s="258"/>
      <c r="AN75" s="258"/>
      <c r="AT75" s="28"/>
      <c r="AU75" s="51"/>
      <c r="AW75" s="15"/>
      <c r="AX75" s="12"/>
      <c r="AY75" s="52"/>
      <c r="AZ75" s="58"/>
      <c r="BA75" s="58"/>
      <c r="BB75" s="58"/>
      <c r="BC75" s="58"/>
      <c r="BD75" s="58"/>
      <c r="BE75" s="12"/>
      <c r="BF75" s="52"/>
      <c r="BG75" s="58"/>
      <c r="BH75" s="65"/>
      <c r="BI75" s="65"/>
      <c r="BJ75" s="65"/>
      <c r="BK75" s="65"/>
      <c r="BL75" s="39"/>
      <c r="BM75" s="39"/>
      <c r="BN75" s="39"/>
      <c r="BO75" s="39">
        <f t="shared" si="86"/>
        <v>0</v>
      </c>
      <c r="BP75" s="51"/>
      <c r="BQ75" s="99" t="e">
        <f t="shared" si="87"/>
        <v>#DIV/0!</v>
      </c>
      <c r="BR75" s="30"/>
      <c r="BV75" s="282">
        <f t="shared" si="64"/>
        <v>0</v>
      </c>
      <c r="BW75" s="39">
        <f t="shared" si="65"/>
        <v>0</v>
      </c>
      <c r="BX75" s="51" t="e">
        <f t="shared" si="66"/>
        <v>#DIV/0!</v>
      </c>
    </row>
    <row r="76" spans="1:76" s="13" customFormat="1" ht="18" customHeight="1">
      <c r="A76" s="64"/>
      <c r="D76" s="327"/>
      <c r="E76" s="356"/>
      <c r="G76" s="10"/>
      <c r="H76" s="14"/>
      <c r="J76" s="10"/>
      <c r="K76" s="14"/>
      <c r="L76" s="12"/>
      <c r="M76" s="12"/>
      <c r="N76" s="36"/>
      <c r="O76" s="12"/>
      <c r="P76" s="12"/>
      <c r="Q76" s="36"/>
      <c r="R76" s="12"/>
      <c r="S76" s="12"/>
      <c r="T76" s="36"/>
      <c r="U76" s="12"/>
      <c r="V76" s="12"/>
      <c r="W76" s="36"/>
      <c r="X76" s="12"/>
      <c r="Y76" s="12"/>
      <c r="Z76" s="98"/>
      <c r="AA76" s="12"/>
      <c r="AB76" s="165"/>
      <c r="AC76" s="97"/>
      <c r="AD76" s="12">
        <f>AD75+AD74</f>
        <v>143431</v>
      </c>
      <c r="AE76" s="12"/>
      <c r="AF76" s="12"/>
      <c r="AG76" s="52"/>
      <c r="AH76" s="58"/>
      <c r="AI76" s="12"/>
      <c r="AJ76" s="12"/>
      <c r="AK76" s="65"/>
      <c r="AL76" s="65"/>
      <c r="AM76" s="258"/>
      <c r="AN76" s="258"/>
      <c r="AT76" s="28"/>
      <c r="AU76" s="51"/>
      <c r="AV76" s="12">
        <f>AS74-AF76</f>
        <v>277041.65783000004</v>
      </c>
      <c r="AW76" s="15" t="e">
        <f>AV76/AF76</f>
        <v>#DIV/0!</v>
      </c>
      <c r="AX76" s="12"/>
      <c r="AY76" s="52"/>
      <c r="AZ76" s="58"/>
      <c r="BA76" s="58"/>
      <c r="BB76" s="58"/>
      <c r="BC76" s="58"/>
      <c r="BD76" s="58"/>
      <c r="BE76" s="12"/>
      <c r="BF76" s="52"/>
      <c r="BG76" s="58"/>
      <c r="BH76" s="65"/>
      <c r="BI76" s="65"/>
      <c r="BJ76" s="65"/>
      <c r="BK76" s="65"/>
      <c r="BL76" s="39"/>
      <c r="BM76" s="39"/>
      <c r="BN76" s="39"/>
      <c r="BO76" s="39">
        <f t="shared" si="86"/>
        <v>0</v>
      </c>
      <c r="BP76" s="51"/>
      <c r="BQ76" s="99" t="e">
        <f t="shared" si="87"/>
        <v>#DIV/0!</v>
      </c>
      <c r="BR76" s="30"/>
      <c r="BV76" s="282">
        <f t="shared" si="64"/>
        <v>0</v>
      </c>
      <c r="BW76" s="39">
        <f t="shared" si="65"/>
        <v>0</v>
      </c>
      <c r="BX76" s="51" t="e">
        <f t="shared" si="66"/>
        <v>#DIV/0!</v>
      </c>
    </row>
    <row r="77" spans="1:76" s="13" customFormat="1" ht="18" customHeight="1">
      <c r="A77" s="64"/>
      <c r="D77" s="327"/>
      <c r="E77" s="356"/>
      <c r="G77" s="10"/>
      <c r="H77" s="14"/>
      <c r="J77" s="10"/>
      <c r="K77" s="14"/>
      <c r="L77" s="12"/>
      <c r="M77" s="12"/>
      <c r="N77" s="36"/>
      <c r="O77" s="12"/>
      <c r="P77" s="12"/>
      <c r="Q77" s="36"/>
      <c r="R77" s="12"/>
      <c r="S77" s="52"/>
      <c r="T77" s="58"/>
      <c r="U77" s="52"/>
      <c r="V77" s="52"/>
      <c r="W77" s="58"/>
      <c r="X77" s="180"/>
      <c r="Y77" s="163"/>
      <c r="Z77" s="98"/>
      <c r="AA77" s="202"/>
      <c r="AB77" s="172"/>
      <c r="AC77" s="97"/>
      <c r="AD77" s="13" t="s">
        <v>242</v>
      </c>
      <c r="AF77" s="12"/>
      <c r="AG77" s="12"/>
      <c r="AX77" s="12"/>
      <c r="AY77" s="52"/>
      <c r="AZ77" s="58"/>
      <c r="BA77" s="58"/>
      <c r="BB77" s="58"/>
      <c r="BC77" s="58"/>
      <c r="BD77" s="58"/>
      <c r="BE77" s="12"/>
      <c r="BF77" s="52"/>
      <c r="BG77" s="58"/>
      <c r="BH77" s="65"/>
      <c r="BI77" s="65"/>
      <c r="BJ77" s="65"/>
      <c r="BK77" s="65"/>
      <c r="BL77" s="39"/>
      <c r="BM77" s="39"/>
      <c r="BN77" s="39"/>
      <c r="BO77" s="39">
        <f t="shared" si="86"/>
        <v>0</v>
      </c>
      <c r="BP77" s="51"/>
      <c r="BQ77" s="99" t="e">
        <f t="shared" si="87"/>
        <v>#DIV/0!</v>
      </c>
      <c r="BR77" s="30"/>
      <c r="BV77" s="282">
        <f t="shared" si="64"/>
        <v>0</v>
      </c>
      <c r="BW77" s="39">
        <f t="shared" si="65"/>
        <v>0</v>
      </c>
      <c r="BX77" s="51" t="e">
        <f t="shared" si="66"/>
        <v>#DIV/0!</v>
      </c>
    </row>
    <row r="78" spans="1:76" s="13" customFormat="1" ht="18" customHeight="1">
      <c r="A78" s="73" t="s">
        <v>82</v>
      </c>
      <c r="D78" s="327"/>
      <c r="E78" s="356"/>
      <c r="G78" s="10"/>
      <c r="H78" s="14"/>
      <c r="J78" s="10"/>
      <c r="K78" s="14"/>
      <c r="L78" s="12"/>
      <c r="M78" s="12"/>
      <c r="N78" s="36"/>
      <c r="O78" s="12"/>
      <c r="P78" s="12"/>
      <c r="Q78" s="36"/>
      <c r="R78" s="12"/>
      <c r="S78" s="52"/>
      <c r="T78" s="58"/>
      <c r="U78" s="52"/>
      <c r="V78" s="52"/>
      <c r="W78" s="58"/>
      <c r="X78" s="180"/>
      <c r="Y78" s="163"/>
      <c r="Z78" s="98"/>
      <c r="AA78" s="202"/>
      <c r="AB78" s="172"/>
      <c r="AC78" s="97"/>
      <c r="AD78" s="12"/>
      <c r="AF78" s="12"/>
      <c r="AG78" s="12"/>
      <c r="AH78" s="12"/>
      <c r="AV78" s="28"/>
      <c r="AX78" s="12"/>
      <c r="AY78" s="52"/>
      <c r="AZ78" s="58"/>
      <c r="BA78" s="58"/>
      <c r="BB78" s="58"/>
      <c r="BC78" s="58"/>
      <c r="BD78" s="58"/>
      <c r="BE78" s="12"/>
      <c r="BF78" s="52"/>
      <c r="BG78" s="58"/>
      <c r="BH78" s="65"/>
      <c r="BI78" s="65"/>
      <c r="BJ78" s="65"/>
      <c r="BK78" s="65"/>
      <c r="BL78" s="39"/>
      <c r="BM78" s="39"/>
      <c r="BN78" s="39"/>
      <c r="BO78" s="39">
        <f t="shared" si="86"/>
        <v>0</v>
      </c>
      <c r="BP78" s="51"/>
      <c r="BQ78" s="99" t="e">
        <f t="shared" si="87"/>
        <v>#DIV/0!</v>
      </c>
      <c r="BR78" s="30"/>
      <c r="BV78" s="282">
        <f t="shared" si="64"/>
        <v>0</v>
      </c>
      <c r="BW78" s="39">
        <f t="shared" si="65"/>
        <v>0</v>
      </c>
      <c r="BX78" s="51" t="e">
        <f t="shared" si="66"/>
        <v>#DIV/0!</v>
      </c>
    </row>
    <row r="79" spans="1:76" s="13" customFormat="1" ht="18" customHeight="1">
      <c r="A79" s="73" t="s">
        <v>170</v>
      </c>
      <c r="D79" s="327"/>
      <c r="E79" s="356"/>
      <c r="G79" s="10"/>
      <c r="H79" s="14"/>
      <c r="J79" s="10"/>
      <c r="K79" s="14"/>
      <c r="L79" s="12"/>
      <c r="M79" s="12"/>
      <c r="N79" s="36"/>
      <c r="O79" s="12"/>
      <c r="P79" s="12"/>
      <c r="Q79" s="36"/>
      <c r="R79" s="12"/>
      <c r="S79" s="52"/>
      <c r="T79" s="58"/>
      <c r="U79" s="52"/>
      <c r="V79" s="52"/>
      <c r="W79" s="58"/>
      <c r="X79" s="180"/>
      <c r="Y79" s="163"/>
      <c r="Z79" s="98"/>
      <c r="AA79" s="202"/>
      <c r="AB79" s="172"/>
      <c r="AC79" s="97"/>
      <c r="AF79" s="12"/>
      <c r="AG79" s="12"/>
      <c r="AV79" s="28"/>
      <c r="AX79" s="12"/>
      <c r="AY79" s="52"/>
      <c r="AZ79" s="58"/>
      <c r="BA79" s="58"/>
      <c r="BB79" s="58"/>
      <c r="BC79" s="58"/>
      <c r="BD79" s="58"/>
      <c r="BE79" s="12"/>
      <c r="BF79" s="52"/>
      <c r="BG79" s="58"/>
      <c r="BH79" s="65"/>
      <c r="BI79" s="65"/>
      <c r="BJ79" s="65"/>
      <c r="BK79" s="65"/>
      <c r="BL79" s="39"/>
      <c r="BM79" s="39"/>
      <c r="BN79" s="39"/>
      <c r="BO79" s="39">
        <f t="shared" si="86"/>
        <v>0</v>
      </c>
      <c r="BP79" s="51"/>
      <c r="BQ79" s="99" t="e">
        <f t="shared" si="87"/>
        <v>#DIV/0!</v>
      </c>
      <c r="BR79" s="30"/>
      <c r="BV79" s="282">
        <f t="shared" si="64"/>
        <v>0</v>
      </c>
      <c r="BW79" s="39">
        <f t="shared" si="65"/>
        <v>0</v>
      </c>
      <c r="BX79" s="51" t="e">
        <f t="shared" si="66"/>
        <v>#DIV/0!</v>
      </c>
    </row>
    <row r="80" spans="1:76" s="13" customFormat="1" ht="18" customHeight="1">
      <c r="A80" s="73" t="s">
        <v>171</v>
      </c>
      <c r="D80" s="327"/>
      <c r="E80" s="356"/>
      <c r="G80" s="10"/>
      <c r="H80" s="14"/>
      <c r="J80" s="10"/>
      <c r="K80" s="14"/>
      <c r="L80" s="12"/>
      <c r="M80" s="12"/>
      <c r="N80" s="36"/>
      <c r="O80" s="12"/>
      <c r="P80" s="12"/>
      <c r="Q80" s="36"/>
      <c r="R80" s="12"/>
      <c r="S80" s="52"/>
      <c r="T80" s="58"/>
      <c r="U80" s="52"/>
      <c r="V80" s="52"/>
      <c r="W80" s="58"/>
      <c r="X80" s="180"/>
      <c r="Y80" s="163"/>
      <c r="Z80" s="98"/>
      <c r="AA80" s="202"/>
      <c r="AB80" s="172"/>
      <c r="AC80" s="97"/>
      <c r="AF80" s="12"/>
      <c r="AG80" s="12"/>
      <c r="AX80" s="12"/>
      <c r="AY80" s="52"/>
      <c r="AZ80" s="58"/>
      <c r="BA80" s="58"/>
      <c r="BB80" s="58"/>
      <c r="BC80" s="58"/>
      <c r="BD80" s="58"/>
      <c r="BE80" s="12"/>
      <c r="BF80" s="52"/>
      <c r="BG80" s="58"/>
      <c r="BH80" s="65"/>
      <c r="BI80" s="65"/>
      <c r="BJ80" s="65"/>
      <c r="BK80" s="65"/>
      <c r="BL80" s="39"/>
      <c r="BM80" s="39"/>
      <c r="BN80" s="39"/>
      <c r="BO80" s="39">
        <f t="shared" si="86"/>
        <v>0</v>
      </c>
      <c r="BP80" s="51"/>
      <c r="BQ80" s="99" t="e">
        <f t="shared" si="87"/>
        <v>#DIV/0!</v>
      </c>
      <c r="BR80" s="30"/>
      <c r="BV80" s="282">
        <f t="shared" si="64"/>
        <v>0</v>
      </c>
      <c r="BW80" s="39">
        <f t="shared" si="65"/>
        <v>0</v>
      </c>
      <c r="BX80" s="51" t="e">
        <f t="shared" si="66"/>
        <v>#DIV/0!</v>
      </c>
    </row>
    <row r="81" spans="1:76" s="13" customFormat="1" ht="18" customHeight="1">
      <c r="A81" s="73" t="s">
        <v>172</v>
      </c>
      <c r="D81" s="327"/>
      <c r="E81" s="356"/>
      <c r="G81" s="10"/>
      <c r="H81" s="14"/>
      <c r="J81" s="10"/>
      <c r="K81" s="14"/>
      <c r="L81" s="12"/>
      <c r="M81" s="12"/>
      <c r="N81" s="36"/>
      <c r="O81" s="12"/>
      <c r="P81" s="12"/>
      <c r="Q81" s="36"/>
      <c r="R81" s="12"/>
      <c r="S81" s="52"/>
      <c r="T81" s="58"/>
      <c r="U81" s="52"/>
      <c r="V81" s="52"/>
      <c r="W81" s="58"/>
      <c r="X81" s="180"/>
      <c r="Y81" s="163"/>
      <c r="Z81" s="98"/>
      <c r="AA81" s="202"/>
      <c r="AB81" s="172"/>
      <c r="AC81" s="97"/>
      <c r="AF81" s="12"/>
      <c r="AG81" s="12"/>
      <c r="AX81" s="12"/>
      <c r="AY81" s="52"/>
      <c r="AZ81" s="58"/>
      <c r="BA81" s="58"/>
      <c r="BB81" s="58"/>
      <c r="BC81" s="58"/>
      <c r="BD81" s="58"/>
      <c r="BE81" s="12"/>
      <c r="BF81" s="52"/>
      <c r="BG81" s="58"/>
      <c r="BH81" s="65"/>
      <c r="BI81" s="65"/>
      <c r="BJ81" s="65"/>
      <c r="BK81" s="65"/>
      <c r="BL81" s="39"/>
      <c r="BM81" s="39"/>
      <c r="BN81" s="39"/>
      <c r="BO81" s="39">
        <f t="shared" si="86"/>
        <v>0</v>
      </c>
      <c r="BP81" s="51"/>
      <c r="BQ81" s="99" t="e">
        <f t="shared" si="87"/>
        <v>#DIV/0!</v>
      </c>
      <c r="BR81" s="30"/>
      <c r="BV81" s="282">
        <f t="shared" si="64"/>
        <v>0</v>
      </c>
      <c r="BW81" s="39">
        <f t="shared" si="65"/>
        <v>0</v>
      </c>
      <c r="BX81" s="51" t="e">
        <f t="shared" si="66"/>
        <v>#DIV/0!</v>
      </c>
    </row>
    <row r="82" spans="1:76" s="13" customFormat="1" ht="18" customHeight="1">
      <c r="A82" s="73" t="s">
        <v>224</v>
      </c>
      <c r="D82" s="327"/>
      <c r="E82" s="356"/>
      <c r="G82" s="10"/>
      <c r="H82" s="14"/>
      <c r="J82" s="10"/>
      <c r="K82" s="14"/>
      <c r="L82" s="12"/>
      <c r="M82" s="12"/>
      <c r="N82" s="36"/>
      <c r="O82" s="12"/>
      <c r="P82" s="12"/>
      <c r="Q82" s="36"/>
      <c r="R82" s="12"/>
      <c r="S82" s="52"/>
      <c r="T82" s="58"/>
      <c r="U82" s="52"/>
      <c r="V82" s="52"/>
      <c r="W82" s="58"/>
      <c r="X82" s="180"/>
      <c r="Y82" s="163"/>
      <c r="Z82" s="98"/>
      <c r="AA82" s="202"/>
      <c r="AB82" s="172"/>
      <c r="AC82" s="97"/>
      <c r="AF82" s="12"/>
      <c r="AG82" s="12"/>
      <c r="AX82" s="12"/>
      <c r="AY82" s="52"/>
      <c r="AZ82" s="58"/>
      <c r="BA82" s="58"/>
      <c r="BB82" s="58"/>
      <c r="BC82" s="58"/>
      <c r="BD82" s="58"/>
      <c r="BE82" s="12"/>
      <c r="BF82" s="52"/>
      <c r="BG82" s="58"/>
      <c r="BH82" s="65"/>
      <c r="BI82" s="65"/>
      <c r="BJ82" s="65"/>
      <c r="BK82" s="65"/>
      <c r="BL82" s="39"/>
      <c r="BM82" s="39"/>
      <c r="BN82" s="39"/>
      <c r="BO82" s="39">
        <f t="shared" si="86"/>
        <v>0</v>
      </c>
      <c r="BP82" s="51"/>
      <c r="BQ82" s="99" t="e">
        <f t="shared" si="87"/>
        <v>#DIV/0!</v>
      </c>
      <c r="BR82" s="30"/>
      <c r="BV82" s="282">
        <f t="shared" si="64"/>
        <v>0</v>
      </c>
      <c r="BW82" s="39">
        <f t="shared" si="65"/>
        <v>0</v>
      </c>
      <c r="BX82" s="51" t="e">
        <f t="shared" si="66"/>
        <v>#DIV/0!</v>
      </c>
    </row>
    <row r="83" spans="1:76" ht="18" customHeight="1">
      <c r="A83" s="73"/>
      <c r="D83" s="327"/>
      <c r="E83" s="356"/>
      <c r="G83" s="10"/>
      <c r="J83" s="10"/>
      <c r="L83" s="63"/>
      <c r="M83" s="63"/>
      <c r="N83" s="72"/>
      <c r="O83" s="63"/>
      <c r="P83" s="63"/>
      <c r="Q83" s="72"/>
      <c r="R83" s="52"/>
      <c r="S83" s="52"/>
      <c r="T83" s="58"/>
      <c r="U83" s="52"/>
      <c r="V83" s="52"/>
      <c r="W83" s="58"/>
      <c r="AB83" s="172"/>
      <c r="BH83" s="65"/>
      <c r="BI83" s="65"/>
      <c r="BJ83" s="65"/>
      <c r="BK83" s="65"/>
      <c r="BL83" s="39"/>
      <c r="BM83" s="39"/>
      <c r="BN83" s="39"/>
      <c r="BO83" s="39">
        <f t="shared" si="86"/>
        <v>0</v>
      </c>
      <c r="BP83" s="51"/>
      <c r="BQ83" s="99" t="e">
        <f t="shared" si="87"/>
        <v>#DIV/0!</v>
      </c>
      <c r="BV83" s="282">
        <f t="shared" si="64"/>
        <v>0</v>
      </c>
      <c r="BW83" s="39">
        <f t="shared" si="65"/>
        <v>0</v>
      </c>
      <c r="BX83" s="51" t="e">
        <f t="shared" si="66"/>
        <v>#DIV/0!</v>
      </c>
    </row>
    <row r="84" spans="1:76" s="109" customFormat="1" ht="18" customHeight="1">
      <c r="A84" s="116" t="s">
        <v>57</v>
      </c>
      <c r="D84" s="358"/>
      <c r="E84" s="361"/>
      <c r="G84" s="362"/>
      <c r="H84" s="364"/>
      <c r="J84" s="362"/>
      <c r="K84" s="364"/>
      <c r="L84" s="105"/>
      <c r="M84" s="105"/>
      <c r="N84" s="117"/>
      <c r="O84" s="105"/>
      <c r="P84" s="105"/>
      <c r="Q84" s="117"/>
      <c r="R84" s="107"/>
      <c r="S84" s="107"/>
      <c r="T84" s="125"/>
      <c r="U84" s="107"/>
      <c r="V84" s="107"/>
      <c r="W84" s="125"/>
      <c r="X84" s="175"/>
      <c r="Y84" s="158"/>
      <c r="Z84" s="111"/>
      <c r="AA84" s="201"/>
      <c r="AB84" s="170"/>
      <c r="AC84" s="113"/>
      <c r="AF84" s="107"/>
      <c r="AG84" s="107"/>
      <c r="AX84" s="107"/>
      <c r="AY84" s="107"/>
      <c r="AZ84" s="125"/>
      <c r="BA84" s="125"/>
      <c r="BB84" s="125"/>
      <c r="BC84" s="125"/>
      <c r="BD84" s="125"/>
      <c r="BE84" s="107"/>
      <c r="BF84" s="107"/>
      <c r="BG84" s="125"/>
      <c r="BH84" s="110"/>
      <c r="BI84" s="110"/>
      <c r="BJ84" s="110"/>
      <c r="BK84" s="110"/>
      <c r="BL84" s="562"/>
      <c r="BM84" s="562"/>
      <c r="BN84" s="562"/>
      <c r="BO84" s="39">
        <f t="shared" si="86"/>
        <v>0</v>
      </c>
      <c r="BP84" s="108"/>
      <c r="BQ84" s="99" t="e">
        <f t="shared" si="87"/>
        <v>#DIV/0!</v>
      </c>
      <c r="BR84" s="562"/>
      <c r="BV84" s="302"/>
      <c r="BW84" s="562"/>
      <c r="BX84" s="108"/>
    </row>
    <row r="85" spans="1:76" s="79" customFormat="1" ht="18" customHeight="1">
      <c r="A85" s="59" t="s">
        <v>9</v>
      </c>
      <c r="B85" s="327">
        <f>297327+5086</f>
        <v>302413</v>
      </c>
      <c r="C85" s="327">
        <f>309820+5919</f>
        <v>315739</v>
      </c>
      <c r="D85" s="327">
        <f t="shared" si="67"/>
        <v>13326</v>
      </c>
      <c r="E85" s="356">
        <f t="shared" si="79"/>
        <v>4.406556596442613E-2</v>
      </c>
      <c r="F85" s="590">
        <f>315155+7615</f>
        <v>322770</v>
      </c>
      <c r="G85" s="590">
        <f t="shared" si="68"/>
        <v>7031</v>
      </c>
      <c r="H85" s="276">
        <f t="shared" si="80"/>
        <v>2.2268392564744933E-2</v>
      </c>
      <c r="I85" s="590">
        <f>327688+12747</f>
        <v>340435</v>
      </c>
      <c r="J85" s="590">
        <f t="shared" si="69"/>
        <v>17665</v>
      </c>
      <c r="K85" s="276">
        <f t="shared" si="81"/>
        <v>5.4729373857545623E-2</v>
      </c>
      <c r="L85" s="62">
        <v>362630</v>
      </c>
      <c r="M85" s="62">
        <v>22193</v>
      </c>
      <c r="N85" s="241">
        <v>6.5189741420585895E-2</v>
      </c>
      <c r="O85" s="62">
        <v>377853</v>
      </c>
      <c r="P85" s="62">
        <f>O85-L85</f>
        <v>15223</v>
      </c>
      <c r="Q85" s="241">
        <f t="shared" ref="Q85:Q101" si="95">P85/L85</f>
        <v>4.197942806717591E-2</v>
      </c>
      <c r="R85" s="62">
        <v>431559</v>
      </c>
      <c r="S85" s="62">
        <f t="shared" ref="S85:S109" si="96">R85-O85</f>
        <v>53706</v>
      </c>
      <c r="T85" s="241">
        <f t="shared" ref="T85:T97" si="97">S85/O85</f>
        <v>0.14213463966145565</v>
      </c>
      <c r="U85" s="62">
        <v>444102</v>
      </c>
      <c r="V85" s="62">
        <f>U85-R85</f>
        <v>12543</v>
      </c>
      <c r="W85" s="241">
        <f>V85/R85</f>
        <v>2.9064392122513955E-2</v>
      </c>
      <c r="X85" s="166">
        <v>483579</v>
      </c>
      <c r="Y85" s="62">
        <f t="shared" ref="Y85:Y109" si="98">X85-U85</f>
        <v>39477</v>
      </c>
      <c r="Z85" s="95">
        <f t="shared" ref="Z85:Z97" si="99">Y85/U85</f>
        <v>8.8891741086507159E-2</v>
      </c>
      <c r="AA85" s="202">
        <v>474920</v>
      </c>
      <c r="AB85" s="591">
        <f t="shared" ref="AB85:AB109" si="100">AA85-X85</f>
        <v>-8659</v>
      </c>
      <c r="AC85" s="592">
        <f t="shared" ref="AC85:AC97" si="101">AB85/X85</f>
        <v>-1.7906071190022726E-2</v>
      </c>
      <c r="AD85" s="78">
        <v>446423</v>
      </c>
      <c r="AE85" s="78">
        <v>32181</v>
      </c>
      <c r="AF85" s="62">
        <v>458516</v>
      </c>
      <c r="AG85" s="62">
        <f t="shared" ref="AG85:AG108" si="102">AF85-AA85</f>
        <v>-16404</v>
      </c>
      <c r="AH85" s="241">
        <f t="shared" ref="AH85:AH108" si="103">AG85/AA85</f>
        <v>-3.4540554198601872E-2</v>
      </c>
      <c r="AI85" s="78">
        <v>446423</v>
      </c>
      <c r="AJ85" s="79">
        <v>478604</v>
      </c>
      <c r="AK85" s="79">
        <v>452401</v>
      </c>
      <c r="AL85" s="136"/>
      <c r="AM85" s="202">
        <f t="shared" ref="AM85:AM108" si="104">+AL85+AK85</f>
        <v>452401</v>
      </c>
      <c r="AN85" s="79">
        <v>413648</v>
      </c>
      <c r="AO85" s="79">
        <v>449518</v>
      </c>
      <c r="AP85" s="599">
        <v>19429</v>
      </c>
      <c r="AQ85" s="599">
        <v>381</v>
      </c>
      <c r="AR85" s="78">
        <f>+AP85+AQ85</f>
        <v>19810</v>
      </c>
      <c r="AS85" s="78">
        <f>BB85+AR85</f>
        <v>462302.49015000003</v>
      </c>
      <c r="AT85" s="78">
        <f>AS85-AF85</f>
        <v>3786.4901500000269</v>
      </c>
      <c r="AU85" s="262">
        <f>AT85/AF85</f>
        <v>8.2581418096642802E-3</v>
      </c>
      <c r="AV85" s="78">
        <f t="shared" ref="AV85:AV109" si="105">+AS85-AF85</f>
        <v>3786.4901500000269</v>
      </c>
      <c r="AW85" s="262">
        <f t="shared" ref="AW85:AW109" si="106">+AV85/AF85</f>
        <v>8.2581418096642802E-3</v>
      </c>
      <c r="AX85" s="78">
        <f>439227+7700</f>
        <v>446927</v>
      </c>
      <c r="AY85" s="62">
        <f t="shared" si="88"/>
        <v>-11589</v>
      </c>
      <c r="AZ85" s="587">
        <f t="shared" si="89"/>
        <v>-2.5275017665686694E-2</v>
      </c>
      <c r="BA85" s="624">
        <f>415115.54284+31861.06093</f>
        <v>446976.60376999999</v>
      </c>
      <c r="BB85" s="624">
        <f>415020.28519+27472.20496</f>
        <v>442492.49015000003</v>
      </c>
      <c r="BC85" s="624">
        <f>BA85-BB85</f>
        <v>4484.1136199999601</v>
      </c>
      <c r="BD85" s="31">
        <f>BC85/BA85</f>
        <v>1.0032099179641499E-2</v>
      </c>
      <c r="BE85" s="78">
        <f>442071+9452</f>
        <v>451523</v>
      </c>
      <c r="BF85" s="62">
        <f t="shared" ref="BF85:BF97" si="107">BE85-AX85</f>
        <v>4596</v>
      </c>
      <c r="BG85" s="587">
        <f t="shared" ref="BG85:BG109" si="108">BF85/AX85</f>
        <v>1.0283558612480337E-2</v>
      </c>
      <c r="BH85" s="78">
        <v>17276</v>
      </c>
      <c r="BI85" s="78"/>
      <c r="BJ85" s="78"/>
      <c r="BK85" s="78">
        <v>486</v>
      </c>
      <c r="BL85" s="495">
        <f t="shared" si="90"/>
        <v>469285</v>
      </c>
      <c r="BM85" s="495">
        <f t="shared" ref="BM85:BM109" si="109">BL85-AS85</f>
        <v>6982.5098499999731</v>
      </c>
      <c r="BN85" s="495">
        <v>471523</v>
      </c>
      <c r="BO85" s="39">
        <f t="shared" si="86"/>
        <v>20000</v>
      </c>
      <c r="BP85" s="587">
        <f t="shared" ref="BP85:BP109" si="110">BM85/AS85</f>
        <v>1.5103768633680532E-2</v>
      </c>
      <c r="BQ85" s="99">
        <f t="shared" si="87"/>
        <v>4.4294532061489672E-2</v>
      </c>
      <c r="BR85" s="495">
        <v>24639</v>
      </c>
      <c r="BU85">
        <v>618</v>
      </c>
      <c r="BV85" s="282">
        <f t="shared" ref="BV85:BV108" si="111">BN85+BR85+BS85+BT85+BU85</f>
        <v>496780</v>
      </c>
      <c r="BW85" s="39">
        <f t="shared" ref="BW85:BW118" si="112">BV85-BL85</f>
        <v>27495</v>
      </c>
      <c r="BX85" s="51">
        <f t="shared" ref="BX85:BX118" si="113">BW85/BL85</f>
        <v>5.8589130272648816E-2</v>
      </c>
    </row>
    <row r="86" spans="1:76" s="79" customFormat="1" ht="18" customHeight="1">
      <c r="A86" s="59" t="s">
        <v>10</v>
      </c>
      <c r="B86" s="327">
        <f>112749+106</f>
        <v>112855</v>
      </c>
      <c r="C86" s="327">
        <f>129197+19</f>
        <v>129216</v>
      </c>
      <c r="D86" s="327">
        <f t="shared" si="67"/>
        <v>16361</v>
      </c>
      <c r="E86" s="356">
        <f t="shared" si="79"/>
        <v>0.14497363873997607</v>
      </c>
      <c r="F86" s="590">
        <f>129729+2</f>
        <v>129731</v>
      </c>
      <c r="G86" s="590">
        <f t="shared" si="68"/>
        <v>515</v>
      </c>
      <c r="H86" s="276">
        <f t="shared" si="80"/>
        <v>3.9855745418524019E-3</v>
      </c>
      <c r="I86" s="590">
        <v>135693</v>
      </c>
      <c r="J86" s="590">
        <f t="shared" si="69"/>
        <v>5962</v>
      </c>
      <c r="K86" s="276">
        <f t="shared" si="81"/>
        <v>4.5956633341298535E-2</v>
      </c>
      <c r="L86" s="62">
        <v>148503</v>
      </c>
      <c r="M86" s="62">
        <v>12810</v>
      </c>
      <c r="N86" s="241">
        <v>9.4404280250270825E-2</v>
      </c>
      <c r="O86" s="62">
        <v>149226</v>
      </c>
      <c r="P86" s="62">
        <f t="shared" ref="P86:P104" si="114">O86-L86</f>
        <v>723</v>
      </c>
      <c r="Q86" s="241">
        <f t="shared" si="95"/>
        <v>4.8685885133633667E-3</v>
      </c>
      <c r="R86" s="62">
        <v>157228</v>
      </c>
      <c r="S86" s="62">
        <f t="shared" si="96"/>
        <v>8002</v>
      </c>
      <c r="T86" s="241">
        <f t="shared" si="97"/>
        <v>5.3623363220886441E-2</v>
      </c>
      <c r="U86" s="62">
        <v>172775</v>
      </c>
      <c r="V86" s="62">
        <f t="shared" ref="V86:V104" si="115">U86-R86</f>
        <v>15547</v>
      </c>
      <c r="W86" s="241">
        <f t="shared" ref="W86:W104" si="116">V86/R86</f>
        <v>9.8881878545806087E-2</v>
      </c>
      <c r="X86" s="166">
        <v>188601</v>
      </c>
      <c r="Y86" s="62">
        <f t="shared" si="98"/>
        <v>15826</v>
      </c>
      <c r="Z86" s="95">
        <f t="shared" si="99"/>
        <v>9.1598900303863404E-2</v>
      </c>
      <c r="AA86" s="202">
        <v>184289</v>
      </c>
      <c r="AB86" s="591">
        <f t="shared" si="100"/>
        <v>-4312</v>
      </c>
      <c r="AC86" s="592">
        <f t="shared" si="101"/>
        <v>-2.2863081319823331E-2</v>
      </c>
      <c r="AD86" s="78">
        <v>187935</v>
      </c>
      <c r="AE86" s="78">
        <v>1520</v>
      </c>
      <c r="AF86" s="62">
        <v>194830</v>
      </c>
      <c r="AG86" s="62">
        <f t="shared" si="102"/>
        <v>10541</v>
      </c>
      <c r="AH86" s="241">
        <f t="shared" si="103"/>
        <v>5.7198204993244309E-2</v>
      </c>
      <c r="AI86" s="78">
        <v>187935</v>
      </c>
      <c r="AJ86" s="79">
        <v>189455</v>
      </c>
      <c r="AK86" s="79">
        <v>196834</v>
      </c>
      <c r="AL86" s="136"/>
      <c r="AM86" s="202">
        <f t="shared" si="104"/>
        <v>196834</v>
      </c>
      <c r="AN86" s="79">
        <v>192535</v>
      </c>
      <c r="AO86" s="79">
        <v>194055</v>
      </c>
      <c r="AP86" s="599">
        <v>5393</v>
      </c>
      <c r="AQ86" s="599">
        <v>240</v>
      </c>
      <c r="AR86" s="78">
        <f t="shared" ref="AR86:AR108" si="117">+AP86+AQ86</f>
        <v>5633</v>
      </c>
      <c r="AS86" s="78">
        <f t="shared" ref="AS86:AS108" si="118">BB86+AR86</f>
        <v>199071.45843</v>
      </c>
      <c r="AT86" s="78">
        <f t="shared" ref="AT86:AT109" si="119">AS86-AF86</f>
        <v>4241.4584299999988</v>
      </c>
      <c r="AU86" s="262">
        <f t="shared" ref="AU86:AU109" si="120">AT86/AF86</f>
        <v>2.1770047887902266E-2</v>
      </c>
      <c r="AV86" s="78">
        <f t="shared" si="105"/>
        <v>4241.4584299999988</v>
      </c>
      <c r="AW86" s="262">
        <f t="shared" si="106"/>
        <v>2.1770047887902266E-2</v>
      </c>
      <c r="AX86" s="78">
        <v>196615</v>
      </c>
      <c r="AY86" s="62">
        <f t="shared" si="88"/>
        <v>1785</v>
      </c>
      <c r="AZ86" s="587">
        <f t="shared" si="89"/>
        <v>9.1618333932145975E-3</v>
      </c>
      <c r="BA86" s="624">
        <f>192295.3313+1520</f>
        <v>193815.33129999999</v>
      </c>
      <c r="BB86" s="624">
        <f>191932.00926+1506.44917</f>
        <v>193438.45843</v>
      </c>
      <c r="BC86" s="624">
        <f t="shared" ref="BC86:BC108" si="121">BA86-BB86</f>
        <v>376.87286999999196</v>
      </c>
      <c r="BD86" s="31">
        <f t="shared" ref="BD86:BD108" si="122">BC86/BA86</f>
        <v>1.9444946252298461E-3</v>
      </c>
      <c r="BE86" s="78">
        <f>193902+1520-500</f>
        <v>194922</v>
      </c>
      <c r="BF86" s="62">
        <f t="shared" si="107"/>
        <v>-1693</v>
      </c>
      <c r="BG86" s="587">
        <f t="shared" si="108"/>
        <v>-8.6107367189685417E-3</v>
      </c>
      <c r="BH86" s="78">
        <f>5426+500</f>
        <v>5926</v>
      </c>
      <c r="BI86" s="78"/>
      <c r="BJ86" s="78"/>
      <c r="BK86" s="78">
        <v>208</v>
      </c>
      <c r="BL86" s="495">
        <f t="shared" si="90"/>
        <v>201056</v>
      </c>
      <c r="BM86" s="495">
        <f t="shared" si="109"/>
        <v>1984.5415700000012</v>
      </c>
      <c r="BN86" s="495">
        <v>200729</v>
      </c>
      <c r="BO86" s="39">
        <f t="shared" si="86"/>
        <v>5807</v>
      </c>
      <c r="BP86" s="587">
        <f t="shared" si="110"/>
        <v>9.9689909625986419E-3</v>
      </c>
      <c r="BQ86" s="99">
        <f t="shared" si="87"/>
        <v>2.9791403740983574E-2</v>
      </c>
      <c r="BR86" s="495">
        <v>7792</v>
      </c>
      <c r="BU86">
        <v>247</v>
      </c>
      <c r="BV86" s="282">
        <f t="shared" si="111"/>
        <v>208768</v>
      </c>
      <c r="BW86" s="39">
        <f t="shared" si="112"/>
        <v>7712</v>
      </c>
      <c r="BX86" s="51">
        <f t="shared" si="113"/>
        <v>3.8357472544962599E-2</v>
      </c>
    </row>
    <row r="87" spans="1:76" ht="18" customHeight="1">
      <c r="A87" s="59" t="s">
        <v>11</v>
      </c>
      <c r="B87" s="327">
        <v>39900</v>
      </c>
      <c r="C87" s="327">
        <v>49000</v>
      </c>
      <c r="D87" s="327">
        <f t="shared" si="67"/>
        <v>9100</v>
      </c>
      <c r="E87" s="356">
        <f t="shared" si="79"/>
        <v>0.22807017543859648</v>
      </c>
      <c r="F87" s="10">
        <v>74600</v>
      </c>
      <c r="G87" s="10">
        <f t="shared" si="68"/>
        <v>25600</v>
      </c>
      <c r="H87" s="14">
        <f t="shared" si="80"/>
        <v>0.52244897959183678</v>
      </c>
      <c r="I87" s="10">
        <v>68900</v>
      </c>
      <c r="J87" s="10">
        <f t="shared" si="69"/>
        <v>-5700</v>
      </c>
      <c r="K87" s="14">
        <f t="shared" si="81"/>
        <v>-7.6407506702412864E-2</v>
      </c>
      <c r="L87" s="52">
        <v>96700</v>
      </c>
      <c r="M87" s="52">
        <v>27800</v>
      </c>
      <c r="N87" s="58">
        <v>0.40348330914368652</v>
      </c>
      <c r="O87" s="52">
        <v>112100</v>
      </c>
      <c r="P87" s="52">
        <f t="shared" si="114"/>
        <v>15400</v>
      </c>
      <c r="Q87" s="58">
        <f t="shared" si="95"/>
        <v>0.1592554291623578</v>
      </c>
      <c r="R87" s="52">
        <v>117500</v>
      </c>
      <c r="S87" s="52">
        <f t="shared" si="96"/>
        <v>5400</v>
      </c>
      <c r="T87" s="58">
        <f t="shared" si="97"/>
        <v>4.8171275646743977E-2</v>
      </c>
      <c r="U87" s="52">
        <v>140100</v>
      </c>
      <c r="V87" s="52">
        <f t="shared" si="115"/>
        <v>22600</v>
      </c>
      <c r="W87" s="58">
        <f t="shared" si="116"/>
        <v>0.19234042553191488</v>
      </c>
      <c r="X87" s="166">
        <v>137000</v>
      </c>
      <c r="Y87" s="52">
        <f t="shared" si="98"/>
        <v>-3100</v>
      </c>
      <c r="Z87" s="95">
        <f t="shared" si="99"/>
        <v>-2.2127052105638829E-2</v>
      </c>
      <c r="AA87" s="202">
        <v>110900</v>
      </c>
      <c r="AB87" s="172">
        <f t="shared" si="100"/>
        <v>-26100</v>
      </c>
      <c r="AC87" s="100">
        <f t="shared" si="101"/>
        <v>-0.1905109489051095</v>
      </c>
      <c r="AD87" s="65">
        <v>132975</v>
      </c>
      <c r="AE87" s="65"/>
      <c r="AF87" s="52">
        <v>132300</v>
      </c>
      <c r="AG87" s="52">
        <f t="shared" si="102"/>
        <v>21400</v>
      </c>
      <c r="AH87" s="58">
        <f t="shared" si="103"/>
        <v>0.19296663660955815</v>
      </c>
      <c r="AI87" s="65">
        <v>132975</v>
      </c>
      <c r="AJ87" s="50">
        <v>132975</v>
      </c>
      <c r="AK87" s="50">
        <v>127200</v>
      </c>
      <c r="AL87" s="136">
        <v>375</v>
      </c>
      <c r="AM87" s="258">
        <f t="shared" si="104"/>
        <v>127575</v>
      </c>
      <c r="AN87" s="50">
        <v>127200</v>
      </c>
      <c r="AO87" s="50">
        <v>127200</v>
      </c>
      <c r="AP87" s="263">
        <v>0</v>
      </c>
      <c r="AQ87" s="263">
        <v>0</v>
      </c>
      <c r="AR87" s="65">
        <f t="shared" si="117"/>
        <v>0</v>
      </c>
      <c r="AS87" s="78">
        <f t="shared" si="118"/>
        <v>127200</v>
      </c>
      <c r="AT87" s="65">
        <f t="shared" si="119"/>
        <v>-5100</v>
      </c>
      <c r="AU87" s="99">
        <f t="shared" si="120"/>
        <v>-3.8548752834467119E-2</v>
      </c>
      <c r="AV87" s="65">
        <f t="shared" si="105"/>
        <v>-5100</v>
      </c>
      <c r="AW87" s="99">
        <f t="shared" si="106"/>
        <v>-3.8548752834467119E-2</v>
      </c>
      <c r="AX87" s="65">
        <v>127200</v>
      </c>
      <c r="AY87" s="52">
        <f t="shared" si="88"/>
        <v>-5100</v>
      </c>
      <c r="AZ87" s="51">
        <f t="shared" si="89"/>
        <v>-3.8548752834467119E-2</v>
      </c>
      <c r="BA87" s="624">
        <v>127200</v>
      </c>
      <c r="BB87" s="624">
        <v>127200</v>
      </c>
      <c r="BC87" s="624">
        <f t="shared" si="121"/>
        <v>0</v>
      </c>
      <c r="BD87" s="31">
        <f t="shared" si="122"/>
        <v>0</v>
      </c>
      <c r="BE87" s="65">
        <v>116700</v>
      </c>
      <c r="BF87" s="52">
        <f t="shared" si="107"/>
        <v>-10500</v>
      </c>
      <c r="BG87" s="51">
        <f t="shared" si="108"/>
        <v>-8.254716981132075E-2</v>
      </c>
      <c r="BH87" s="65"/>
      <c r="BI87" s="65"/>
      <c r="BJ87" s="65"/>
      <c r="BK87" s="65"/>
      <c r="BL87" s="39">
        <f t="shared" si="90"/>
        <v>116700</v>
      </c>
      <c r="BM87" s="39">
        <f t="shared" si="109"/>
        <v>-10500</v>
      </c>
      <c r="BN87" s="39">
        <v>96314</v>
      </c>
      <c r="BO87" s="39">
        <f t="shared" si="86"/>
        <v>-20386</v>
      </c>
      <c r="BP87" s="51">
        <f t="shared" si="110"/>
        <v>-8.254716981132075E-2</v>
      </c>
      <c r="BQ87" s="99">
        <f t="shared" si="87"/>
        <v>-0.17468723221936588</v>
      </c>
      <c r="BU87"/>
      <c r="BV87" s="282">
        <f t="shared" si="111"/>
        <v>96314</v>
      </c>
      <c r="BW87" s="39">
        <f t="shared" si="112"/>
        <v>-20386</v>
      </c>
      <c r="BX87" s="51">
        <f t="shared" si="113"/>
        <v>-0.17468723221936588</v>
      </c>
    </row>
    <row r="88" spans="1:76" s="79" customFormat="1" ht="18" customHeight="1">
      <c r="A88" s="59" t="s">
        <v>12</v>
      </c>
      <c r="B88" s="327">
        <f>70484+176561</f>
        <v>247045</v>
      </c>
      <c r="C88" s="327">
        <f>80325+131433</f>
        <v>211758</v>
      </c>
      <c r="D88" s="327">
        <f t="shared" si="67"/>
        <v>-35287</v>
      </c>
      <c r="E88" s="356">
        <f t="shared" si="79"/>
        <v>-0.14283632536582405</v>
      </c>
      <c r="F88" s="590">
        <f>97679-64</f>
        <v>97615</v>
      </c>
      <c r="G88" s="590">
        <f t="shared" si="68"/>
        <v>-114143</v>
      </c>
      <c r="H88" s="276">
        <f t="shared" si="80"/>
        <v>-0.53902568025765263</v>
      </c>
      <c r="I88" s="590">
        <v>102336</v>
      </c>
      <c r="J88" s="590">
        <f t="shared" si="69"/>
        <v>4721</v>
      </c>
      <c r="K88" s="276">
        <f t="shared" si="81"/>
        <v>4.8363468729191207E-2</v>
      </c>
      <c r="L88" s="62">
        <v>117539</v>
      </c>
      <c r="M88" s="62">
        <v>15203</v>
      </c>
      <c r="N88" s="241">
        <v>0.14855964665415886</v>
      </c>
      <c r="O88" s="62">
        <v>123376</v>
      </c>
      <c r="P88" s="62">
        <f t="shared" si="114"/>
        <v>5837</v>
      </c>
      <c r="Q88" s="241">
        <f t="shared" si="95"/>
        <v>4.966011281361931E-2</v>
      </c>
      <c r="R88" s="62">
        <v>135207</v>
      </c>
      <c r="S88" s="62">
        <f t="shared" si="96"/>
        <v>11831</v>
      </c>
      <c r="T88" s="241">
        <f t="shared" si="97"/>
        <v>9.5893852937362203E-2</v>
      </c>
      <c r="U88" s="62">
        <v>147131</v>
      </c>
      <c r="V88" s="62">
        <f t="shared" si="115"/>
        <v>11924</v>
      </c>
      <c r="W88" s="241">
        <f t="shared" si="116"/>
        <v>8.8190700185641277E-2</v>
      </c>
      <c r="X88" s="166">
        <v>152744</v>
      </c>
      <c r="Y88" s="62">
        <f t="shared" si="98"/>
        <v>5613</v>
      </c>
      <c r="Z88" s="95">
        <f t="shared" si="99"/>
        <v>3.8149676138951004E-2</v>
      </c>
      <c r="AA88" s="202">
        <v>149276</v>
      </c>
      <c r="AB88" s="591">
        <f t="shared" si="100"/>
        <v>-3468</v>
      </c>
      <c r="AC88" s="592">
        <f t="shared" si="101"/>
        <v>-2.2704656156706648E-2</v>
      </c>
      <c r="AD88" s="78">
        <v>103887</v>
      </c>
      <c r="AE88" s="78">
        <v>34824</v>
      </c>
      <c r="AF88" s="62">
        <v>150579</v>
      </c>
      <c r="AG88" s="62">
        <f t="shared" si="102"/>
        <v>1303</v>
      </c>
      <c r="AH88" s="241">
        <f t="shared" si="103"/>
        <v>8.7287976633886218E-3</v>
      </c>
      <c r="AI88" s="78">
        <v>103887</v>
      </c>
      <c r="AJ88" s="79">
        <v>138711</v>
      </c>
      <c r="AK88" s="245">
        <v>116451</v>
      </c>
      <c r="AL88" s="136">
        <v>4900</v>
      </c>
      <c r="AM88" s="202">
        <f t="shared" si="104"/>
        <v>121351</v>
      </c>
      <c r="AN88" s="605">
        <v>100083</v>
      </c>
      <c r="AO88" s="79">
        <v>125628</v>
      </c>
      <c r="AP88" s="599">
        <v>2811</v>
      </c>
      <c r="AQ88" s="599">
        <v>471</v>
      </c>
      <c r="AR88" s="78">
        <f t="shared" si="117"/>
        <v>3282</v>
      </c>
      <c r="AS88" s="78">
        <f t="shared" si="118"/>
        <v>145604.72744000002</v>
      </c>
      <c r="AT88" s="78">
        <f t="shared" si="119"/>
        <v>-4974.2725599999831</v>
      </c>
      <c r="AU88" s="262">
        <f t="shared" si="120"/>
        <v>-3.3034304650714795E-2</v>
      </c>
      <c r="AV88" s="78">
        <f t="shared" si="105"/>
        <v>-4974.2725599999831</v>
      </c>
      <c r="AW88" s="262">
        <f t="shared" si="106"/>
        <v>-3.3034304650714795E-2</v>
      </c>
      <c r="AX88" s="78">
        <f>134075+6300</f>
        <v>140375</v>
      </c>
      <c r="AY88" s="62">
        <f t="shared" si="88"/>
        <v>-10204</v>
      </c>
      <c r="AZ88" s="587">
        <f t="shared" si="89"/>
        <v>-6.7765093406119054E-2</v>
      </c>
      <c r="BA88" s="624">
        <f>119026.27025+25540.62025</f>
        <v>144566.89050000001</v>
      </c>
      <c r="BB88" s="624">
        <f>117369.46937+24953.25807</f>
        <v>142322.72744000002</v>
      </c>
      <c r="BC88" s="624">
        <f t="shared" si="121"/>
        <v>2244.1630599999917</v>
      </c>
      <c r="BD88" s="31">
        <f t="shared" si="122"/>
        <v>1.5523354291140346E-2</v>
      </c>
      <c r="BE88" s="78">
        <f>115294+20297</f>
        <v>135591</v>
      </c>
      <c r="BF88" s="62">
        <f t="shared" si="107"/>
        <v>-4784</v>
      </c>
      <c r="BG88" s="587">
        <f t="shared" si="108"/>
        <v>-3.4080142475512019E-2</v>
      </c>
      <c r="BH88" s="78">
        <v>3951</v>
      </c>
      <c r="BI88" s="78"/>
      <c r="BJ88" s="78"/>
      <c r="BK88" s="78">
        <v>19</v>
      </c>
      <c r="BL88" s="495">
        <f t="shared" si="90"/>
        <v>139561</v>
      </c>
      <c r="BM88" s="495">
        <f t="shared" si="109"/>
        <v>-6043.7274400000169</v>
      </c>
      <c r="BN88" s="495">
        <v>141085</v>
      </c>
      <c r="BO88" s="39">
        <f t="shared" si="86"/>
        <v>5494</v>
      </c>
      <c r="BP88" s="587">
        <f t="shared" si="110"/>
        <v>-4.1507769330432508E-2</v>
      </c>
      <c r="BQ88" s="99">
        <f t="shared" si="87"/>
        <v>4.0518913497208514E-2</v>
      </c>
      <c r="BR88" s="495">
        <v>3968</v>
      </c>
      <c r="BU88">
        <v>39</v>
      </c>
      <c r="BV88" s="282">
        <f t="shared" si="111"/>
        <v>145092</v>
      </c>
      <c r="BW88" s="39">
        <f t="shared" si="112"/>
        <v>5531</v>
      </c>
      <c r="BX88" s="51">
        <f t="shared" si="113"/>
        <v>3.9631415653370208E-2</v>
      </c>
    </row>
    <row r="89" spans="1:76" ht="18" customHeight="1">
      <c r="A89" s="57" t="s">
        <v>13</v>
      </c>
      <c r="B89" s="326">
        <f>1740+164</f>
        <v>1904</v>
      </c>
      <c r="C89" s="326">
        <f>1704+340</f>
        <v>2044</v>
      </c>
      <c r="D89" s="327">
        <f t="shared" si="67"/>
        <v>140</v>
      </c>
      <c r="E89" s="356">
        <f t="shared" si="79"/>
        <v>7.3529411764705885E-2</v>
      </c>
      <c r="F89" s="10">
        <v>1894</v>
      </c>
      <c r="G89" s="10">
        <f t="shared" si="68"/>
        <v>-150</v>
      </c>
      <c r="H89" s="14">
        <f t="shared" si="80"/>
        <v>-7.3385518590998039E-2</v>
      </c>
      <c r="I89" s="10">
        <v>1396</v>
      </c>
      <c r="J89" s="10">
        <f t="shared" si="69"/>
        <v>-498</v>
      </c>
      <c r="K89" s="14">
        <f t="shared" si="81"/>
        <v>-0.26293558606124606</v>
      </c>
      <c r="L89" s="52">
        <v>1934</v>
      </c>
      <c r="M89" s="52">
        <v>538</v>
      </c>
      <c r="N89" s="58">
        <v>0.38538681948424069</v>
      </c>
      <c r="O89" s="52">
        <v>2094</v>
      </c>
      <c r="P89" s="52">
        <f t="shared" si="114"/>
        <v>160</v>
      </c>
      <c r="Q89" s="58">
        <f t="shared" si="95"/>
        <v>8.2730093071354704E-2</v>
      </c>
      <c r="R89" s="52">
        <v>2329</v>
      </c>
      <c r="S89" s="52">
        <f t="shared" si="96"/>
        <v>235</v>
      </c>
      <c r="T89" s="58">
        <f t="shared" si="97"/>
        <v>0.112225405921681</v>
      </c>
      <c r="U89" s="52">
        <v>2846</v>
      </c>
      <c r="V89" s="52">
        <f t="shared" si="115"/>
        <v>517</v>
      </c>
      <c r="W89" s="58">
        <f t="shared" si="116"/>
        <v>0.22198368398454271</v>
      </c>
      <c r="X89" s="166">
        <v>2828</v>
      </c>
      <c r="Y89" s="52">
        <f t="shared" si="98"/>
        <v>-18</v>
      </c>
      <c r="Z89" s="95">
        <f t="shared" si="99"/>
        <v>-6.3246661981728744E-3</v>
      </c>
      <c r="AA89" s="202">
        <v>3371</v>
      </c>
      <c r="AB89" s="172">
        <f t="shared" si="100"/>
        <v>543</v>
      </c>
      <c r="AC89" s="100">
        <f t="shared" si="101"/>
        <v>0.192008486562942</v>
      </c>
      <c r="AD89" s="65">
        <v>3365</v>
      </c>
      <c r="AE89" s="65"/>
      <c r="AF89" s="52">
        <v>3317</v>
      </c>
      <c r="AG89" s="52">
        <f t="shared" si="102"/>
        <v>-54</v>
      </c>
      <c r="AH89" s="58">
        <f t="shared" si="103"/>
        <v>-1.601898546425393E-2</v>
      </c>
      <c r="AI89" s="65">
        <v>3365</v>
      </c>
      <c r="AJ89" s="50">
        <v>3365</v>
      </c>
      <c r="AK89" s="245">
        <v>3574</v>
      </c>
      <c r="AL89" s="136"/>
      <c r="AM89" s="258">
        <f t="shared" si="104"/>
        <v>3574</v>
      </c>
      <c r="AN89" s="259">
        <v>1127</v>
      </c>
      <c r="AO89" s="50">
        <v>1127</v>
      </c>
      <c r="AP89" s="263">
        <v>0</v>
      </c>
      <c r="AQ89" s="263">
        <v>0</v>
      </c>
      <c r="AR89" s="65">
        <f t="shared" si="117"/>
        <v>0</v>
      </c>
      <c r="AS89" s="78">
        <f t="shared" si="118"/>
        <v>2204.48596</v>
      </c>
      <c r="AT89" s="65">
        <f t="shared" si="119"/>
        <v>-1112.51404</v>
      </c>
      <c r="AU89" s="99">
        <f t="shared" si="120"/>
        <v>-0.3353976605366295</v>
      </c>
      <c r="AV89" s="65">
        <f t="shared" si="105"/>
        <v>-1112.51404</v>
      </c>
      <c r="AW89" s="99">
        <f t="shared" si="106"/>
        <v>-0.3353976605366295</v>
      </c>
      <c r="AX89" s="65">
        <v>2278</v>
      </c>
      <c r="AY89" s="52">
        <f t="shared" si="88"/>
        <v>-1039</v>
      </c>
      <c r="AZ89" s="51">
        <f t="shared" si="89"/>
        <v>-0.31323485076876695</v>
      </c>
      <c r="BA89" s="624">
        <v>2278.0568800000001</v>
      </c>
      <c r="BB89" s="624">
        <v>2204.48596</v>
      </c>
      <c r="BC89" s="624">
        <f t="shared" si="121"/>
        <v>73.570920000000115</v>
      </c>
      <c r="BD89" s="31">
        <f t="shared" si="122"/>
        <v>3.2295471041969816E-2</v>
      </c>
      <c r="BE89" s="65">
        <v>2270</v>
      </c>
      <c r="BF89" s="52">
        <f t="shared" si="107"/>
        <v>-8</v>
      </c>
      <c r="BG89" s="51">
        <f t="shared" si="108"/>
        <v>-3.5118525021949078E-3</v>
      </c>
      <c r="BH89" s="65"/>
      <c r="BI89" s="65"/>
      <c r="BJ89" s="65"/>
      <c r="BK89" s="65">
        <v>8</v>
      </c>
      <c r="BL89" s="39">
        <f t="shared" si="90"/>
        <v>2278</v>
      </c>
      <c r="BM89" s="39">
        <f t="shared" si="109"/>
        <v>73.514040000000023</v>
      </c>
      <c r="BN89" s="39">
        <v>2346</v>
      </c>
      <c r="BO89" s="39">
        <f t="shared" si="86"/>
        <v>76</v>
      </c>
      <c r="BP89" s="51">
        <f t="shared" si="110"/>
        <v>3.3347474800882841E-2</v>
      </c>
      <c r="BQ89" s="99">
        <f t="shared" si="87"/>
        <v>3.3480176211453744E-2</v>
      </c>
      <c r="BR89" s="39">
        <v>1834</v>
      </c>
      <c r="BU89">
        <v>7</v>
      </c>
      <c r="BV89" s="282">
        <f t="shared" si="111"/>
        <v>4187</v>
      </c>
      <c r="BW89" s="39">
        <f t="shared" si="112"/>
        <v>1909</v>
      </c>
      <c r="BX89" s="51">
        <f t="shared" si="113"/>
        <v>0.83801580333625991</v>
      </c>
    </row>
    <row r="90" spans="1:76" s="79" customFormat="1" ht="18" customHeight="1">
      <c r="A90" s="59" t="s">
        <v>141</v>
      </c>
      <c r="B90" s="595" t="s">
        <v>78</v>
      </c>
      <c r="C90" s="595" t="s">
        <v>78</v>
      </c>
      <c r="D90" s="595" t="s">
        <v>78</v>
      </c>
      <c r="E90" s="595" t="s">
        <v>78</v>
      </c>
      <c r="F90" s="595" t="s">
        <v>78</v>
      </c>
      <c r="G90" s="595" t="s">
        <v>78</v>
      </c>
      <c r="H90" s="595" t="s">
        <v>78</v>
      </c>
      <c r="I90" s="595" t="s">
        <v>78</v>
      </c>
      <c r="J90" s="595" t="s">
        <v>78</v>
      </c>
      <c r="K90" s="595" t="s">
        <v>78</v>
      </c>
      <c r="L90" s="62">
        <v>5459</v>
      </c>
      <c r="M90" s="62">
        <v>2249</v>
      </c>
      <c r="N90" s="241">
        <v>0.70062305295950156</v>
      </c>
      <c r="O90" s="62">
        <v>3007</v>
      </c>
      <c r="P90" s="62">
        <f t="shared" si="114"/>
        <v>-2452</v>
      </c>
      <c r="Q90" s="241">
        <f t="shared" si="95"/>
        <v>-0.44916651401355562</v>
      </c>
      <c r="R90" s="62">
        <v>4377</v>
      </c>
      <c r="S90" s="62">
        <f t="shared" si="96"/>
        <v>1370</v>
      </c>
      <c r="T90" s="241">
        <f t="shared" si="97"/>
        <v>0.45560359161955438</v>
      </c>
      <c r="U90" s="62">
        <v>4739</v>
      </c>
      <c r="V90" s="62">
        <f t="shared" si="115"/>
        <v>362</v>
      </c>
      <c r="W90" s="241">
        <f t="shared" si="116"/>
        <v>8.2705049120402108E-2</v>
      </c>
      <c r="X90" s="166">
        <v>4639</v>
      </c>
      <c r="Y90" s="62">
        <f t="shared" si="98"/>
        <v>-100</v>
      </c>
      <c r="Z90" s="95">
        <f t="shared" si="99"/>
        <v>-2.1101498206372651E-2</v>
      </c>
      <c r="AA90" s="202">
        <v>4462</v>
      </c>
      <c r="AB90" s="591">
        <f t="shared" si="100"/>
        <v>-177</v>
      </c>
      <c r="AC90" s="592">
        <f t="shared" si="101"/>
        <v>-3.8154774735934469E-2</v>
      </c>
      <c r="AD90" s="78">
        <v>3277</v>
      </c>
      <c r="AE90" s="78"/>
      <c r="AF90" s="62">
        <v>3561</v>
      </c>
      <c r="AG90" s="62">
        <f t="shared" si="102"/>
        <v>-901</v>
      </c>
      <c r="AH90" s="241">
        <f t="shared" si="103"/>
        <v>-0.20192738682205288</v>
      </c>
      <c r="AI90" s="78">
        <f>3277-128</f>
        <v>3149</v>
      </c>
      <c r="AJ90" s="79">
        <f>3277-128</f>
        <v>3149</v>
      </c>
      <c r="AK90" s="245">
        <v>4029</v>
      </c>
      <c r="AL90" s="136"/>
      <c r="AM90" s="202">
        <f t="shared" si="104"/>
        <v>4029</v>
      </c>
      <c r="AN90" s="605">
        <v>2043</v>
      </c>
      <c r="AO90" s="79">
        <v>2043</v>
      </c>
      <c r="AP90" s="599">
        <v>1423</v>
      </c>
      <c r="AQ90" s="599">
        <v>57</v>
      </c>
      <c r="AR90" s="78">
        <f t="shared" si="117"/>
        <v>1480</v>
      </c>
      <c r="AS90" s="78">
        <f t="shared" si="118"/>
        <v>3318.75083</v>
      </c>
      <c r="AT90" s="78">
        <f t="shared" si="119"/>
        <v>-242.24917000000005</v>
      </c>
      <c r="AU90" s="262">
        <f t="shared" si="120"/>
        <v>-6.8028410558831798E-2</v>
      </c>
      <c r="AV90" s="545">
        <f t="shared" si="105"/>
        <v>-242.24917000000005</v>
      </c>
      <c r="AW90" s="262">
        <f t="shared" si="106"/>
        <v>-6.8028410558831798E-2</v>
      </c>
      <c r="AX90" s="78">
        <v>1932</v>
      </c>
      <c r="AY90" s="62">
        <f t="shared" si="88"/>
        <v>-1629</v>
      </c>
      <c r="AZ90" s="587">
        <f t="shared" si="89"/>
        <v>-0.45745577085088457</v>
      </c>
      <c r="BA90" s="624">
        <v>1932.16346</v>
      </c>
      <c r="BB90" s="624">
        <v>1838.75083</v>
      </c>
      <c r="BC90" s="624">
        <f t="shared" si="121"/>
        <v>93.412630000000036</v>
      </c>
      <c r="BD90" s="31">
        <f t="shared" si="122"/>
        <v>4.8346132164201076E-2</v>
      </c>
      <c r="BE90" s="78">
        <v>1829</v>
      </c>
      <c r="BF90" s="62">
        <f t="shared" si="107"/>
        <v>-103</v>
      </c>
      <c r="BG90" s="587">
        <f t="shared" si="108"/>
        <v>-5.331262939958592E-2</v>
      </c>
      <c r="BH90" s="78">
        <v>1394</v>
      </c>
      <c r="BI90" s="78"/>
      <c r="BJ90" s="78"/>
      <c r="BK90" s="78"/>
      <c r="BL90" s="495">
        <f t="shared" si="90"/>
        <v>3223</v>
      </c>
      <c r="BM90" s="495">
        <f t="shared" si="109"/>
        <v>-95.750829999999951</v>
      </c>
      <c r="BN90" s="495">
        <v>2007</v>
      </c>
      <c r="BO90" s="39">
        <f t="shared" si="86"/>
        <v>178</v>
      </c>
      <c r="BP90" s="587">
        <f t="shared" si="110"/>
        <v>-2.885146698403988E-2</v>
      </c>
      <c r="BQ90" s="99">
        <f t="shared" si="87"/>
        <v>9.7320940404592673E-2</v>
      </c>
      <c r="BR90" s="495">
        <v>1316</v>
      </c>
      <c r="BU90">
        <v>51</v>
      </c>
      <c r="BV90" s="282">
        <f t="shared" si="111"/>
        <v>3374</v>
      </c>
      <c r="BW90" s="39">
        <f t="shared" si="112"/>
        <v>151</v>
      </c>
      <c r="BX90" s="51">
        <f t="shared" si="113"/>
        <v>4.6850760161340363E-2</v>
      </c>
    </row>
    <row r="91" spans="1:76" ht="18" customHeight="1">
      <c r="A91" s="316" t="s">
        <v>370</v>
      </c>
      <c r="B91" s="326">
        <v>2082</v>
      </c>
      <c r="C91" s="326">
        <v>3463</v>
      </c>
      <c r="D91" s="327">
        <f t="shared" si="67"/>
        <v>1381</v>
      </c>
      <c r="E91" s="356">
        <f t="shared" si="79"/>
        <v>0.66330451488952935</v>
      </c>
      <c r="F91" s="10">
        <v>2848</v>
      </c>
      <c r="G91" s="10">
        <f t="shared" si="68"/>
        <v>-615</v>
      </c>
      <c r="H91" s="14">
        <f t="shared" si="80"/>
        <v>-0.17759168351140631</v>
      </c>
      <c r="I91" s="10">
        <v>3210</v>
      </c>
      <c r="J91" s="10">
        <f t="shared" si="69"/>
        <v>362</v>
      </c>
      <c r="K91" s="14">
        <f t="shared" si="81"/>
        <v>0.1271067415730337</v>
      </c>
      <c r="L91" s="52"/>
      <c r="M91" s="52"/>
      <c r="N91" s="58"/>
      <c r="O91" s="52"/>
      <c r="P91" s="52"/>
      <c r="Q91" s="58"/>
      <c r="R91" s="52"/>
      <c r="S91" s="52"/>
      <c r="T91" s="58"/>
      <c r="U91" s="52"/>
      <c r="V91" s="52"/>
      <c r="W91" s="58"/>
      <c r="Y91" s="52"/>
      <c r="AB91" s="172"/>
      <c r="AD91" s="65"/>
      <c r="AE91" s="65"/>
      <c r="AH91" s="58"/>
      <c r="AI91" s="65"/>
      <c r="AK91" s="245"/>
      <c r="AL91" s="136"/>
      <c r="AM91" s="258"/>
      <c r="AN91" s="259"/>
      <c r="AP91" s="263"/>
      <c r="AQ91" s="263"/>
      <c r="AR91" s="65">
        <f t="shared" si="117"/>
        <v>0</v>
      </c>
      <c r="AS91" s="78">
        <f t="shared" si="118"/>
        <v>0</v>
      </c>
      <c r="AT91" s="65">
        <f t="shared" si="119"/>
        <v>0</v>
      </c>
      <c r="AU91" s="99" t="e">
        <f t="shared" si="120"/>
        <v>#DIV/0!</v>
      </c>
      <c r="AV91" s="219"/>
      <c r="AW91" s="99"/>
      <c r="AX91" s="65"/>
      <c r="AY91" s="52">
        <f t="shared" si="88"/>
        <v>0</v>
      </c>
      <c r="AZ91" s="51" t="e">
        <f t="shared" si="89"/>
        <v>#DIV/0!</v>
      </c>
      <c r="BA91" s="51"/>
      <c r="BB91" s="51"/>
      <c r="BC91" s="624">
        <f t="shared" si="121"/>
        <v>0</v>
      </c>
      <c r="BD91" s="31"/>
      <c r="BE91" s="65"/>
      <c r="BF91" s="52">
        <f t="shared" si="107"/>
        <v>0</v>
      </c>
      <c r="BG91" s="51" t="e">
        <f t="shared" si="108"/>
        <v>#DIV/0!</v>
      </c>
      <c r="BH91" s="65"/>
      <c r="BI91" s="65"/>
      <c r="BJ91" s="65"/>
      <c r="BK91" s="65"/>
      <c r="BL91" s="39">
        <f t="shared" si="90"/>
        <v>0</v>
      </c>
      <c r="BM91" s="39">
        <f t="shared" si="109"/>
        <v>0</v>
      </c>
      <c r="BN91" s="39"/>
      <c r="BO91" s="39">
        <f t="shared" si="86"/>
        <v>0</v>
      </c>
      <c r="BP91" s="51" t="e">
        <f t="shared" si="110"/>
        <v>#DIV/0!</v>
      </c>
      <c r="BQ91" s="99" t="e">
        <f t="shared" si="87"/>
        <v>#DIV/0!</v>
      </c>
      <c r="BU91"/>
      <c r="BV91" s="282">
        <f t="shared" si="111"/>
        <v>0</v>
      </c>
      <c r="BW91" s="39">
        <f t="shared" si="112"/>
        <v>0</v>
      </c>
      <c r="BX91" s="51" t="e">
        <f t="shared" si="113"/>
        <v>#DIV/0!</v>
      </c>
    </row>
    <row r="92" spans="1:76" ht="18" customHeight="1">
      <c r="A92" s="57" t="s">
        <v>14</v>
      </c>
      <c r="B92" s="326">
        <v>147</v>
      </c>
      <c r="C92" s="326">
        <v>165</v>
      </c>
      <c r="D92" s="327">
        <f t="shared" si="67"/>
        <v>18</v>
      </c>
      <c r="E92" s="356">
        <f t="shared" si="79"/>
        <v>0.12244897959183673</v>
      </c>
      <c r="F92" s="10">
        <v>182</v>
      </c>
      <c r="G92" s="10">
        <f t="shared" si="68"/>
        <v>17</v>
      </c>
      <c r="H92" s="14">
        <f t="shared" si="80"/>
        <v>0.10303030303030303</v>
      </c>
      <c r="I92" s="10">
        <v>181</v>
      </c>
      <c r="J92" s="10">
        <f t="shared" si="69"/>
        <v>-1</v>
      </c>
      <c r="K92" s="14">
        <f t="shared" si="81"/>
        <v>-5.4945054945054949E-3</v>
      </c>
      <c r="L92" s="52">
        <v>177</v>
      </c>
      <c r="M92" s="52">
        <v>-4</v>
      </c>
      <c r="N92" s="58">
        <v>-2.2099447513812154E-2</v>
      </c>
      <c r="O92" s="52">
        <v>204</v>
      </c>
      <c r="P92" s="52">
        <f t="shared" si="114"/>
        <v>27</v>
      </c>
      <c r="Q92" s="58">
        <f t="shared" si="95"/>
        <v>0.15254237288135594</v>
      </c>
      <c r="R92" s="52">
        <v>227</v>
      </c>
      <c r="S92" s="52">
        <f t="shared" si="96"/>
        <v>23</v>
      </c>
      <c r="T92" s="58">
        <f t="shared" si="97"/>
        <v>0.11274509803921569</v>
      </c>
      <c r="U92" s="52">
        <v>238</v>
      </c>
      <c r="V92" s="52">
        <f t="shared" si="115"/>
        <v>11</v>
      </c>
      <c r="W92" s="58">
        <f t="shared" si="116"/>
        <v>4.8458149779735685E-2</v>
      </c>
      <c r="X92" s="166">
        <v>249</v>
      </c>
      <c r="Y92" s="52">
        <f t="shared" si="98"/>
        <v>11</v>
      </c>
      <c r="Z92" s="95">
        <f t="shared" si="99"/>
        <v>4.6218487394957986E-2</v>
      </c>
      <c r="AA92" s="202">
        <v>271</v>
      </c>
      <c r="AB92" s="172">
        <f t="shared" si="100"/>
        <v>22</v>
      </c>
      <c r="AC92" s="100">
        <f t="shared" si="101"/>
        <v>8.8353413654618476E-2</v>
      </c>
      <c r="AD92" s="219">
        <v>0</v>
      </c>
      <c r="AE92" s="219"/>
      <c r="AF92" s="52">
        <v>0</v>
      </c>
      <c r="AG92" s="52">
        <f t="shared" si="102"/>
        <v>-271</v>
      </c>
      <c r="AH92" s="58">
        <f t="shared" si="103"/>
        <v>-1</v>
      </c>
      <c r="AI92" s="65">
        <v>0</v>
      </c>
      <c r="AJ92" s="50">
        <v>0</v>
      </c>
      <c r="AL92" s="136"/>
      <c r="AM92" s="258">
        <f t="shared" si="104"/>
        <v>0</v>
      </c>
      <c r="AN92" s="259">
        <v>0</v>
      </c>
      <c r="AO92" s="50">
        <v>0</v>
      </c>
      <c r="AP92" s="263">
        <v>0</v>
      </c>
      <c r="AQ92" s="263">
        <v>0</v>
      </c>
      <c r="AR92" s="65">
        <f t="shared" si="117"/>
        <v>0</v>
      </c>
      <c r="AS92" s="78">
        <f t="shared" si="118"/>
        <v>0</v>
      </c>
      <c r="AT92" s="65">
        <f t="shared" si="119"/>
        <v>0</v>
      </c>
      <c r="AU92" s="99" t="e">
        <f t="shared" si="120"/>
        <v>#DIV/0!</v>
      </c>
      <c r="AV92" s="219">
        <f t="shared" si="105"/>
        <v>0</v>
      </c>
      <c r="AW92" s="99" t="e">
        <f t="shared" si="106"/>
        <v>#DIV/0!</v>
      </c>
      <c r="AX92" s="65">
        <v>0</v>
      </c>
      <c r="AY92" s="52">
        <f t="shared" si="88"/>
        <v>0</v>
      </c>
      <c r="AZ92" s="51" t="e">
        <f t="shared" si="89"/>
        <v>#DIV/0!</v>
      </c>
      <c r="BA92" s="624">
        <v>0</v>
      </c>
      <c r="BB92" s="624">
        <v>0</v>
      </c>
      <c r="BC92" s="624">
        <f t="shared" si="121"/>
        <v>0</v>
      </c>
      <c r="BD92" s="31"/>
      <c r="BE92" s="65">
        <v>0</v>
      </c>
      <c r="BF92" s="52">
        <f t="shared" si="107"/>
        <v>0</v>
      </c>
      <c r="BG92" s="51" t="e">
        <f t="shared" si="108"/>
        <v>#DIV/0!</v>
      </c>
      <c r="BH92" s="65"/>
      <c r="BI92" s="65"/>
      <c r="BJ92" s="65"/>
      <c r="BK92" s="65"/>
      <c r="BL92" s="39">
        <f t="shared" si="90"/>
        <v>0</v>
      </c>
      <c r="BM92" s="39">
        <f t="shared" si="109"/>
        <v>0</v>
      </c>
      <c r="BN92" s="39">
        <v>0</v>
      </c>
      <c r="BO92" s="39">
        <f t="shared" si="86"/>
        <v>0</v>
      </c>
      <c r="BP92" s="51" t="e">
        <f t="shared" si="110"/>
        <v>#DIV/0!</v>
      </c>
      <c r="BQ92" s="99" t="e">
        <f t="shared" si="87"/>
        <v>#DIV/0!</v>
      </c>
      <c r="BU92"/>
      <c r="BV92" s="282">
        <f t="shared" si="111"/>
        <v>0</v>
      </c>
      <c r="BW92" s="39">
        <f t="shared" si="112"/>
        <v>0</v>
      </c>
      <c r="BX92" s="51" t="e">
        <f t="shared" si="113"/>
        <v>#DIV/0!</v>
      </c>
    </row>
    <row r="93" spans="1:76" ht="18" customHeight="1">
      <c r="A93" s="57" t="s">
        <v>15</v>
      </c>
      <c r="B93" s="326">
        <v>83</v>
      </c>
      <c r="C93" s="326">
        <v>84</v>
      </c>
      <c r="D93" s="327">
        <f t="shared" si="67"/>
        <v>1</v>
      </c>
      <c r="E93" s="356">
        <f t="shared" si="79"/>
        <v>1.2048192771084338E-2</v>
      </c>
      <c r="F93" s="10">
        <v>93</v>
      </c>
      <c r="G93" s="10">
        <f t="shared" si="68"/>
        <v>9</v>
      </c>
      <c r="H93" s="14">
        <f t="shared" si="80"/>
        <v>0.10714285714285714</v>
      </c>
      <c r="I93" s="10">
        <v>113</v>
      </c>
      <c r="J93" s="10">
        <f t="shared" si="69"/>
        <v>20</v>
      </c>
      <c r="K93" s="14">
        <f t="shared" si="81"/>
        <v>0.21505376344086022</v>
      </c>
      <c r="L93" s="52">
        <v>106</v>
      </c>
      <c r="M93" s="52">
        <v>-7</v>
      </c>
      <c r="N93" s="58">
        <v>-6.1946902654867256E-2</v>
      </c>
      <c r="O93" s="52">
        <v>103</v>
      </c>
      <c r="P93" s="52">
        <f t="shared" si="114"/>
        <v>-3</v>
      </c>
      <c r="Q93" s="58">
        <f t="shared" si="95"/>
        <v>-2.8301886792452831E-2</v>
      </c>
      <c r="R93" s="52">
        <v>122</v>
      </c>
      <c r="S93" s="52">
        <f t="shared" si="96"/>
        <v>19</v>
      </c>
      <c r="T93" s="58">
        <f t="shared" si="97"/>
        <v>0.18446601941747573</v>
      </c>
      <c r="U93" s="52">
        <v>135</v>
      </c>
      <c r="V93" s="52">
        <f t="shared" si="115"/>
        <v>13</v>
      </c>
      <c r="W93" s="58">
        <f t="shared" si="116"/>
        <v>0.10655737704918032</v>
      </c>
      <c r="X93" s="166">
        <v>103</v>
      </c>
      <c r="Y93" s="52">
        <f t="shared" si="98"/>
        <v>-32</v>
      </c>
      <c r="Z93" s="95">
        <f t="shared" si="99"/>
        <v>-0.23703703703703705</v>
      </c>
      <c r="AA93" s="202">
        <v>152</v>
      </c>
      <c r="AB93" s="172">
        <f t="shared" si="100"/>
        <v>49</v>
      </c>
      <c r="AC93" s="100">
        <f t="shared" si="101"/>
        <v>0.47572815533980584</v>
      </c>
      <c r="AD93" s="219">
        <v>0</v>
      </c>
      <c r="AE93" s="219"/>
      <c r="AF93" s="52">
        <v>0</v>
      </c>
      <c r="AG93" s="52">
        <f t="shared" si="102"/>
        <v>-152</v>
      </c>
      <c r="AH93" s="58">
        <f t="shared" si="103"/>
        <v>-1</v>
      </c>
      <c r="AI93" s="65">
        <v>0</v>
      </c>
      <c r="AJ93" s="50">
        <v>0</v>
      </c>
      <c r="AL93" s="136"/>
      <c r="AM93" s="258">
        <f t="shared" si="104"/>
        <v>0</v>
      </c>
      <c r="AN93" s="259">
        <v>0</v>
      </c>
      <c r="AO93" s="50">
        <v>0</v>
      </c>
      <c r="AP93" s="263">
        <v>0</v>
      </c>
      <c r="AQ93" s="263">
        <v>0</v>
      </c>
      <c r="AR93" s="65">
        <f t="shared" si="117"/>
        <v>0</v>
      </c>
      <c r="AS93" s="78">
        <f t="shared" si="118"/>
        <v>0</v>
      </c>
      <c r="AT93" s="65">
        <f t="shared" si="119"/>
        <v>0</v>
      </c>
      <c r="AU93" s="99" t="e">
        <f t="shared" si="120"/>
        <v>#DIV/0!</v>
      </c>
      <c r="AV93" s="219">
        <f t="shared" si="105"/>
        <v>0</v>
      </c>
      <c r="AW93" s="99" t="e">
        <f t="shared" si="106"/>
        <v>#DIV/0!</v>
      </c>
      <c r="AX93" s="65">
        <v>0</v>
      </c>
      <c r="AY93" s="52">
        <f t="shared" si="88"/>
        <v>0</v>
      </c>
      <c r="AZ93" s="51" t="e">
        <f t="shared" si="89"/>
        <v>#DIV/0!</v>
      </c>
      <c r="BA93" s="624">
        <v>0</v>
      </c>
      <c r="BB93" s="624">
        <v>0</v>
      </c>
      <c r="BC93" s="624">
        <f t="shared" si="121"/>
        <v>0</v>
      </c>
      <c r="BD93" s="31"/>
      <c r="BE93" s="65">
        <v>0</v>
      </c>
      <c r="BF93" s="52">
        <f t="shared" si="107"/>
        <v>0</v>
      </c>
      <c r="BG93" s="51" t="e">
        <f t="shared" si="108"/>
        <v>#DIV/0!</v>
      </c>
      <c r="BH93" s="65"/>
      <c r="BI93" s="65"/>
      <c r="BJ93" s="65"/>
      <c r="BK93" s="65"/>
      <c r="BL93" s="39">
        <f t="shared" si="90"/>
        <v>0</v>
      </c>
      <c r="BM93" s="39">
        <f t="shared" si="109"/>
        <v>0</v>
      </c>
      <c r="BN93" s="39"/>
      <c r="BO93" s="39">
        <f t="shared" si="86"/>
        <v>0</v>
      </c>
      <c r="BP93" s="51" t="e">
        <f t="shared" si="110"/>
        <v>#DIV/0!</v>
      </c>
      <c r="BQ93" s="99" t="e">
        <f t="shared" si="87"/>
        <v>#DIV/0!</v>
      </c>
      <c r="BU93">
        <v>7</v>
      </c>
      <c r="BV93" s="282">
        <f t="shared" si="111"/>
        <v>7</v>
      </c>
      <c r="BW93" s="39">
        <f t="shared" si="112"/>
        <v>7</v>
      </c>
      <c r="BX93" s="51" t="e">
        <f t="shared" si="113"/>
        <v>#DIV/0!</v>
      </c>
    </row>
    <row r="94" spans="1:76" s="79" customFormat="1" ht="18" customHeight="1">
      <c r="A94" s="59" t="s">
        <v>83</v>
      </c>
      <c r="B94" s="327">
        <v>218</v>
      </c>
      <c r="C94" s="327">
        <v>1117</v>
      </c>
      <c r="D94" s="327">
        <f t="shared" si="67"/>
        <v>899</v>
      </c>
      <c r="E94" s="356">
        <f t="shared" si="79"/>
        <v>4.1238532110091741</v>
      </c>
      <c r="F94" s="590">
        <v>1168</v>
      </c>
      <c r="G94" s="590">
        <f t="shared" si="68"/>
        <v>51</v>
      </c>
      <c r="H94" s="276">
        <f t="shared" si="80"/>
        <v>4.5658012533572066E-2</v>
      </c>
      <c r="I94" s="590">
        <v>1324</v>
      </c>
      <c r="J94" s="590">
        <f t="shared" si="69"/>
        <v>156</v>
      </c>
      <c r="K94" s="276">
        <f t="shared" si="81"/>
        <v>0.13356164383561644</v>
      </c>
      <c r="L94" s="62">
        <v>1444</v>
      </c>
      <c r="M94" s="62">
        <v>120</v>
      </c>
      <c r="N94" s="241">
        <v>9.0634441087613288E-2</v>
      </c>
      <c r="O94" s="62">
        <v>1715</v>
      </c>
      <c r="P94" s="62">
        <f t="shared" si="114"/>
        <v>271</v>
      </c>
      <c r="Q94" s="241">
        <f t="shared" si="95"/>
        <v>0.18767313019390583</v>
      </c>
      <c r="R94" s="62">
        <v>2082</v>
      </c>
      <c r="S94" s="62">
        <f t="shared" si="96"/>
        <v>367</v>
      </c>
      <c r="T94" s="241">
        <f t="shared" si="97"/>
        <v>0.21399416909620991</v>
      </c>
      <c r="U94" s="62">
        <v>2191</v>
      </c>
      <c r="V94" s="62">
        <f t="shared" si="115"/>
        <v>109</v>
      </c>
      <c r="W94" s="241">
        <f t="shared" si="116"/>
        <v>5.2353506243996158E-2</v>
      </c>
      <c r="X94" s="166">
        <v>2282</v>
      </c>
      <c r="Y94" s="62">
        <f t="shared" si="98"/>
        <v>91</v>
      </c>
      <c r="Z94" s="95">
        <f t="shared" si="99"/>
        <v>4.1533546325878593E-2</v>
      </c>
      <c r="AA94" s="202">
        <v>2618</v>
      </c>
      <c r="AB94" s="591">
        <f t="shared" si="100"/>
        <v>336</v>
      </c>
      <c r="AC94" s="592">
        <f t="shared" si="101"/>
        <v>0.14723926380368099</v>
      </c>
      <c r="AD94" s="78">
        <v>2618</v>
      </c>
      <c r="AE94" s="78"/>
      <c r="AF94" s="62">
        <v>2587</v>
      </c>
      <c r="AG94" s="62">
        <f t="shared" si="102"/>
        <v>-31</v>
      </c>
      <c r="AH94" s="241">
        <f t="shared" si="103"/>
        <v>-1.1841100076394193E-2</v>
      </c>
      <c r="AI94" s="78">
        <v>2618</v>
      </c>
      <c r="AJ94" s="79">
        <v>2618</v>
      </c>
      <c r="AK94" s="593">
        <v>2687</v>
      </c>
      <c r="AL94" s="136"/>
      <c r="AM94" s="202">
        <f t="shared" si="104"/>
        <v>2687</v>
      </c>
      <c r="AN94" s="605">
        <v>2070</v>
      </c>
      <c r="AO94" s="79">
        <v>2070</v>
      </c>
      <c r="AP94" s="599">
        <v>480</v>
      </c>
      <c r="AQ94" s="599">
        <v>9</v>
      </c>
      <c r="AR94" s="78">
        <f t="shared" si="117"/>
        <v>489</v>
      </c>
      <c r="AS94" s="78">
        <f t="shared" si="118"/>
        <v>2259.24496</v>
      </c>
      <c r="AT94" s="78">
        <f t="shared" si="119"/>
        <v>-327.75504000000001</v>
      </c>
      <c r="AU94" s="262">
        <f t="shared" si="120"/>
        <v>-0.12669309625048319</v>
      </c>
      <c r="AV94" s="545">
        <f t="shared" si="105"/>
        <v>-327.75504000000001</v>
      </c>
      <c r="AW94" s="262">
        <f t="shared" si="106"/>
        <v>-0.12669309625048319</v>
      </c>
      <c r="AX94" s="78">
        <v>2058</v>
      </c>
      <c r="AY94" s="62">
        <f t="shared" si="88"/>
        <v>-529</v>
      </c>
      <c r="AZ94" s="587">
        <f t="shared" si="89"/>
        <v>-0.20448395825280247</v>
      </c>
      <c r="BA94" s="624">
        <v>2057.5892600000002</v>
      </c>
      <c r="BB94" s="624">
        <v>1770.24496</v>
      </c>
      <c r="BC94" s="624">
        <f t="shared" si="121"/>
        <v>287.3443000000002</v>
      </c>
      <c r="BD94" s="31">
        <f t="shared" si="122"/>
        <v>0.13965095249379372</v>
      </c>
      <c r="BE94" s="78">
        <v>2051</v>
      </c>
      <c r="BF94" s="62">
        <f t="shared" si="107"/>
        <v>-7</v>
      </c>
      <c r="BG94" s="587">
        <f t="shared" si="108"/>
        <v>-3.4013605442176869E-3</v>
      </c>
      <c r="BH94" s="78">
        <v>475</v>
      </c>
      <c r="BI94" s="78"/>
      <c r="BJ94" s="78"/>
      <c r="BK94" s="78">
        <v>17</v>
      </c>
      <c r="BL94" s="495">
        <f t="shared" si="90"/>
        <v>2543</v>
      </c>
      <c r="BM94" s="495">
        <f t="shared" si="109"/>
        <v>283.75504000000001</v>
      </c>
      <c r="BN94" s="495">
        <v>2091</v>
      </c>
      <c r="BO94" s="39">
        <f t="shared" si="86"/>
        <v>40</v>
      </c>
      <c r="BP94" s="587">
        <f t="shared" si="110"/>
        <v>0.12559728804263881</v>
      </c>
      <c r="BQ94" s="99">
        <f t="shared" si="87"/>
        <v>1.9502681618722574E-2</v>
      </c>
      <c r="BR94" s="495">
        <v>630</v>
      </c>
      <c r="BU94">
        <v>11</v>
      </c>
      <c r="BV94" s="282">
        <f t="shared" si="111"/>
        <v>2732</v>
      </c>
      <c r="BW94" s="39">
        <f t="shared" si="112"/>
        <v>189</v>
      </c>
      <c r="BX94" s="51">
        <f t="shared" si="113"/>
        <v>7.4321667322060553E-2</v>
      </c>
    </row>
    <row r="95" spans="1:76" s="79" customFormat="1" ht="18" customHeight="1">
      <c r="A95" s="353" t="s">
        <v>142</v>
      </c>
      <c r="B95" s="327">
        <v>100</v>
      </c>
      <c r="C95" s="327">
        <v>392</v>
      </c>
      <c r="D95" s="327">
        <f t="shared" si="67"/>
        <v>292</v>
      </c>
      <c r="E95" s="356">
        <f t="shared" si="79"/>
        <v>2.92</v>
      </c>
      <c r="F95" s="590">
        <v>416</v>
      </c>
      <c r="G95" s="590">
        <f t="shared" si="68"/>
        <v>24</v>
      </c>
      <c r="H95" s="276">
        <f t="shared" si="80"/>
        <v>6.1224489795918366E-2</v>
      </c>
      <c r="I95" s="590">
        <v>483</v>
      </c>
      <c r="J95" s="590">
        <f t="shared" si="69"/>
        <v>67</v>
      </c>
      <c r="K95" s="276">
        <f t="shared" si="81"/>
        <v>0.16105769230769232</v>
      </c>
      <c r="L95" s="62">
        <v>606</v>
      </c>
      <c r="M95" s="62">
        <v>123</v>
      </c>
      <c r="N95" s="241">
        <v>0.25465838509316768</v>
      </c>
      <c r="O95" s="62">
        <v>537</v>
      </c>
      <c r="P95" s="62">
        <f t="shared" si="114"/>
        <v>-69</v>
      </c>
      <c r="Q95" s="241">
        <f t="shared" si="95"/>
        <v>-0.11386138613861387</v>
      </c>
      <c r="R95" s="62">
        <v>651</v>
      </c>
      <c r="S95" s="62">
        <f t="shared" si="96"/>
        <v>114</v>
      </c>
      <c r="T95" s="241">
        <f t="shared" si="97"/>
        <v>0.21229050279329609</v>
      </c>
      <c r="U95" s="62">
        <v>643</v>
      </c>
      <c r="V95" s="62">
        <f t="shared" si="115"/>
        <v>-8</v>
      </c>
      <c r="W95" s="241">
        <f t="shared" si="116"/>
        <v>-1.2288786482334869E-2</v>
      </c>
      <c r="X95" s="166">
        <v>583</v>
      </c>
      <c r="Y95" s="62">
        <f t="shared" si="98"/>
        <v>-60</v>
      </c>
      <c r="Z95" s="95">
        <f t="shared" si="99"/>
        <v>-9.3312597200622086E-2</v>
      </c>
      <c r="AA95" s="202">
        <v>779</v>
      </c>
      <c r="AB95" s="591">
        <f t="shared" si="100"/>
        <v>196</v>
      </c>
      <c r="AC95" s="592">
        <f t="shared" si="101"/>
        <v>0.33619210977701541</v>
      </c>
      <c r="AD95" s="545">
        <v>816</v>
      </c>
      <c r="AE95" s="545"/>
      <c r="AF95" s="62">
        <v>794</v>
      </c>
      <c r="AG95" s="62">
        <f t="shared" si="102"/>
        <v>15</v>
      </c>
      <c r="AH95" s="241">
        <f t="shared" si="103"/>
        <v>1.9255455712451863E-2</v>
      </c>
      <c r="AI95" s="78">
        <v>816</v>
      </c>
      <c r="AJ95" s="79">
        <v>816</v>
      </c>
      <c r="AK95" s="593">
        <v>838</v>
      </c>
      <c r="AL95" s="136"/>
      <c r="AM95" s="202">
        <f t="shared" si="104"/>
        <v>838</v>
      </c>
      <c r="AN95" s="605">
        <v>709</v>
      </c>
      <c r="AO95" s="79">
        <v>709</v>
      </c>
      <c r="AP95" s="599">
        <v>28</v>
      </c>
      <c r="AQ95" s="599">
        <v>2</v>
      </c>
      <c r="AR95" s="78">
        <f t="shared" si="117"/>
        <v>30</v>
      </c>
      <c r="AS95" s="78">
        <f t="shared" si="118"/>
        <v>660.24746000000005</v>
      </c>
      <c r="AT95" s="78">
        <f t="shared" si="119"/>
        <v>-133.75253999999995</v>
      </c>
      <c r="AU95" s="262">
        <f t="shared" si="120"/>
        <v>-0.16845408060453396</v>
      </c>
      <c r="AV95" s="78">
        <f t="shared" si="105"/>
        <v>-133.75253999999995</v>
      </c>
      <c r="AW95" s="262">
        <f t="shared" si="106"/>
        <v>-0.16845408060453396</v>
      </c>
      <c r="AX95" s="78">
        <v>768</v>
      </c>
      <c r="AY95" s="62">
        <f t="shared" si="88"/>
        <v>-26</v>
      </c>
      <c r="AZ95" s="587">
        <f t="shared" si="89"/>
        <v>-3.2745591939546598E-2</v>
      </c>
      <c r="BA95" s="624">
        <v>768.47098000000005</v>
      </c>
      <c r="BB95" s="624">
        <v>630.24746000000005</v>
      </c>
      <c r="BC95" s="624">
        <f t="shared" si="121"/>
        <v>138.22352000000001</v>
      </c>
      <c r="BD95" s="31">
        <f t="shared" si="122"/>
        <v>0.17986823653379858</v>
      </c>
      <c r="BE95" s="78">
        <v>888</v>
      </c>
      <c r="BF95" s="62">
        <f t="shared" si="107"/>
        <v>120</v>
      </c>
      <c r="BG95" s="587">
        <f t="shared" si="108"/>
        <v>0.15625</v>
      </c>
      <c r="BH95" s="78">
        <v>22</v>
      </c>
      <c r="BI95" s="78"/>
      <c r="BJ95" s="78"/>
      <c r="BK95" s="78"/>
      <c r="BL95" s="495">
        <f t="shared" si="90"/>
        <v>910</v>
      </c>
      <c r="BM95" s="495">
        <f t="shared" si="109"/>
        <v>249.75253999999995</v>
      </c>
      <c r="BN95" s="495">
        <v>907</v>
      </c>
      <c r="BO95" s="39">
        <f t="shared" si="86"/>
        <v>19</v>
      </c>
      <c r="BP95" s="587">
        <f t="shared" si="110"/>
        <v>0.37827111065296631</v>
      </c>
      <c r="BQ95" s="99">
        <f t="shared" si="87"/>
        <v>2.1396396396396396E-2</v>
      </c>
      <c r="BR95" s="495">
        <v>27</v>
      </c>
      <c r="BU95">
        <v>16</v>
      </c>
      <c r="BV95" s="282">
        <f t="shared" si="111"/>
        <v>950</v>
      </c>
      <c r="BW95" s="39">
        <f t="shared" si="112"/>
        <v>40</v>
      </c>
      <c r="BX95" s="51">
        <f t="shared" si="113"/>
        <v>4.3956043956043959E-2</v>
      </c>
    </row>
    <row r="96" spans="1:76" s="79" customFormat="1" ht="18" customHeight="1">
      <c r="A96" s="59" t="s">
        <v>69</v>
      </c>
      <c r="B96" s="327">
        <v>0</v>
      </c>
      <c r="C96" s="327">
        <f>4305+106</f>
        <v>4411</v>
      </c>
      <c r="D96" s="327">
        <f t="shared" si="67"/>
        <v>4411</v>
      </c>
      <c r="E96" s="595" t="s">
        <v>78</v>
      </c>
      <c r="F96" s="590">
        <f>4746+97</f>
        <v>4843</v>
      </c>
      <c r="G96" s="590">
        <f t="shared" si="68"/>
        <v>432</v>
      </c>
      <c r="H96" s="276">
        <f t="shared" si="80"/>
        <v>9.7936975742462032E-2</v>
      </c>
      <c r="I96" s="590">
        <v>5107</v>
      </c>
      <c r="J96" s="590">
        <f t="shared" si="69"/>
        <v>264</v>
      </c>
      <c r="K96" s="276">
        <f t="shared" si="81"/>
        <v>5.4511666322527359E-2</v>
      </c>
      <c r="L96" s="62">
        <v>5891</v>
      </c>
      <c r="M96" s="62">
        <v>784</v>
      </c>
      <c r="N96" s="241">
        <v>0.15351478363031135</v>
      </c>
      <c r="O96" s="62">
        <v>6362</v>
      </c>
      <c r="P96" s="62">
        <f t="shared" si="114"/>
        <v>471</v>
      </c>
      <c r="Q96" s="241">
        <f t="shared" si="95"/>
        <v>7.9952469869292137E-2</v>
      </c>
      <c r="R96" s="62">
        <v>8548</v>
      </c>
      <c r="S96" s="62">
        <f t="shared" si="96"/>
        <v>2186</v>
      </c>
      <c r="T96" s="241">
        <f t="shared" si="97"/>
        <v>0.34360264067903173</v>
      </c>
      <c r="U96" s="62">
        <v>8339</v>
      </c>
      <c r="V96" s="62">
        <f t="shared" si="115"/>
        <v>-209</v>
      </c>
      <c r="W96" s="241">
        <f t="shared" si="116"/>
        <v>-2.4450163781001403E-2</v>
      </c>
      <c r="X96" s="166">
        <v>9166</v>
      </c>
      <c r="Y96" s="62">
        <f t="shared" si="98"/>
        <v>827</v>
      </c>
      <c r="Z96" s="95">
        <f t="shared" si="99"/>
        <v>9.9172562657392979E-2</v>
      </c>
      <c r="AA96" s="202">
        <v>10020</v>
      </c>
      <c r="AB96" s="591">
        <f t="shared" si="100"/>
        <v>854</v>
      </c>
      <c r="AC96" s="592">
        <f t="shared" si="101"/>
        <v>9.3170412393628624E-2</v>
      </c>
      <c r="AD96" s="78">
        <v>8364</v>
      </c>
      <c r="AE96" s="78">
        <v>274</v>
      </c>
      <c r="AF96" s="62">
        <v>8074</v>
      </c>
      <c r="AG96" s="62">
        <f t="shared" si="102"/>
        <v>-1946</v>
      </c>
      <c r="AH96" s="241">
        <f t="shared" si="103"/>
        <v>-0.19421157684630738</v>
      </c>
      <c r="AI96" s="78">
        <f>8364-151</f>
        <v>8213</v>
      </c>
      <c r="AJ96" s="79">
        <f>8638-151</f>
        <v>8487</v>
      </c>
      <c r="AK96" s="593">
        <v>8630</v>
      </c>
      <c r="AL96" s="136"/>
      <c r="AM96" s="202">
        <f t="shared" si="104"/>
        <v>8630</v>
      </c>
      <c r="AN96" s="605">
        <v>7396</v>
      </c>
      <c r="AO96" s="79">
        <v>7664</v>
      </c>
      <c r="AP96" s="599">
        <v>742</v>
      </c>
      <c r="AQ96" s="599">
        <v>47</v>
      </c>
      <c r="AR96" s="78">
        <f t="shared" si="117"/>
        <v>789</v>
      </c>
      <c r="AS96" s="78">
        <f t="shared" si="118"/>
        <v>7942.7015199999996</v>
      </c>
      <c r="AT96" s="78">
        <f t="shared" si="119"/>
        <v>-131.29848000000038</v>
      </c>
      <c r="AU96" s="262">
        <f t="shared" si="120"/>
        <v>-1.626188754025271E-2</v>
      </c>
      <c r="AV96" s="545">
        <f t="shared" si="105"/>
        <v>-131.29848000000038</v>
      </c>
      <c r="AW96" s="262">
        <f t="shared" si="106"/>
        <v>-1.626188754025271E-2</v>
      </c>
      <c r="AX96" s="78">
        <v>7378</v>
      </c>
      <c r="AY96" s="62">
        <f t="shared" si="88"/>
        <v>-696</v>
      </c>
      <c r="AZ96" s="587">
        <f t="shared" si="89"/>
        <v>-8.6202625712162501E-2</v>
      </c>
      <c r="BA96" s="624">
        <f>7112.68873+265.5727</f>
        <v>7378.2614299999996</v>
      </c>
      <c r="BB96" s="624">
        <f>6923.28241+230.41911</f>
        <v>7153.7015199999996</v>
      </c>
      <c r="BC96" s="624">
        <f t="shared" si="121"/>
        <v>224.55990999999995</v>
      </c>
      <c r="BD96" s="31">
        <f t="shared" si="122"/>
        <v>3.043534200169971E-2</v>
      </c>
      <c r="BE96" s="78">
        <v>7569</v>
      </c>
      <c r="BF96" s="62">
        <f t="shared" si="107"/>
        <v>191</v>
      </c>
      <c r="BG96" s="587">
        <f t="shared" si="108"/>
        <v>2.588777446462456E-2</v>
      </c>
      <c r="BH96" s="78">
        <v>2267</v>
      </c>
      <c r="BI96" s="78"/>
      <c r="BJ96" s="78"/>
      <c r="BK96" s="78">
        <v>12</v>
      </c>
      <c r="BL96" s="495">
        <f t="shared" si="90"/>
        <v>9848</v>
      </c>
      <c r="BM96" s="495">
        <f t="shared" si="109"/>
        <v>1905.2984800000004</v>
      </c>
      <c r="BN96" s="495">
        <v>7884</v>
      </c>
      <c r="BO96" s="39">
        <f t="shared" si="86"/>
        <v>315</v>
      </c>
      <c r="BP96" s="587">
        <f t="shared" si="110"/>
        <v>0.23988040784390455</v>
      </c>
      <c r="BQ96" s="99">
        <f t="shared" si="87"/>
        <v>4.1617122473246136E-2</v>
      </c>
      <c r="BR96" s="495">
        <v>3069</v>
      </c>
      <c r="BU96">
        <v>12</v>
      </c>
      <c r="BV96" s="282">
        <f t="shared" si="111"/>
        <v>10965</v>
      </c>
      <c r="BW96" s="39">
        <f t="shared" si="112"/>
        <v>1117</v>
      </c>
      <c r="BX96" s="51">
        <f t="shared" si="113"/>
        <v>0.11342404549147035</v>
      </c>
    </row>
    <row r="97" spans="1:76" s="79" customFormat="1" ht="18" customHeight="1">
      <c r="A97" s="59" t="s">
        <v>16</v>
      </c>
      <c r="B97" s="327">
        <v>0</v>
      </c>
      <c r="C97" s="327">
        <v>0</v>
      </c>
      <c r="D97" s="327">
        <f t="shared" si="67"/>
        <v>0</v>
      </c>
      <c r="E97" s="595" t="s">
        <v>78</v>
      </c>
      <c r="F97" s="590">
        <v>0</v>
      </c>
      <c r="G97" s="590">
        <f t="shared" si="68"/>
        <v>0</v>
      </c>
      <c r="H97" s="595" t="s">
        <v>78</v>
      </c>
      <c r="I97" s="590">
        <v>93</v>
      </c>
      <c r="J97" s="590">
        <f t="shared" si="69"/>
        <v>93</v>
      </c>
      <c r="K97" s="595" t="s">
        <v>78</v>
      </c>
      <c r="L97" s="62">
        <v>3275</v>
      </c>
      <c r="M97" s="62">
        <v>3182</v>
      </c>
      <c r="N97" s="241">
        <v>34.215053763440864</v>
      </c>
      <c r="O97" s="62">
        <v>3621</v>
      </c>
      <c r="P97" s="62">
        <f t="shared" si="114"/>
        <v>346</v>
      </c>
      <c r="Q97" s="241">
        <f t="shared" si="95"/>
        <v>0.10564885496183206</v>
      </c>
      <c r="R97" s="62">
        <v>5580</v>
      </c>
      <c r="S97" s="62">
        <f t="shared" si="96"/>
        <v>1959</v>
      </c>
      <c r="T97" s="241">
        <f t="shared" si="97"/>
        <v>0.54101077050538526</v>
      </c>
      <c r="U97" s="62">
        <v>5032</v>
      </c>
      <c r="V97" s="62">
        <f t="shared" si="115"/>
        <v>-548</v>
      </c>
      <c r="W97" s="241">
        <f t="shared" si="116"/>
        <v>-9.8207885304659501E-2</v>
      </c>
      <c r="X97" s="166">
        <v>7076</v>
      </c>
      <c r="Y97" s="62">
        <f t="shared" si="98"/>
        <v>2044</v>
      </c>
      <c r="Z97" s="95">
        <f t="shared" si="99"/>
        <v>0.40620031796502387</v>
      </c>
      <c r="AA97" s="202">
        <v>7751</v>
      </c>
      <c r="AB97" s="591">
        <f t="shared" si="100"/>
        <v>675</v>
      </c>
      <c r="AC97" s="592">
        <f t="shared" si="101"/>
        <v>9.5392877331825887E-2</v>
      </c>
      <c r="AD97" s="78">
        <v>7005</v>
      </c>
      <c r="AE97" s="78">
        <v>8</v>
      </c>
      <c r="AF97" s="62">
        <v>7003</v>
      </c>
      <c r="AG97" s="62">
        <f t="shared" si="102"/>
        <v>-748</v>
      </c>
      <c r="AH97" s="241">
        <f t="shared" si="103"/>
        <v>-9.6503676944910341E-2</v>
      </c>
      <c r="AI97" s="78">
        <v>7005</v>
      </c>
      <c r="AJ97" s="79">
        <v>7013</v>
      </c>
      <c r="AK97" s="593">
        <v>6719</v>
      </c>
      <c r="AL97" s="136"/>
      <c r="AM97" s="202">
        <f t="shared" si="104"/>
        <v>6719</v>
      </c>
      <c r="AN97" s="605">
        <v>7451</v>
      </c>
      <c r="AO97" s="79">
        <v>7460</v>
      </c>
      <c r="AP97" s="599">
        <v>76</v>
      </c>
      <c r="AQ97" s="599">
        <v>15</v>
      </c>
      <c r="AR97" s="78">
        <f t="shared" si="117"/>
        <v>91</v>
      </c>
      <c r="AS97" s="78">
        <f t="shared" si="118"/>
        <v>6801.4298999999992</v>
      </c>
      <c r="AT97" s="78">
        <f t="shared" si="119"/>
        <v>-201.57010000000082</v>
      </c>
      <c r="AU97" s="262">
        <f t="shared" si="120"/>
        <v>-2.87833928316437E-2</v>
      </c>
      <c r="AV97" s="545">
        <f t="shared" si="105"/>
        <v>-201.57010000000082</v>
      </c>
      <c r="AW97" s="262">
        <f t="shared" si="106"/>
        <v>-2.87833928316437E-2</v>
      </c>
      <c r="AX97" s="78">
        <v>6928</v>
      </c>
      <c r="AY97" s="62">
        <f t="shared" si="88"/>
        <v>-75</v>
      </c>
      <c r="AZ97" s="587">
        <f t="shared" si="89"/>
        <v>-1.0709695844638012E-2</v>
      </c>
      <c r="BA97" s="624">
        <f>6919.58223+8.2431</f>
        <v>6927.8253299999997</v>
      </c>
      <c r="BB97" s="624">
        <f>6706.17207+4.25783</f>
        <v>6710.4298999999992</v>
      </c>
      <c r="BC97" s="624">
        <f t="shared" si="121"/>
        <v>217.39543000000049</v>
      </c>
      <c r="BD97" s="31">
        <f t="shared" si="122"/>
        <v>3.1380039138486839E-2</v>
      </c>
      <c r="BE97" s="78">
        <v>7637</v>
      </c>
      <c r="BF97" s="62">
        <f t="shared" si="107"/>
        <v>709</v>
      </c>
      <c r="BG97" s="587">
        <f t="shared" si="108"/>
        <v>0.10233833718244803</v>
      </c>
      <c r="BH97" s="78">
        <v>378</v>
      </c>
      <c r="BI97" s="78"/>
      <c r="BJ97" s="78"/>
      <c r="BK97" s="78">
        <v>79</v>
      </c>
      <c r="BL97" s="495">
        <f t="shared" si="90"/>
        <v>8094</v>
      </c>
      <c r="BM97" s="495">
        <f t="shared" si="109"/>
        <v>1292.5701000000008</v>
      </c>
      <c r="BN97" s="495">
        <v>8852</v>
      </c>
      <c r="BO97" s="39">
        <f t="shared" si="86"/>
        <v>1215</v>
      </c>
      <c r="BP97" s="587">
        <f t="shared" si="110"/>
        <v>0.19004387592085614</v>
      </c>
      <c r="BQ97" s="99">
        <f t="shared" si="87"/>
        <v>0.15909388503339009</v>
      </c>
      <c r="BR97" s="495">
        <v>469</v>
      </c>
      <c r="BU97">
        <v>60</v>
      </c>
      <c r="BV97" s="282">
        <f t="shared" si="111"/>
        <v>9381</v>
      </c>
      <c r="BW97" s="39">
        <f t="shared" si="112"/>
        <v>1287</v>
      </c>
      <c r="BX97" s="51">
        <f t="shared" si="113"/>
        <v>0.15900667160859897</v>
      </c>
    </row>
    <row r="98" spans="1:76" ht="18" customHeight="1">
      <c r="A98" s="353" t="s">
        <v>410</v>
      </c>
      <c r="B98" s="327">
        <v>0</v>
      </c>
      <c r="C98" s="327">
        <v>0</v>
      </c>
      <c r="D98" s="327"/>
      <c r="E98" s="328"/>
      <c r="F98" s="10">
        <v>0</v>
      </c>
      <c r="G98" s="10"/>
      <c r="H98" s="328"/>
      <c r="I98" s="10">
        <v>0</v>
      </c>
      <c r="J98" s="10"/>
      <c r="K98" s="328"/>
      <c r="L98" s="52">
        <v>0</v>
      </c>
      <c r="M98" s="52"/>
      <c r="N98" s="58"/>
      <c r="O98" s="52">
        <v>0</v>
      </c>
      <c r="P98" s="52"/>
      <c r="Q98" s="58"/>
      <c r="R98" s="52">
        <v>0</v>
      </c>
      <c r="S98" s="52"/>
      <c r="T98" s="58"/>
      <c r="U98" s="52">
        <v>0</v>
      </c>
      <c r="V98" s="52">
        <f t="shared" si="115"/>
        <v>0</v>
      </c>
      <c r="W98" s="60" t="s">
        <v>78</v>
      </c>
      <c r="X98" s="166">
        <v>0</v>
      </c>
      <c r="Y98" s="52">
        <f t="shared" si="98"/>
        <v>0</v>
      </c>
      <c r="AA98" s="202">
        <v>0</v>
      </c>
      <c r="AB98" s="172">
        <f t="shared" si="100"/>
        <v>0</v>
      </c>
      <c r="AC98" s="70" t="s">
        <v>78</v>
      </c>
      <c r="AD98" s="219">
        <v>25</v>
      </c>
      <c r="AE98" s="219"/>
      <c r="AF98" s="52">
        <v>0</v>
      </c>
      <c r="AG98" s="52">
        <f>AF98-AA98</f>
        <v>0</v>
      </c>
      <c r="AH98" s="58" t="e">
        <f t="shared" si="103"/>
        <v>#DIV/0!</v>
      </c>
      <c r="AI98" s="65">
        <f>25-25</f>
        <v>0</v>
      </c>
      <c r="AJ98" s="50">
        <f>25-25</f>
        <v>0</v>
      </c>
      <c r="AK98" s="220"/>
      <c r="AL98" s="136">
        <v>25</v>
      </c>
      <c r="AM98" s="258">
        <f t="shared" si="104"/>
        <v>25</v>
      </c>
      <c r="AN98" s="259">
        <v>0</v>
      </c>
      <c r="AO98" s="50">
        <v>0</v>
      </c>
      <c r="AP98" s="263">
        <v>0</v>
      </c>
      <c r="AQ98" s="263">
        <v>0</v>
      </c>
      <c r="AR98" s="65">
        <f t="shared" si="117"/>
        <v>0</v>
      </c>
      <c r="AS98" s="78">
        <f t="shared" si="118"/>
        <v>0</v>
      </c>
      <c r="AT98" s="65">
        <f t="shared" si="119"/>
        <v>0</v>
      </c>
      <c r="AU98" s="99" t="e">
        <f t="shared" si="120"/>
        <v>#DIV/0!</v>
      </c>
      <c r="AV98" s="65">
        <f>+AS98-AF98</f>
        <v>0</v>
      </c>
      <c r="AW98" s="99" t="e">
        <f>+AV98/AF98</f>
        <v>#DIV/0!</v>
      </c>
      <c r="AX98" s="65">
        <v>0</v>
      </c>
      <c r="AY98" s="52">
        <f>AX98-AF98</f>
        <v>0</v>
      </c>
      <c r="AZ98" s="51" t="e">
        <f>AY98/AF98</f>
        <v>#DIV/0!</v>
      </c>
      <c r="BA98" s="624">
        <v>130</v>
      </c>
      <c r="BB98" s="624">
        <v>0</v>
      </c>
      <c r="BC98" s="624">
        <f t="shared" si="121"/>
        <v>130</v>
      </c>
      <c r="BD98" s="31">
        <f t="shared" si="122"/>
        <v>1</v>
      </c>
      <c r="BE98" s="65">
        <v>0</v>
      </c>
      <c r="BF98" s="52">
        <v>0</v>
      </c>
      <c r="BG98" s="51" t="e">
        <f t="shared" si="108"/>
        <v>#DIV/0!</v>
      </c>
      <c r="BH98" s="65"/>
      <c r="BI98" s="65"/>
      <c r="BJ98" s="65"/>
      <c r="BK98" s="65"/>
      <c r="BL98" s="39">
        <f t="shared" si="90"/>
        <v>0</v>
      </c>
      <c r="BM98" s="39">
        <f t="shared" si="109"/>
        <v>0</v>
      </c>
      <c r="BN98" s="39"/>
      <c r="BO98" s="39">
        <f t="shared" si="86"/>
        <v>0</v>
      </c>
      <c r="BP98" s="51" t="e">
        <f t="shared" si="110"/>
        <v>#DIV/0!</v>
      </c>
      <c r="BQ98" s="99" t="e">
        <f t="shared" si="87"/>
        <v>#DIV/0!</v>
      </c>
      <c r="BU98"/>
      <c r="BV98" s="282">
        <f t="shared" si="111"/>
        <v>0</v>
      </c>
      <c r="BW98" s="39">
        <f t="shared" si="112"/>
        <v>0</v>
      </c>
      <c r="BX98" s="51" t="e">
        <f t="shared" si="113"/>
        <v>#DIV/0!</v>
      </c>
    </row>
    <row r="99" spans="1:76" ht="18" customHeight="1">
      <c r="A99" s="59" t="s">
        <v>18</v>
      </c>
      <c r="B99" s="326">
        <v>0</v>
      </c>
      <c r="C99" s="326">
        <v>0</v>
      </c>
      <c r="D99" s="327">
        <f t="shared" si="67"/>
        <v>0</v>
      </c>
      <c r="E99" s="328" t="s">
        <v>78</v>
      </c>
      <c r="F99" s="10">
        <v>0</v>
      </c>
      <c r="G99" s="10">
        <f t="shared" si="68"/>
        <v>0</v>
      </c>
      <c r="H99" s="328" t="s">
        <v>78</v>
      </c>
      <c r="I99" s="10">
        <v>161</v>
      </c>
      <c r="J99" s="10">
        <f t="shared" si="69"/>
        <v>161</v>
      </c>
      <c r="K99" s="328" t="s">
        <v>78</v>
      </c>
      <c r="L99" s="52">
        <v>266</v>
      </c>
      <c r="M99" s="52">
        <v>105</v>
      </c>
      <c r="N99" s="58">
        <v>0.65217391304347827</v>
      </c>
      <c r="O99" s="52">
        <v>248</v>
      </c>
      <c r="P99" s="52">
        <f t="shared" si="114"/>
        <v>-18</v>
      </c>
      <c r="Q99" s="58">
        <f t="shared" si="95"/>
        <v>-6.7669172932330823E-2</v>
      </c>
      <c r="R99" s="52">
        <v>275</v>
      </c>
      <c r="S99" s="52">
        <f>R99-O99</f>
        <v>27</v>
      </c>
      <c r="T99" s="58">
        <f>S99/O99</f>
        <v>0.10887096774193548</v>
      </c>
      <c r="U99" s="52">
        <v>285</v>
      </c>
      <c r="V99" s="52">
        <f t="shared" si="115"/>
        <v>10</v>
      </c>
      <c r="W99" s="58">
        <f t="shared" si="116"/>
        <v>3.6363636363636362E-2</v>
      </c>
      <c r="X99" s="166">
        <v>398</v>
      </c>
      <c r="Y99" s="52">
        <f t="shared" si="98"/>
        <v>113</v>
      </c>
      <c r="Z99" s="95">
        <f>Y99/U99</f>
        <v>0.39649122807017545</v>
      </c>
      <c r="AA99" s="202">
        <v>404</v>
      </c>
      <c r="AB99" s="172">
        <f t="shared" si="100"/>
        <v>6</v>
      </c>
      <c r="AC99" s="100">
        <f>AB99/X99</f>
        <v>1.507537688442211E-2</v>
      </c>
      <c r="AD99" s="219">
        <v>298</v>
      </c>
      <c r="AE99" s="219"/>
      <c r="AF99" s="52">
        <v>298</v>
      </c>
      <c r="AG99" s="52">
        <f>AF99-AA99</f>
        <v>-106</v>
      </c>
      <c r="AH99" s="58">
        <f t="shared" si="103"/>
        <v>-0.26237623762376239</v>
      </c>
      <c r="AI99" s="65">
        <v>298</v>
      </c>
      <c r="AJ99" s="50">
        <v>298</v>
      </c>
      <c r="AK99" s="220">
        <v>305</v>
      </c>
      <c r="AL99" s="136"/>
      <c r="AM99" s="258">
        <f t="shared" si="104"/>
        <v>305</v>
      </c>
      <c r="AN99" s="259">
        <v>199</v>
      </c>
      <c r="AO99" s="50">
        <v>199</v>
      </c>
      <c r="AP99" s="263">
        <v>0</v>
      </c>
      <c r="AQ99" s="263">
        <v>0</v>
      </c>
      <c r="AR99" s="65">
        <f t="shared" si="117"/>
        <v>0</v>
      </c>
      <c r="AS99" s="78">
        <f t="shared" si="118"/>
        <v>173.09004999999999</v>
      </c>
      <c r="AT99" s="65">
        <f t="shared" si="119"/>
        <v>-124.90995000000001</v>
      </c>
      <c r="AU99" s="99">
        <f t="shared" si="120"/>
        <v>-0.41916090604026851</v>
      </c>
      <c r="AV99" s="65">
        <f>+AS99-AF99</f>
        <v>-124.90995000000001</v>
      </c>
      <c r="AW99" s="99">
        <f>+AV99/AF99</f>
        <v>-0.41916090604026851</v>
      </c>
      <c r="AX99" s="65">
        <v>195</v>
      </c>
      <c r="AY99" s="52">
        <f>AX99-AF99</f>
        <v>-103</v>
      </c>
      <c r="AZ99" s="51">
        <f>AY99/AF99</f>
        <v>-0.34563758389261745</v>
      </c>
      <c r="BA99" s="624">
        <v>195.47585000000001</v>
      </c>
      <c r="BB99" s="624">
        <v>173.09004999999999</v>
      </c>
      <c r="BC99" s="624">
        <f t="shared" si="121"/>
        <v>22.385800000000017</v>
      </c>
      <c r="BD99" s="31">
        <f t="shared" si="122"/>
        <v>0.11451951737260647</v>
      </c>
      <c r="BE99" s="65">
        <v>195</v>
      </c>
      <c r="BF99" s="52">
        <f t="shared" ref="BF99:BF109" si="123">BE99-AX99</f>
        <v>0</v>
      </c>
      <c r="BG99" s="51">
        <f t="shared" si="108"/>
        <v>0</v>
      </c>
      <c r="BH99" s="65"/>
      <c r="BI99" s="65"/>
      <c r="BJ99" s="65"/>
      <c r="BK99" s="65"/>
      <c r="BL99" s="39">
        <f t="shared" si="90"/>
        <v>195</v>
      </c>
      <c r="BM99" s="39">
        <f t="shared" si="109"/>
        <v>21.909950000000009</v>
      </c>
      <c r="BN99" s="39">
        <v>199</v>
      </c>
      <c r="BO99" s="39">
        <f t="shared" si="86"/>
        <v>4</v>
      </c>
      <c r="BP99" s="51">
        <f t="shared" si="110"/>
        <v>0.12658122173978234</v>
      </c>
      <c r="BQ99" s="99">
        <f t="shared" si="87"/>
        <v>2.0512820512820513E-2</v>
      </c>
      <c r="BR99" s="39">
        <v>38</v>
      </c>
      <c r="BU99">
        <v>12</v>
      </c>
      <c r="BV99" s="282">
        <f t="shared" si="111"/>
        <v>249</v>
      </c>
      <c r="BW99" s="39">
        <f t="shared" si="112"/>
        <v>54</v>
      </c>
      <c r="BX99" s="51">
        <f t="shared" si="113"/>
        <v>0.27692307692307694</v>
      </c>
    </row>
    <row r="100" spans="1:76" ht="18" customHeight="1">
      <c r="A100" s="59" t="s">
        <v>173</v>
      </c>
      <c r="B100" s="329" t="s">
        <v>78</v>
      </c>
      <c r="C100" s="329" t="s">
        <v>78</v>
      </c>
      <c r="D100" s="329" t="s">
        <v>78</v>
      </c>
      <c r="E100" s="328" t="s">
        <v>78</v>
      </c>
      <c r="F100" s="329" t="s">
        <v>78</v>
      </c>
      <c r="G100" s="329" t="s">
        <v>78</v>
      </c>
      <c r="H100" s="328" t="s">
        <v>78</v>
      </c>
      <c r="I100" s="329" t="s">
        <v>78</v>
      </c>
      <c r="J100" s="329" t="s">
        <v>78</v>
      </c>
      <c r="K100" s="328" t="s">
        <v>78</v>
      </c>
      <c r="L100" s="52">
        <v>754</v>
      </c>
      <c r="M100" s="52">
        <v>754</v>
      </c>
      <c r="N100" s="60" t="s">
        <v>78</v>
      </c>
      <c r="O100" s="52">
        <v>730</v>
      </c>
      <c r="P100" s="69">
        <f t="shared" si="114"/>
        <v>-24</v>
      </c>
      <c r="Q100" s="58">
        <f t="shared" si="95"/>
        <v>-3.1830238726790451E-2</v>
      </c>
      <c r="R100" s="52">
        <v>516</v>
      </c>
      <c r="S100" s="52">
        <f>R100-O100</f>
        <v>-214</v>
      </c>
      <c r="T100" s="58">
        <f>S100/O100</f>
        <v>-0.29315068493150687</v>
      </c>
      <c r="U100" s="52">
        <v>811</v>
      </c>
      <c r="V100" s="52">
        <f t="shared" si="115"/>
        <v>295</v>
      </c>
      <c r="W100" s="58">
        <f t="shared" si="116"/>
        <v>0.57170542635658916</v>
      </c>
      <c r="X100" s="166">
        <v>1475</v>
      </c>
      <c r="Y100" s="52">
        <f t="shared" si="98"/>
        <v>664</v>
      </c>
      <c r="Z100" s="95">
        <f>Y100/U100</f>
        <v>0.81874229346485816</v>
      </c>
      <c r="AA100" s="202">
        <v>1323</v>
      </c>
      <c r="AB100" s="172">
        <f t="shared" si="100"/>
        <v>-152</v>
      </c>
      <c r="AC100" s="100">
        <f>AB100/X100</f>
        <v>-0.10305084745762712</v>
      </c>
      <c r="AD100" s="65">
        <v>1249</v>
      </c>
      <c r="AE100" s="65"/>
      <c r="AF100" s="52">
        <v>1293</v>
      </c>
      <c r="AG100" s="52">
        <f t="shared" si="102"/>
        <v>-30</v>
      </c>
      <c r="AH100" s="58">
        <f t="shared" si="103"/>
        <v>-2.2675736961451247E-2</v>
      </c>
      <c r="AI100" s="65">
        <v>1249</v>
      </c>
      <c r="AJ100" s="50">
        <v>1249</v>
      </c>
      <c r="AK100" s="220">
        <v>1273</v>
      </c>
      <c r="AL100" s="136"/>
      <c r="AM100" s="258">
        <f t="shared" si="104"/>
        <v>1273</v>
      </c>
      <c r="AN100" s="259">
        <v>1624</v>
      </c>
      <c r="AO100" s="50">
        <v>1624</v>
      </c>
      <c r="AP100" s="263">
        <v>0</v>
      </c>
      <c r="AQ100" s="263">
        <v>0</v>
      </c>
      <c r="AR100" s="65">
        <f t="shared" si="117"/>
        <v>0</v>
      </c>
      <c r="AS100" s="78">
        <f t="shared" si="118"/>
        <v>1190.7141999999999</v>
      </c>
      <c r="AT100" s="65">
        <f t="shared" si="119"/>
        <v>-102.28580000000011</v>
      </c>
      <c r="AU100" s="99">
        <f t="shared" si="120"/>
        <v>-7.9107347254447111E-2</v>
      </c>
      <c r="AV100" s="65">
        <f t="shared" si="105"/>
        <v>-102.28580000000011</v>
      </c>
      <c r="AW100" s="99">
        <f t="shared" si="106"/>
        <v>-7.9107347254447111E-2</v>
      </c>
      <c r="AX100" s="65">
        <v>1601</v>
      </c>
      <c r="AY100" s="52">
        <f t="shared" si="88"/>
        <v>308</v>
      </c>
      <c r="AZ100" s="51">
        <f t="shared" si="89"/>
        <v>0.23820572312451663</v>
      </c>
      <c r="BA100" s="624">
        <v>1600.7615699999999</v>
      </c>
      <c r="BB100" s="624">
        <v>1190.7141999999999</v>
      </c>
      <c r="BC100" s="624">
        <f t="shared" si="121"/>
        <v>410.04737</v>
      </c>
      <c r="BD100" s="31">
        <f t="shared" si="122"/>
        <v>0.25615767999727779</v>
      </c>
      <c r="BE100" s="65">
        <v>1551</v>
      </c>
      <c r="BF100" s="52">
        <f t="shared" si="123"/>
        <v>-50</v>
      </c>
      <c r="BG100" s="51">
        <f t="shared" si="108"/>
        <v>-3.1230480949406621E-2</v>
      </c>
      <c r="BH100" s="65"/>
      <c r="BI100" s="65"/>
      <c r="BJ100" s="65"/>
      <c r="BK100" s="65"/>
      <c r="BL100" s="39">
        <f t="shared" si="90"/>
        <v>1551</v>
      </c>
      <c r="BM100" s="39">
        <f t="shared" si="109"/>
        <v>360.28580000000011</v>
      </c>
      <c r="BN100" s="39">
        <v>0</v>
      </c>
      <c r="BO100" s="39">
        <f t="shared" si="86"/>
        <v>-1551</v>
      </c>
      <c r="BP100" s="51">
        <f t="shared" si="110"/>
        <v>0.30257957787015571</v>
      </c>
      <c r="BQ100" s="99">
        <f t="shared" si="87"/>
        <v>-1</v>
      </c>
      <c r="BU100"/>
      <c r="BV100" s="282">
        <f t="shared" si="111"/>
        <v>0</v>
      </c>
      <c r="BW100" s="39">
        <f t="shared" si="112"/>
        <v>-1551</v>
      </c>
      <c r="BX100" s="51">
        <f t="shared" si="113"/>
        <v>-1</v>
      </c>
    </row>
    <row r="101" spans="1:76" ht="18" customHeight="1">
      <c r="A101" s="59" t="s">
        <v>175</v>
      </c>
      <c r="B101" s="329" t="s">
        <v>78</v>
      </c>
      <c r="C101" s="329" t="s">
        <v>78</v>
      </c>
      <c r="D101" s="329" t="s">
        <v>78</v>
      </c>
      <c r="E101" s="328" t="s">
        <v>78</v>
      </c>
      <c r="F101" s="329" t="s">
        <v>78</v>
      </c>
      <c r="G101" s="329" t="s">
        <v>78</v>
      </c>
      <c r="H101" s="328" t="s">
        <v>78</v>
      </c>
      <c r="I101" s="329" t="s">
        <v>78</v>
      </c>
      <c r="J101" s="329" t="s">
        <v>78</v>
      </c>
      <c r="K101" s="328" t="s">
        <v>78</v>
      </c>
      <c r="L101" s="52">
        <v>734</v>
      </c>
      <c r="M101" s="52">
        <v>734</v>
      </c>
      <c r="N101" s="60" t="s">
        <v>78</v>
      </c>
      <c r="O101" s="66">
        <v>0</v>
      </c>
      <c r="P101" s="69">
        <f t="shared" si="114"/>
        <v>-734</v>
      </c>
      <c r="Q101" s="58">
        <f t="shared" si="95"/>
        <v>-1</v>
      </c>
      <c r="R101" s="52">
        <v>0</v>
      </c>
      <c r="S101" s="52">
        <f>R101-O101</f>
        <v>0</v>
      </c>
      <c r="T101" s="60" t="s">
        <v>78</v>
      </c>
      <c r="U101" s="52">
        <v>0</v>
      </c>
      <c r="V101" s="52">
        <f t="shared" si="115"/>
        <v>0</v>
      </c>
      <c r="W101" s="60" t="s">
        <v>78</v>
      </c>
      <c r="Y101" s="52">
        <f t="shared" si="98"/>
        <v>0</v>
      </c>
      <c r="AB101" s="172">
        <f t="shared" si="100"/>
        <v>0</v>
      </c>
      <c r="AD101" s="219">
        <v>0</v>
      </c>
      <c r="AE101" s="219"/>
      <c r="AG101" s="52">
        <f t="shared" si="102"/>
        <v>0</v>
      </c>
      <c r="AH101" s="58" t="e">
        <f t="shared" si="103"/>
        <v>#DIV/0!</v>
      </c>
      <c r="AI101" s="65">
        <v>0</v>
      </c>
      <c r="AJ101" s="50">
        <v>0</v>
      </c>
      <c r="AL101" s="136"/>
      <c r="AM101" s="258">
        <f t="shared" si="104"/>
        <v>0</v>
      </c>
      <c r="AP101" s="65"/>
      <c r="AQ101" s="65"/>
      <c r="AR101" s="65">
        <f t="shared" si="117"/>
        <v>0</v>
      </c>
      <c r="AS101" s="78">
        <f t="shared" si="118"/>
        <v>0</v>
      </c>
      <c r="AT101" s="65">
        <f t="shared" si="119"/>
        <v>0</v>
      </c>
      <c r="AU101" s="99" t="e">
        <f t="shared" si="120"/>
        <v>#DIV/0!</v>
      </c>
      <c r="AV101" s="65">
        <f t="shared" si="105"/>
        <v>0</v>
      </c>
      <c r="AW101" s="99" t="e">
        <f t="shared" si="106"/>
        <v>#DIV/0!</v>
      </c>
      <c r="AX101" s="65"/>
      <c r="AY101" s="52">
        <f t="shared" si="88"/>
        <v>0</v>
      </c>
      <c r="AZ101" s="51" t="e">
        <f t="shared" si="89"/>
        <v>#DIV/0!</v>
      </c>
      <c r="BA101" s="51"/>
      <c r="BB101" s="51"/>
      <c r="BC101" s="624">
        <f t="shared" si="121"/>
        <v>0</v>
      </c>
      <c r="BD101" s="31"/>
      <c r="BE101" s="65"/>
      <c r="BF101" s="52">
        <f t="shared" si="123"/>
        <v>0</v>
      </c>
      <c r="BG101" s="51" t="e">
        <f t="shared" si="108"/>
        <v>#DIV/0!</v>
      </c>
      <c r="BH101" s="65"/>
      <c r="BI101" s="65"/>
      <c r="BJ101" s="65"/>
      <c r="BK101" s="65"/>
      <c r="BL101" s="39">
        <f t="shared" si="90"/>
        <v>0</v>
      </c>
      <c r="BM101" s="39">
        <f t="shared" si="109"/>
        <v>0</v>
      </c>
      <c r="BN101" s="39"/>
      <c r="BO101" s="39">
        <f t="shared" si="86"/>
        <v>0</v>
      </c>
      <c r="BP101" s="51" t="e">
        <f t="shared" si="110"/>
        <v>#DIV/0!</v>
      </c>
      <c r="BQ101" s="99" t="e">
        <f t="shared" si="87"/>
        <v>#DIV/0!</v>
      </c>
      <c r="BU101"/>
      <c r="BV101" s="282">
        <f t="shared" si="111"/>
        <v>0</v>
      </c>
      <c r="BW101" s="39">
        <f t="shared" si="112"/>
        <v>0</v>
      </c>
      <c r="BX101" s="51" t="e">
        <f t="shared" si="113"/>
        <v>#DIV/0!</v>
      </c>
    </row>
    <row r="102" spans="1:76" ht="18" customHeight="1">
      <c r="A102" s="59" t="s">
        <v>112</v>
      </c>
      <c r="B102" s="334" t="s">
        <v>78</v>
      </c>
      <c r="C102" s="334" t="s">
        <v>78</v>
      </c>
      <c r="D102" s="329" t="s">
        <v>78</v>
      </c>
      <c r="E102" s="328" t="s">
        <v>78</v>
      </c>
      <c r="F102" s="329" t="s">
        <v>78</v>
      </c>
      <c r="G102" s="329" t="s">
        <v>78</v>
      </c>
      <c r="H102" s="328" t="s">
        <v>78</v>
      </c>
      <c r="I102" s="329" t="s">
        <v>78</v>
      </c>
      <c r="J102" s="329" t="s">
        <v>78</v>
      </c>
      <c r="K102" s="328" t="s">
        <v>78</v>
      </c>
      <c r="L102" s="52">
        <v>0</v>
      </c>
      <c r="M102" s="52">
        <v>0</v>
      </c>
      <c r="N102" s="60" t="s">
        <v>78</v>
      </c>
      <c r="O102" s="66">
        <v>0</v>
      </c>
      <c r="P102" s="69">
        <f t="shared" si="114"/>
        <v>0</v>
      </c>
      <c r="Q102" s="60" t="s">
        <v>78</v>
      </c>
      <c r="R102" s="52">
        <v>0</v>
      </c>
      <c r="S102" s="52">
        <f t="shared" si="96"/>
        <v>0</v>
      </c>
      <c r="T102" s="60" t="s">
        <v>78</v>
      </c>
      <c r="U102" s="52">
        <v>0</v>
      </c>
      <c r="V102" s="52">
        <f t="shared" si="115"/>
        <v>0</v>
      </c>
      <c r="W102" s="60" t="s">
        <v>78</v>
      </c>
      <c r="X102" s="166">
        <v>0</v>
      </c>
      <c r="Y102" s="52">
        <v>0</v>
      </c>
      <c r="AA102" s="202">
        <v>0</v>
      </c>
      <c r="AB102" s="172">
        <f t="shared" si="100"/>
        <v>0</v>
      </c>
      <c r="AC102" s="100" t="e">
        <f>AB102/X102</f>
        <v>#DIV/0!</v>
      </c>
      <c r="AD102" s="65">
        <v>3065</v>
      </c>
      <c r="AE102" s="65">
        <v>8025</v>
      </c>
      <c r="AF102" s="52">
        <v>0</v>
      </c>
      <c r="AG102" s="52">
        <f t="shared" si="102"/>
        <v>0</v>
      </c>
      <c r="AH102" s="58" t="e">
        <f t="shared" si="103"/>
        <v>#DIV/0!</v>
      </c>
      <c r="AI102" s="65">
        <v>3065</v>
      </c>
      <c r="AJ102" s="50">
        <v>11090</v>
      </c>
      <c r="AK102" s="220">
        <v>3131</v>
      </c>
      <c r="AL102" s="136"/>
      <c r="AM102" s="258">
        <f t="shared" si="104"/>
        <v>3131</v>
      </c>
      <c r="AN102" s="259">
        <v>2643</v>
      </c>
      <c r="AO102" s="50">
        <v>9777</v>
      </c>
      <c r="AP102" s="263">
        <v>0</v>
      </c>
      <c r="AQ102" s="263">
        <v>0</v>
      </c>
      <c r="AR102" s="65">
        <f t="shared" si="117"/>
        <v>0</v>
      </c>
      <c r="AS102" s="78">
        <f t="shared" si="118"/>
        <v>5402.3288599999996</v>
      </c>
      <c r="AT102" s="65">
        <f t="shared" si="119"/>
        <v>5402.3288599999996</v>
      </c>
      <c r="AU102" s="99" t="e">
        <f t="shared" si="120"/>
        <v>#DIV/0!</v>
      </c>
      <c r="AV102" s="65">
        <f t="shared" si="105"/>
        <v>5402.3288599999996</v>
      </c>
      <c r="AW102" s="99" t="e">
        <f t="shared" si="106"/>
        <v>#DIV/0!</v>
      </c>
      <c r="AX102" s="65">
        <v>0</v>
      </c>
      <c r="AY102" s="52">
        <f t="shared" si="88"/>
        <v>0</v>
      </c>
      <c r="AZ102" s="51" t="e">
        <f t="shared" si="89"/>
        <v>#DIV/0!</v>
      </c>
      <c r="BA102" s="624">
        <f>2426.65254+4947.90583</f>
        <v>7374.5583699999997</v>
      </c>
      <c r="BB102" s="624">
        <f>2401.94226+3000.3866</f>
        <v>5402.3288599999996</v>
      </c>
      <c r="BC102" s="624">
        <f t="shared" si="121"/>
        <v>1972.2295100000001</v>
      </c>
      <c r="BD102" s="31">
        <f t="shared" si="122"/>
        <v>0.26743696517788906</v>
      </c>
      <c r="BE102" s="65">
        <v>0</v>
      </c>
      <c r="BF102" s="52">
        <f t="shared" si="123"/>
        <v>0</v>
      </c>
      <c r="BG102" s="51" t="e">
        <f t="shared" si="108"/>
        <v>#DIV/0!</v>
      </c>
      <c r="BH102" s="65"/>
      <c r="BI102" s="65"/>
      <c r="BJ102" s="65"/>
      <c r="BK102" s="65"/>
      <c r="BL102" s="39">
        <f t="shared" si="90"/>
        <v>0</v>
      </c>
      <c r="BM102" s="39">
        <f t="shared" si="109"/>
        <v>-5402.3288599999996</v>
      </c>
      <c r="BN102" s="39"/>
      <c r="BO102" s="39">
        <f t="shared" si="86"/>
        <v>0</v>
      </c>
      <c r="BP102" s="51">
        <f t="shared" si="110"/>
        <v>-1</v>
      </c>
      <c r="BQ102" s="99" t="e">
        <f t="shared" si="87"/>
        <v>#DIV/0!</v>
      </c>
      <c r="BU102">
        <v>5</v>
      </c>
      <c r="BV102" s="282">
        <f t="shared" si="111"/>
        <v>5</v>
      </c>
      <c r="BW102" s="39">
        <f t="shared" si="112"/>
        <v>5</v>
      </c>
      <c r="BX102" s="51" t="e">
        <f t="shared" si="113"/>
        <v>#DIV/0!</v>
      </c>
    </row>
    <row r="103" spans="1:76" ht="18" customHeight="1">
      <c r="A103" s="59" t="s">
        <v>113</v>
      </c>
      <c r="B103" s="334" t="s">
        <v>78</v>
      </c>
      <c r="C103" s="334" t="s">
        <v>78</v>
      </c>
      <c r="D103" s="329" t="s">
        <v>78</v>
      </c>
      <c r="E103" s="328" t="s">
        <v>78</v>
      </c>
      <c r="F103" s="329" t="s">
        <v>78</v>
      </c>
      <c r="G103" s="329" t="s">
        <v>78</v>
      </c>
      <c r="H103" s="328" t="s">
        <v>78</v>
      </c>
      <c r="I103" s="329" t="s">
        <v>78</v>
      </c>
      <c r="J103" s="329" t="s">
        <v>78</v>
      </c>
      <c r="K103" s="328" t="s">
        <v>78</v>
      </c>
      <c r="L103" s="52">
        <v>0</v>
      </c>
      <c r="M103" s="52">
        <v>0</v>
      </c>
      <c r="N103" s="60" t="s">
        <v>78</v>
      </c>
      <c r="O103" s="66">
        <v>0</v>
      </c>
      <c r="P103" s="69">
        <f t="shared" si="114"/>
        <v>0</v>
      </c>
      <c r="Q103" s="60" t="s">
        <v>78</v>
      </c>
      <c r="R103" s="52">
        <v>0</v>
      </c>
      <c r="S103" s="52">
        <f t="shared" si="96"/>
        <v>0</v>
      </c>
      <c r="T103" s="60" t="s">
        <v>78</v>
      </c>
      <c r="U103" s="52">
        <v>0</v>
      </c>
      <c r="V103" s="52">
        <f t="shared" si="115"/>
        <v>0</v>
      </c>
      <c r="W103" s="60" t="s">
        <v>78</v>
      </c>
      <c r="X103" s="166">
        <v>0</v>
      </c>
      <c r="Y103" s="52">
        <f t="shared" si="98"/>
        <v>0</v>
      </c>
      <c r="AA103" s="202">
        <v>0</v>
      </c>
      <c r="AB103" s="172">
        <f t="shared" si="100"/>
        <v>0</v>
      </c>
      <c r="AC103" s="100" t="e">
        <f>AB103/X103</f>
        <v>#DIV/0!</v>
      </c>
      <c r="AD103" s="219">
        <v>395</v>
      </c>
      <c r="AE103" s="219"/>
      <c r="AF103" s="52">
        <v>0</v>
      </c>
      <c r="AG103" s="52">
        <f t="shared" si="102"/>
        <v>0</v>
      </c>
      <c r="AH103" s="58" t="e">
        <f t="shared" si="103"/>
        <v>#DIV/0!</v>
      </c>
      <c r="AI103" s="65">
        <v>395</v>
      </c>
      <c r="AJ103" s="50">
        <v>395</v>
      </c>
      <c r="AK103" s="220">
        <v>76</v>
      </c>
      <c r="AL103" s="136">
        <v>320</v>
      </c>
      <c r="AM103" s="258">
        <f t="shared" si="104"/>
        <v>396</v>
      </c>
      <c r="AN103" s="259">
        <v>72</v>
      </c>
      <c r="AO103" s="50">
        <v>72</v>
      </c>
      <c r="AP103" s="263">
        <v>6</v>
      </c>
      <c r="AQ103" s="263">
        <v>1</v>
      </c>
      <c r="AR103" s="65">
        <f t="shared" si="117"/>
        <v>7</v>
      </c>
      <c r="AS103" s="78">
        <f t="shared" si="118"/>
        <v>55.515050000000002</v>
      </c>
      <c r="AT103" s="65">
        <f t="shared" si="119"/>
        <v>55.515050000000002</v>
      </c>
      <c r="AU103" s="99" t="e">
        <f t="shared" si="120"/>
        <v>#DIV/0!</v>
      </c>
      <c r="AV103" s="65">
        <f t="shared" si="105"/>
        <v>55.515050000000002</v>
      </c>
      <c r="AW103" s="99" t="e">
        <f t="shared" si="106"/>
        <v>#DIV/0!</v>
      </c>
      <c r="AX103" s="65">
        <v>0</v>
      </c>
      <c r="AY103" s="52">
        <f t="shared" si="88"/>
        <v>0</v>
      </c>
      <c r="AZ103" s="51" t="e">
        <f t="shared" si="89"/>
        <v>#DIV/0!</v>
      </c>
      <c r="BA103" s="624">
        <v>320.01812999999999</v>
      </c>
      <c r="BB103" s="624">
        <v>48.515050000000002</v>
      </c>
      <c r="BC103" s="624">
        <f t="shared" si="121"/>
        <v>271.50307999999995</v>
      </c>
      <c r="BD103" s="31">
        <f t="shared" si="122"/>
        <v>0.84839905789087622</v>
      </c>
      <c r="BE103" s="65">
        <v>0</v>
      </c>
      <c r="BF103" s="52">
        <f t="shared" si="123"/>
        <v>0</v>
      </c>
      <c r="BG103" s="51" t="e">
        <f t="shared" si="108"/>
        <v>#DIV/0!</v>
      </c>
      <c r="BH103" s="65"/>
      <c r="BI103" s="65"/>
      <c r="BJ103" s="65"/>
      <c r="BK103" s="65"/>
      <c r="BL103" s="39">
        <f t="shared" si="90"/>
        <v>0</v>
      </c>
      <c r="BM103" s="39">
        <f t="shared" si="109"/>
        <v>-55.515050000000002</v>
      </c>
      <c r="BN103" s="39"/>
      <c r="BO103" s="39">
        <f t="shared" si="86"/>
        <v>0</v>
      </c>
      <c r="BP103" s="51">
        <f t="shared" si="110"/>
        <v>-1</v>
      </c>
      <c r="BQ103" s="99" t="e">
        <f t="shared" si="87"/>
        <v>#DIV/0!</v>
      </c>
      <c r="BU103">
        <v>9</v>
      </c>
      <c r="BV103" s="282">
        <f t="shared" si="111"/>
        <v>9</v>
      </c>
      <c r="BW103" s="39">
        <f t="shared" si="112"/>
        <v>9</v>
      </c>
      <c r="BX103" s="51" t="e">
        <f t="shared" si="113"/>
        <v>#DIV/0!</v>
      </c>
    </row>
    <row r="104" spans="1:76" s="53" customFormat="1" ht="18" customHeight="1">
      <c r="A104" s="53" t="s">
        <v>121</v>
      </c>
      <c r="B104" s="344" t="s">
        <v>78</v>
      </c>
      <c r="C104" s="344" t="s">
        <v>78</v>
      </c>
      <c r="D104" s="601" t="s">
        <v>78</v>
      </c>
      <c r="E104" s="595" t="s">
        <v>78</v>
      </c>
      <c r="F104" s="601" t="s">
        <v>78</v>
      </c>
      <c r="G104" s="601" t="s">
        <v>78</v>
      </c>
      <c r="H104" s="595" t="s">
        <v>78</v>
      </c>
      <c r="I104" s="601" t="s">
        <v>78</v>
      </c>
      <c r="J104" s="601" t="s">
        <v>78</v>
      </c>
      <c r="K104" s="595" t="s">
        <v>78</v>
      </c>
      <c r="L104" s="24">
        <v>0</v>
      </c>
      <c r="M104" s="155">
        <v>0</v>
      </c>
      <c r="N104" s="37" t="s">
        <v>78</v>
      </c>
      <c r="O104" s="155">
        <v>24242</v>
      </c>
      <c r="P104" s="155">
        <f t="shared" si="114"/>
        <v>24242</v>
      </c>
      <c r="Q104" s="37" t="s">
        <v>78</v>
      </c>
      <c r="R104" s="155">
        <v>28547</v>
      </c>
      <c r="S104" s="155">
        <f t="shared" si="96"/>
        <v>4305</v>
      </c>
      <c r="T104" s="602">
        <f>S104/O104</f>
        <v>0.17758435772626022</v>
      </c>
      <c r="U104" s="155">
        <v>32063</v>
      </c>
      <c r="V104" s="155">
        <f t="shared" si="115"/>
        <v>3516</v>
      </c>
      <c r="W104" s="602">
        <f t="shared" si="116"/>
        <v>0.12316530633691807</v>
      </c>
      <c r="X104" s="176">
        <v>40578</v>
      </c>
      <c r="Y104" s="62">
        <f t="shared" si="98"/>
        <v>8515</v>
      </c>
      <c r="Z104" s="95">
        <f>Y104/U104</f>
        <v>0.26557090727629978</v>
      </c>
      <c r="AA104" s="205">
        <v>47124</v>
      </c>
      <c r="AB104" s="606">
        <f t="shared" si="100"/>
        <v>6546</v>
      </c>
      <c r="AC104" s="607">
        <f>AB104/X104</f>
        <v>0.16131894129824043</v>
      </c>
      <c r="AD104" s="528">
        <v>29873</v>
      </c>
      <c r="AE104" s="528">
        <v>11038</v>
      </c>
      <c r="AF104" s="62">
        <f>31003+6900</f>
        <v>37903</v>
      </c>
      <c r="AG104" s="62">
        <f t="shared" si="102"/>
        <v>-9221</v>
      </c>
      <c r="AH104" s="241">
        <f t="shared" si="103"/>
        <v>-0.19567523979288684</v>
      </c>
      <c r="AI104" s="528">
        <f>29873-1000</f>
        <v>28873</v>
      </c>
      <c r="AJ104" s="53">
        <f>40911-1000</f>
        <v>39911</v>
      </c>
      <c r="AK104" s="53">
        <v>33477</v>
      </c>
      <c r="AL104" s="136"/>
      <c r="AM104" s="202">
        <f t="shared" si="104"/>
        <v>33477</v>
      </c>
      <c r="AN104" s="53">
        <v>24758</v>
      </c>
      <c r="AO104" s="79">
        <v>51331</v>
      </c>
      <c r="AP104" s="272">
        <v>5427</v>
      </c>
      <c r="AQ104" s="272">
        <v>293</v>
      </c>
      <c r="AR104" s="78">
        <f t="shared" si="117"/>
        <v>5720</v>
      </c>
      <c r="AS104" s="78">
        <f t="shared" si="118"/>
        <v>46191.857759999999</v>
      </c>
      <c r="AT104" s="78">
        <f t="shared" si="119"/>
        <v>8288.857759999999</v>
      </c>
      <c r="AU104" s="262">
        <f t="shared" si="120"/>
        <v>0.21868606073397881</v>
      </c>
      <c r="AV104" s="528">
        <f t="shared" si="105"/>
        <v>8288.857759999999</v>
      </c>
      <c r="AW104" s="608">
        <f t="shared" si="106"/>
        <v>0.21868606073397881</v>
      </c>
      <c r="AX104" s="528">
        <f>45558</f>
        <v>45558</v>
      </c>
      <c r="AY104" s="62">
        <f t="shared" si="88"/>
        <v>7655</v>
      </c>
      <c r="AZ104" s="587">
        <f t="shared" si="89"/>
        <v>0.20196290531092526</v>
      </c>
      <c r="BA104" s="624">
        <f>26686.13797+18871.98632</f>
        <v>45558.12429</v>
      </c>
      <c r="BB104" s="624">
        <f>26684.86363+13786.99413</f>
        <v>40471.857759999999</v>
      </c>
      <c r="BC104" s="624">
        <f t="shared" si="121"/>
        <v>5086.2665300000008</v>
      </c>
      <c r="BD104" s="31">
        <f t="shared" si="122"/>
        <v>0.1116434578742399</v>
      </c>
      <c r="BE104" s="528">
        <f>26536+12028</f>
        <v>38564</v>
      </c>
      <c r="BF104" s="62">
        <f t="shared" si="123"/>
        <v>-6994</v>
      </c>
      <c r="BG104" s="587">
        <f t="shared" si="108"/>
        <v>-0.1535185916853242</v>
      </c>
      <c r="BH104" s="78">
        <v>5749</v>
      </c>
      <c r="BI104" s="78"/>
      <c r="BJ104" s="78"/>
      <c r="BK104" s="78"/>
      <c r="BL104" s="495">
        <f t="shared" si="90"/>
        <v>44313</v>
      </c>
      <c r="BM104" s="495">
        <f t="shared" si="109"/>
        <v>-1878.857759999999</v>
      </c>
      <c r="BN104" s="495">
        <v>43746</v>
      </c>
      <c r="BO104" s="39">
        <f t="shared" si="86"/>
        <v>5182</v>
      </c>
      <c r="BP104" s="587">
        <f t="shared" si="110"/>
        <v>-4.0675085417911087E-2</v>
      </c>
      <c r="BQ104" s="99">
        <f t="shared" si="87"/>
        <v>0.13437402759049891</v>
      </c>
      <c r="BR104" s="656">
        <v>5698</v>
      </c>
      <c r="BU104">
        <v>6</v>
      </c>
      <c r="BV104" s="282">
        <f t="shared" si="111"/>
        <v>49450</v>
      </c>
      <c r="BW104" s="39">
        <f t="shared" si="112"/>
        <v>5137</v>
      </c>
      <c r="BX104" s="51">
        <f t="shared" si="113"/>
        <v>0.11592534922031909</v>
      </c>
    </row>
    <row r="105" spans="1:76" ht="18" customHeight="1">
      <c r="A105" s="63" t="s">
        <v>147</v>
      </c>
      <c r="B105" s="334" t="s">
        <v>78</v>
      </c>
      <c r="C105" s="334" t="s">
        <v>78</v>
      </c>
      <c r="D105" s="329" t="s">
        <v>78</v>
      </c>
      <c r="E105" s="328" t="s">
        <v>78</v>
      </c>
      <c r="F105" s="329" t="s">
        <v>78</v>
      </c>
      <c r="G105" s="329" t="s">
        <v>78</v>
      </c>
      <c r="H105" s="328" t="s">
        <v>78</v>
      </c>
      <c r="I105" s="329" t="s">
        <v>78</v>
      </c>
      <c r="J105" s="329" t="s">
        <v>78</v>
      </c>
      <c r="K105" s="328" t="s">
        <v>78</v>
      </c>
      <c r="L105" s="81"/>
      <c r="M105" s="69"/>
      <c r="N105" s="70"/>
      <c r="O105" s="69"/>
      <c r="P105" s="69"/>
      <c r="Q105" s="70"/>
      <c r="R105" s="69"/>
      <c r="S105" s="69"/>
      <c r="T105" s="72"/>
      <c r="U105" s="69"/>
      <c r="V105" s="69"/>
      <c r="W105" s="72"/>
      <c r="X105" s="166">
        <v>0</v>
      </c>
      <c r="Y105" s="52">
        <f t="shared" si="98"/>
        <v>0</v>
      </c>
      <c r="AA105" s="204">
        <v>0</v>
      </c>
      <c r="AB105" s="172">
        <f t="shared" si="100"/>
        <v>0</v>
      </c>
      <c r="AC105" s="70" t="s">
        <v>78</v>
      </c>
      <c r="AD105" s="65">
        <v>225</v>
      </c>
      <c r="AE105" s="65">
        <v>525</v>
      </c>
      <c r="AF105" s="52">
        <v>0</v>
      </c>
      <c r="AG105" s="52">
        <f t="shared" si="102"/>
        <v>0</v>
      </c>
      <c r="AH105" s="58" t="e">
        <f t="shared" si="103"/>
        <v>#DIV/0!</v>
      </c>
      <c r="AI105" s="65">
        <f>225-225</f>
        <v>0</v>
      </c>
      <c r="AJ105" s="50">
        <f>750-225</f>
        <v>525</v>
      </c>
      <c r="AL105" s="136">
        <v>225</v>
      </c>
      <c r="AM105" s="258">
        <f t="shared" si="104"/>
        <v>225</v>
      </c>
      <c r="AN105" s="260">
        <v>0</v>
      </c>
      <c r="AO105" s="255">
        <v>0</v>
      </c>
      <c r="AP105" s="272">
        <v>0</v>
      </c>
      <c r="AQ105" s="272">
        <v>0</v>
      </c>
      <c r="AR105" s="65">
        <f t="shared" si="117"/>
        <v>0</v>
      </c>
      <c r="AS105" s="78">
        <f t="shared" si="118"/>
        <v>0</v>
      </c>
      <c r="AT105" s="65">
        <f t="shared" si="119"/>
        <v>0</v>
      </c>
      <c r="AU105" s="99" t="e">
        <f t="shared" si="120"/>
        <v>#DIV/0!</v>
      </c>
      <c r="AV105" s="246">
        <f t="shared" si="105"/>
        <v>0</v>
      </c>
      <c r="AW105" s="99" t="e">
        <f t="shared" si="106"/>
        <v>#DIV/0!</v>
      </c>
      <c r="AX105" s="65">
        <v>0</v>
      </c>
      <c r="AY105" s="52">
        <f t="shared" si="88"/>
        <v>0</v>
      </c>
      <c r="AZ105" s="51" t="e">
        <f t="shared" si="89"/>
        <v>#DIV/0!</v>
      </c>
      <c r="BA105" s="282">
        <v>250</v>
      </c>
      <c r="BB105" s="51"/>
      <c r="BC105" s="624">
        <f t="shared" si="121"/>
        <v>250</v>
      </c>
      <c r="BD105" s="31">
        <f t="shared" si="122"/>
        <v>1</v>
      </c>
      <c r="BE105" s="65">
        <v>0</v>
      </c>
      <c r="BF105" s="52">
        <f t="shared" si="123"/>
        <v>0</v>
      </c>
      <c r="BG105" s="51" t="e">
        <f t="shared" si="108"/>
        <v>#DIV/0!</v>
      </c>
      <c r="BH105" s="65"/>
      <c r="BI105" s="65"/>
      <c r="BJ105" s="65"/>
      <c r="BK105" s="65"/>
      <c r="BL105" s="39">
        <f t="shared" si="90"/>
        <v>0</v>
      </c>
      <c r="BM105" s="39">
        <f t="shared" si="109"/>
        <v>0</v>
      </c>
      <c r="BN105" s="39"/>
      <c r="BO105" s="39">
        <f t="shared" si="86"/>
        <v>0</v>
      </c>
      <c r="BP105" s="51" t="e">
        <f t="shared" si="110"/>
        <v>#DIV/0!</v>
      </c>
      <c r="BQ105" s="99" t="e">
        <f t="shared" si="87"/>
        <v>#DIV/0!</v>
      </c>
      <c r="BU105"/>
      <c r="BV105" s="282">
        <f t="shared" si="111"/>
        <v>0</v>
      </c>
      <c r="BW105" s="39">
        <f t="shared" si="112"/>
        <v>0</v>
      </c>
      <c r="BX105" s="51" t="e">
        <f t="shared" si="113"/>
        <v>#DIV/0!</v>
      </c>
    </row>
    <row r="106" spans="1:76" ht="18" customHeight="1">
      <c r="A106" s="245" t="s">
        <v>411</v>
      </c>
      <c r="B106" s="334" t="s">
        <v>78</v>
      </c>
      <c r="C106" s="334" t="s">
        <v>78</v>
      </c>
      <c r="D106" s="329" t="s">
        <v>78</v>
      </c>
      <c r="E106" s="328" t="s">
        <v>78</v>
      </c>
      <c r="F106" s="329" t="s">
        <v>78</v>
      </c>
      <c r="G106" s="329" t="s">
        <v>78</v>
      </c>
      <c r="H106" s="328" t="s">
        <v>78</v>
      </c>
      <c r="I106" s="329">
        <f>47</f>
        <v>47</v>
      </c>
      <c r="J106" s="329" t="s">
        <v>78</v>
      </c>
      <c r="K106" s="328" t="s">
        <v>78</v>
      </c>
      <c r="L106" s="81">
        <f>46</f>
        <v>46</v>
      </c>
      <c r="M106" s="69"/>
      <c r="N106" s="70"/>
      <c r="O106" s="69">
        <f>49</f>
        <v>49</v>
      </c>
      <c r="P106" s="69"/>
      <c r="Q106" s="70"/>
      <c r="R106" s="69"/>
      <c r="S106" s="69"/>
      <c r="T106" s="72"/>
      <c r="U106" s="69"/>
      <c r="V106" s="69"/>
      <c r="W106" s="72"/>
      <c r="X106" s="166">
        <f>9165+222</f>
        <v>9387</v>
      </c>
      <c r="Y106" s="52"/>
      <c r="AA106" s="204">
        <f>25+13887+905+750</f>
        <v>15567</v>
      </c>
      <c r="AB106" s="172"/>
      <c r="AC106" s="70"/>
      <c r="AD106" s="65"/>
      <c r="AE106" s="65"/>
      <c r="AF106" s="52">
        <f>4667+395</f>
        <v>5062</v>
      </c>
      <c r="AG106" s="52">
        <f t="shared" si="102"/>
        <v>-10505</v>
      </c>
      <c r="AH106" s="58">
        <f t="shared" si="103"/>
        <v>-0.67482495021519884</v>
      </c>
      <c r="AI106" s="65"/>
      <c r="AL106" s="136"/>
      <c r="AM106" s="258"/>
      <c r="AN106" s="260"/>
      <c r="AO106" s="255"/>
      <c r="AP106" s="272"/>
      <c r="AQ106" s="272"/>
      <c r="AR106" s="65">
        <f t="shared" si="117"/>
        <v>0</v>
      </c>
      <c r="AS106" s="78">
        <f t="shared" si="118"/>
        <v>296.05795999999998</v>
      </c>
      <c r="AT106" s="65">
        <f t="shared" si="119"/>
        <v>-4765.9420399999999</v>
      </c>
      <c r="AU106" s="99">
        <f t="shared" si="120"/>
        <v>-0.94151363887791384</v>
      </c>
      <c r="AV106" s="246"/>
      <c r="AW106" s="99"/>
      <c r="AX106" s="219">
        <f>375+130+9507+70+250</f>
        <v>10332</v>
      </c>
      <c r="AY106" s="52">
        <f>AX106-AF106</f>
        <v>5270</v>
      </c>
      <c r="AZ106" s="51">
        <f t="shared" si="89"/>
        <v>1.0410904780719084</v>
      </c>
      <c r="BA106" s="624">
        <v>375</v>
      </c>
      <c r="BB106" s="624">
        <v>296.05795999999998</v>
      </c>
      <c r="BC106" s="624">
        <f t="shared" si="121"/>
        <v>78.94204000000002</v>
      </c>
      <c r="BD106" s="31">
        <f t="shared" si="122"/>
        <v>0.21051210666666673</v>
      </c>
      <c r="BE106" s="219">
        <f>(8161+3883)</f>
        <v>12044</v>
      </c>
      <c r="BF106" s="52">
        <f t="shared" si="123"/>
        <v>1712</v>
      </c>
      <c r="BG106" s="51">
        <f t="shared" si="108"/>
        <v>0.1656987998451413</v>
      </c>
      <c r="BH106" s="65"/>
      <c r="BI106" s="65"/>
      <c r="BJ106" s="65"/>
      <c r="BK106" s="65">
        <v>21</v>
      </c>
      <c r="BL106" s="39">
        <f t="shared" si="90"/>
        <v>12065</v>
      </c>
      <c r="BM106" s="39">
        <f t="shared" si="109"/>
        <v>11768.94204</v>
      </c>
      <c r="BN106" s="542">
        <f>11195-2951</f>
        <v>8244</v>
      </c>
      <c r="BO106" s="39">
        <f t="shared" si="86"/>
        <v>-3800</v>
      </c>
      <c r="BP106" s="51">
        <f t="shared" si="110"/>
        <v>39.752155422539559</v>
      </c>
      <c r="BQ106" s="99">
        <f t="shared" si="87"/>
        <v>-0.31550979740949853</v>
      </c>
      <c r="BU106"/>
      <c r="BV106" s="282">
        <f t="shared" si="111"/>
        <v>8244</v>
      </c>
      <c r="BW106" s="39">
        <f t="shared" si="112"/>
        <v>-3821</v>
      </c>
      <c r="BX106" s="51">
        <f t="shared" si="113"/>
        <v>-0.31670120182345629</v>
      </c>
    </row>
    <row r="107" spans="1:76" ht="18" customHeight="1">
      <c r="A107" s="245" t="s">
        <v>472</v>
      </c>
      <c r="B107" s="334"/>
      <c r="C107" s="334"/>
      <c r="D107" s="329"/>
      <c r="E107" s="328"/>
      <c r="F107" s="329"/>
      <c r="G107" s="329"/>
      <c r="H107" s="328"/>
      <c r="I107" s="329"/>
      <c r="J107" s="329"/>
      <c r="K107" s="328"/>
      <c r="L107" s="81"/>
      <c r="M107" s="69"/>
      <c r="N107" s="70"/>
      <c r="O107" s="69"/>
      <c r="P107" s="69"/>
      <c r="Q107" s="70"/>
      <c r="R107" s="69"/>
      <c r="S107" s="69"/>
      <c r="T107" s="72"/>
      <c r="U107" s="69"/>
      <c r="V107" s="69"/>
      <c r="W107" s="72"/>
      <c r="Y107" s="52"/>
      <c r="AA107" s="204"/>
      <c r="AB107" s="172"/>
      <c r="AC107" s="70"/>
      <c r="AD107" s="65"/>
      <c r="AE107" s="65"/>
      <c r="AH107" s="58"/>
      <c r="AI107" s="65"/>
      <c r="AL107" s="136"/>
      <c r="AM107" s="258"/>
      <c r="AN107" s="260"/>
      <c r="AO107" s="255"/>
      <c r="AP107" s="272"/>
      <c r="AQ107" s="272"/>
      <c r="AR107" s="65"/>
      <c r="AS107" s="78"/>
      <c r="AT107" s="65"/>
      <c r="AU107" s="99"/>
      <c r="AV107" s="246"/>
      <c r="AW107" s="99"/>
      <c r="AX107" s="219"/>
      <c r="AZ107" s="51"/>
      <c r="BA107" s="624"/>
      <c r="BB107" s="624"/>
      <c r="BC107" s="624"/>
      <c r="BD107" s="31"/>
      <c r="BE107" s="219"/>
      <c r="BG107" s="51"/>
      <c r="BH107" s="65"/>
      <c r="BI107" s="65"/>
      <c r="BJ107" s="65"/>
      <c r="BK107" s="65"/>
      <c r="BL107" s="39"/>
      <c r="BM107" s="39"/>
      <c r="BN107" s="542">
        <v>8294</v>
      </c>
      <c r="BO107" s="39">
        <f t="shared" si="86"/>
        <v>8294</v>
      </c>
      <c r="BP107" s="51"/>
      <c r="BQ107" s="99" t="e">
        <f t="shared" si="87"/>
        <v>#DIV/0!</v>
      </c>
      <c r="BU107"/>
      <c r="BV107" s="282">
        <f t="shared" si="111"/>
        <v>8294</v>
      </c>
      <c r="BW107" s="39">
        <f t="shared" si="112"/>
        <v>8294</v>
      </c>
      <c r="BX107" s="51" t="e">
        <f t="shared" si="113"/>
        <v>#DIV/0!</v>
      </c>
    </row>
    <row r="108" spans="1:76" s="54" customFormat="1" ht="18" customHeight="1" thickBot="1">
      <c r="A108" s="130" t="s">
        <v>186</v>
      </c>
      <c r="B108" s="333" t="s">
        <v>78</v>
      </c>
      <c r="C108" s="333" t="s">
        <v>78</v>
      </c>
      <c r="D108" s="333" t="s">
        <v>78</v>
      </c>
      <c r="E108" s="332" t="s">
        <v>78</v>
      </c>
      <c r="F108" s="333" t="s">
        <v>78</v>
      </c>
      <c r="G108" s="333" t="s">
        <v>78</v>
      </c>
      <c r="H108" s="332" t="s">
        <v>78</v>
      </c>
      <c r="I108" s="333" t="s">
        <v>78</v>
      </c>
      <c r="J108" s="333" t="s">
        <v>78</v>
      </c>
      <c r="K108" s="332" t="s">
        <v>78</v>
      </c>
      <c r="L108" s="74"/>
      <c r="M108" s="75"/>
      <c r="N108" s="76"/>
      <c r="O108" s="75"/>
      <c r="P108" s="75"/>
      <c r="Q108" s="76"/>
      <c r="R108" s="75"/>
      <c r="S108" s="75"/>
      <c r="T108" s="77"/>
      <c r="U108" s="75"/>
      <c r="V108" s="75"/>
      <c r="W108" s="77"/>
      <c r="X108" s="177">
        <v>3773</v>
      </c>
      <c r="Y108" s="75">
        <f t="shared" si="98"/>
        <v>3773</v>
      </c>
      <c r="Z108" s="126"/>
      <c r="AA108" s="206"/>
      <c r="AB108" s="174">
        <f t="shared" si="100"/>
        <v>-3773</v>
      </c>
      <c r="AC108" s="128">
        <f>AB108/X108</f>
        <v>-1</v>
      </c>
      <c r="AF108" s="75"/>
      <c r="AG108" s="75">
        <f t="shared" si="102"/>
        <v>0</v>
      </c>
      <c r="AH108" s="77" t="e">
        <f t="shared" si="103"/>
        <v>#DIV/0!</v>
      </c>
      <c r="AJ108" s="54">
        <v>0</v>
      </c>
      <c r="AL108" s="136"/>
      <c r="AM108" s="258">
        <f t="shared" si="104"/>
        <v>0</v>
      </c>
      <c r="AP108" s="94"/>
      <c r="AQ108" s="94"/>
      <c r="AR108" s="65">
        <f t="shared" si="117"/>
        <v>0</v>
      </c>
      <c r="AS108" s="78">
        <f t="shared" si="118"/>
        <v>20444.884999999998</v>
      </c>
      <c r="AT108" s="65">
        <f t="shared" si="119"/>
        <v>20444.884999999998</v>
      </c>
      <c r="AU108" s="99" t="e">
        <f t="shared" si="120"/>
        <v>#DIV/0!</v>
      </c>
      <c r="AV108" s="80">
        <f t="shared" si="105"/>
        <v>20444.884999999998</v>
      </c>
      <c r="AW108" s="101" t="e">
        <f t="shared" si="106"/>
        <v>#DIV/0!</v>
      </c>
      <c r="AX108" s="94"/>
      <c r="AY108" s="75">
        <f t="shared" si="88"/>
        <v>0</v>
      </c>
      <c r="AZ108" s="55" t="e">
        <f t="shared" si="89"/>
        <v>#DIV/0!</v>
      </c>
      <c r="BA108" s="624">
        <v>20444.884999999998</v>
      </c>
      <c r="BB108" s="624">
        <v>20444.884999999998</v>
      </c>
      <c r="BC108" s="624">
        <f t="shared" si="121"/>
        <v>0</v>
      </c>
      <c r="BD108" s="31">
        <f t="shared" si="122"/>
        <v>0</v>
      </c>
      <c r="BE108" s="94"/>
      <c r="BF108" s="75">
        <f t="shared" si="123"/>
        <v>0</v>
      </c>
      <c r="BG108" s="55" t="e">
        <f t="shared" si="108"/>
        <v>#DIV/0!</v>
      </c>
      <c r="BH108" s="94"/>
      <c r="BI108" s="94"/>
      <c r="BJ108" s="94"/>
      <c r="BK108" s="94"/>
      <c r="BL108" s="102">
        <f t="shared" si="90"/>
        <v>0</v>
      </c>
      <c r="BM108" s="102">
        <f t="shared" si="109"/>
        <v>-20444.884999999998</v>
      </c>
      <c r="BN108" s="102"/>
      <c r="BO108" s="39">
        <f t="shared" si="86"/>
        <v>0</v>
      </c>
      <c r="BP108" s="55">
        <f t="shared" si="110"/>
        <v>-1</v>
      </c>
      <c r="BQ108" s="99" t="e">
        <f t="shared" si="87"/>
        <v>#DIV/0!</v>
      </c>
      <c r="BR108" s="102"/>
      <c r="BU108" s="4"/>
      <c r="BV108" s="282">
        <f t="shared" si="111"/>
        <v>0</v>
      </c>
      <c r="BW108" s="39">
        <f t="shared" si="112"/>
        <v>0</v>
      </c>
      <c r="BX108" s="51" t="e">
        <f t="shared" si="113"/>
        <v>#DIV/0!</v>
      </c>
    </row>
    <row r="109" spans="1:76" s="13" customFormat="1" ht="18" customHeight="1">
      <c r="A109" s="64" t="s">
        <v>58</v>
      </c>
      <c r="B109" s="12">
        <f t="shared" ref="B109:I109" si="124">SUM(B85:B108)</f>
        <v>706747</v>
      </c>
      <c r="C109" s="12">
        <f t="shared" si="124"/>
        <v>717389</v>
      </c>
      <c r="D109" s="25">
        <f t="shared" si="67"/>
        <v>10642</v>
      </c>
      <c r="E109" s="363">
        <f t="shared" si="79"/>
        <v>1.5057722211767436E-2</v>
      </c>
      <c r="F109" s="12">
        <f t="shared" si="124"/>
        <v>636160</v>
      </c>
      <c r="G109" s="12">
        <f t="shared" si="68"/>
        <v>-81229</v>
      </c>
      <c r="H109" s="15">
        <f t="shared" si="80"/>
        <v>-0.11322866673450527</v>
      </c>
      <c r="I109" s="12">
        <f t="shared" si="124"/>
        <v>659479</v>
      </c>
      <c r="J109" s="12">
        <f t="shared" si="69"/>
        <v>23319</v>
      </c>
      <c r="K109" s="15">
        <f t="shared" si="81"/>
        <v>3.6655872736418509E-2</v>
      </c>
      <c r="L109" s="12">
        <f>SUM(L85:L108)</f>
        <v>746064</v>
      </c>
      <c r="M109" s="12">
        <v>86583</v>
      </c>
      <c r="N109" s="36">
        <v>0.13128960500757414</v>
      </c>
      <c r="O109" s="12">
        <f>SUM(O85:O108)</f>
        <v>805467</v>
      </c>
      <c r="P109" s="12">
        <f>O109-L109</f>
        <v>59403</v>
      </c>
      <c r="Q109" s="36">
        <f>P109/L109</f>
        <v>7.9621855497651675E-2</v>
      </c>
      <c r="R109" s="12">
        <f>SUM(R85:R108)</f>
        <v>894748</v>
      </c>
      <c r="S109" s="12">
        <f t="shared" si="96"/>
        <v>89281</v>
      </c>
      <c r="T109" s="36">
        <f>S109/O109</f>
        <v>0.11084377137735003</v>
      </c>
      <c r="U109" s="12">
        <f>SUM(U85:U108)</f>
        <v>961430</v>
      </c>
      <c r="V109" s="46">
        <f t="shared" ref="V109" si="125">U109-R109</f>
        <v>66682</v>
      </c>
      <c r="W109" s="227">
        <f>V109/R109</f>
        <v>7.4526011793264693E-2</v>
      </c>
      <c r="X109" s="178">
        <f>SUM(X85:X108)</f>
        <v>1044461</v>
      </c>
      <c r="Y109" s="12">
        <f t="shared" si="98"/>
        <v>83031</v>
      </c>
      <c r="Z109" s="98">
        <f>Y109/U109</f>
        <v>8.6361981631528043E-2</v>
      </c>
      <c r="AA109" s="12">
        <f>SUM(AA85:AA108)</f>
        <v>1013227</v>
      </c>
      <c r="AB109" s="165">
        <f t="shared" si="100"/>
        <v>-31234</v>
      </c>
      <c r="AC109" s="97">
        <f>AB109/X109</f>
        <v>-2.9904419600157401E-2</v>
      </c>
      <c r="AD109" s="12">
        <f>SUM(AD85:AD108)</f>
        <v>931795</v>
      </c>
      <c r="AE109" s="12">
        <f>SUM(AE85:AE108)</f>
        <v>88395</v>
      </c>
      <c r="AF109" s="12">
        <f>SUM(AF85:AF108)</f>
        <v>1006117</v>
      </c>
      <c r="AG109" s="12">
        <f>AF109-AA109</f>
        <v>-7110</v>
      </c>
      <c r="AH109" s="36">
        <f>AG109/AA109</f>
        <v>-7.01718371105389E-3</v>
      </c>
      <c r="AI109" s="12">
        <f t="shared" ref="AI109:AO109" si="126">SUM(AI85:AI108)</f>
        <v>930266</v>
      </c>
      <c r="AJ109" s="12">
        <f t="shared" si="126"/>
        <v>1018661</v>
      </c>
      <c r="AK109" s="12">
        <f t="shared" si="126"/>
        <v>957625</v>
      </c>
      <c r="AL109" s="12">
        <f t="shared" si="126"/>
        <v>5845</v>
      </c>
      <c r="AM109" s="12">
        <f t="shared" si="126"/>
        <v>963470</v>
      </c>
      <c r="AN109" s="12">
        <f t="shared" si="126"/>
        <v>883558</v>
      </c>
      <c r="AO109" s="13">
        <f t="shared" si="126"/>
        <v>980477</v>
      </c>
      <c r="AP109" s="28">
        <f>SUM(AP85:AP108)</f>
        <v>35815</v>
      </c>
      <c r="AQ109" s="28">
        <f>SUM(AQ85:AQ108)</f>
        <v>1516</v>
      </c>
      <c r="AR109" s="342">
        <f>SUM(AR85:AR108)</f>
        <v>37331</v>
      </c>
      <c r="AS109" s="547">
        <f>BB109+AR109</f>
        <v>1031119.9855300003</v>
      </c>
      <c r="AT109" s="547">
        <f t="shared" si="119"/>
        <v>25002.985530000296</v>
      </c>
      <c r="AU109" s="550">
        <f t="shared" si="120"/>
        <v>2.4850972133459923E-2</v>
      </c>
      <c r="AV109" s="28">
        <f t="shared" si="105"/>
        <v>25002.985530000296</v>
      </c>
      <c r="AW109" s="97">
        <f t="shared" si="106"/>
        <v>2.4850972133459923E-2</v>
      </c>
      <c r="AX109" s="28">
        <f>SUM(AX85:AX108)</f>
        <v>990145</v>
      </c>
      <c r="AY109" s="52">
        <f t="shared" si="88"/>
        <v>-15972</v>
      </c>
      <c r="AZ109" s="51">
        <f t="shared" si="89"/>
        <v>-1.5874893277819577E-2</v>
      </c>
      <c r="BA109" s="51"/>
      <c r="BB109" s="65">
        <f>SUM(BB85:BB108)</f>
        <v>993788.9855300003</v>
      </c>
      <c r="BC109" s="51"/>
      <c r="BD109" s="51"/>
      <c r="BE109" s="28">
        <f>SUM(BE85:BE108)</f>
        <v>973334</v>
      </c>
      <c r="BF109" s="52">
        <f t="shared" si="123"/>
        <v>-16811</v>
      </c>
      <c r="BG109" s="51">
        <f t="shared" si="108"/>
        <v>-1.697832135697297E-2</v>
      </c>
      <c r="BH109" s="65">
        <f>SUM(BH85:BH108)</f>
        <v>37438</v>
      </c>
      <c r="BI109" s="65"/>
      <c r="BJ109" s="65"/>
      <c r="BK109" s="65">
        <f>SUM(BK85:BK108)</f>
        <v>850</v>
      </c>
      <c r="BL109" s="39">
        <f t="shared" si="90"/>
        <v>1011622</v>
      </c>
      <c r="BM109" s="39">
        <f t="shared" si="109"/>
        <v>-19497.985530000296</v>
      </c>
      <c r="BN109" s="30">
        <f>SUM(BN85:BN108)</f>
        <v>994221</v>
      </c>
      <c r="BO109" s="39">
        <f>BN110-BE109</f>
        <v>19967</v>
      </c>
      <c r="BP109" s="51">
        <f t="shared" si="110"/>
        <v>-1.890952149470582E-2</v>
      </c>
      <c r="BQ109" s="99">
        <f t="shared" si="87"/>
        <v>2.0514027045186956E-2</v>
      </c>
      <c r="BR109" s="30"/>
      <c r="BV109" s="668">
        <f>BV85+BV86+BV87+BV88+BV89+BV90+BV91+BV92+BV93+BV94+BV95+BV96+BV97+BV98+BV99+BV100+BV101+BV102+BV103+BV104+BV105+BV106+BV107+BV108</f>
        <v>1044801</v>
      </c>
      <c r="BW109" s="645">
        <f t="shared" si="112"/>
        <v>33179</v>
      </c>
      <c r="BX109" s="551">
        <f t="shared" si="113"/>
        <v>3.2797823693039498E-2</v>
      </c>
    </row>
    <row r="110" spans="1:76" s="13" customFormat="1" ht="18" customHeight="1">
      <c r="A110" s="64" t="s">
        <v>456</v>
      </c>
      <c r="D110" s="327"/>
      <c r="E110" s="356"/>
      <c r="G110" s="10"/>
      <c r="H110" s="14"/>
      <c r="J110" s="10"/>
      <c r="K110" s="14"/>
      <c r="L110" s="12"/>
      <c r="M110" s="12"/>
      <c r="N110" s="36"/>
      <c r="O110" s="12"/>
      <c r="P110" s="12"/>
      <c r="Q110" s="36"/>
      <c r="R110" s="12"/>
      <c r="S110" s="12"/>
      <c r="T110" s="36"/>
      <c r="U110" s="12"/>
      <c r="V110" s="46"/>
      <c r="W110" s="227"/>
      <c r="X110" s="178"/>
      <c r="Y110" s="12"/>
      <c r="Z110" s="98"/>
      <c r="AA110" s="12"/>
      <c r="AB110" s="165"/>
      <c r="AC110" s="97"/>
      <c r="AD110" s="12"/>
      <c r="AE110" s="12"/>
      <c r="AF110" s="12"/>
      <c r="AG110" s="52"/>
      <c r="AH110" s="58"/>
      <c r="AI110" s="12"/>
      <c r="AJ110" s="12"/>
      <c r="AK110" s="12"/>
      <c r="AL110" s="12"/>
      <c r="AM110" s="258"/>
      <c r="AN110" s="258"/>
      <c r="AT110" s="219"/>
      <c r="AU110" s="264"/>
      <c r="AV110" s="219"/>
      <c r="AW110" s="264"/>
      <c r="AX110" s="12"/>
      <c r="AY110" s="52"/>
      <c r="AZ110" s="58"/>
      <c r="BA110" s="58"/>
      <c r="BB110" s="58"/>
      <c r="BC110" s="58"/>
      <c r="BD110" s="58"/>
      <c r="BE110" s="12"/>
      <c r="BF110" s="52"/>
      <c r="BG110" s="58"/>
      <c r="BH110" s="65"/>
      <c r="BI110" s="65"/>
      <c r="BJ110" s="65"/>
      <c r="BK110" s="65"/>
      <c r="BL110" s="39"/>
      <c r="BM110" s="39"/>
      <c r="BN110" s="39">
        <f>+BN109-920</f>
        <v>993301</v>
      </c>
      <c r="BO110" s="39">
        <f t="shared" si="86"/>
        <v>993301</v>
      </c>
      <c r="BP110" s="51"/>
      <c r="BQ110" s="99" t="e">
        <f t="shared" si="87"/>
        <v>#DIV/0!</v>
      </c>
      <c r="BR110" s="30"/>
      <c r="BV110" s="282">
        <f t="shared" ref="BV110:BV118" si="127">BN110+BR110+BS110+BT110+BU110</f>
        <v>993301</v>
      </c>
      <c r="BW110" s="39">
        <f t="shared" si="112"/>
        <v>993301</v>
      </c>
      <c r="BX110" s="51" t="e">
        <f t="shared" si="113"/>
        <v>#DIV/0!</v>
      </c>
    </row>
    <row r="111" spans="1:76" s="13" customFormat="1" ht="18" customHeight="1">
      <c r="A111" s="64" t="s">
        <v>457</v>
      </c>
      <c r="D111" s="327"/>
      <c r="E111" s="356"/>
      <c r="G111" s="10"/>
      <c r="H111" s="14"/>
      <c r="J111" s="10"/>
      <c r="K111" s="14"/>
      <c r="L111" s="12"/>
      <c r="M111" s="12"/>
      <c r="N111" s="36"/>
      <c r="O111" s="12"/>
      <c r="P111" s="12"/>
      <c r="Q111" s="36"/>
      <c r="R111" s="12"/>
      <c r="S111" s="12"/>
      <c r="T111" s="36"/>
      <c r="U111" s="12"/>
      <c r="V111" s="46"/>
      <c r="W111" s="227"/>
      <c r="X111" s="178"/>
      <c r="Y111" s="12"/>
      <c r="Z111" s="98"/>
      <c r="AA111" s="12"/>
      <c r="AB111" s="165"/>
      <c r="AC111" s="97"/>
      <c r="AD111" s="12"/>
      <c r="AE111" s="12"/>
      <c r="AF111" s="12"/>
      <c r="AG111" s="52"/>
      <c r="AH111" s="58"/>
      <c r="AI111" s="12"/>
      <c r="AJ111" s="12"/>
      <c r="AK111" s="12"/>
      <c r="AL111" s="12"/>
      <c r="AM111" s="258"/>
      <c r="AN111" s="258"/>
      <c r="AT111" s="219"/>
      <c r="AU111" s="264"/>
      <c r="AV111" s="219">
        <f>AS111-AF109</f>
        <v>-1006117</v>
      </c>
      <c r="AW111" s="264">
        <f>AV111/AF109</f>
        <v>-1</v>
      </c>
      <c r="AX111" s="12"/>
      <c r="AY111" s="52"/>
      <c r="AZ111" s="58"/>
      <c r="BA111" s="58"/>
      <c r="BB111" s="58"/>
      <c r="BC111" s="58"/>
      <c r="BD111" s="58"/>
      <c r="BE111" s="12"/>
      <c r="BF111" s="52"/>
      <c r="BG111" s="58"/>
      <c r="BH111" s="65"/>
      <c r="BI111" s="65"/>
      <c r="BJ111" s="65"/>
      <c r="BK111" s="65"/>
      <c r="BL111" s="39"/>
      <c r="BM111" s="39"/>
      <c r="BN111" s="39">
        <f>+BN109-920</f>
        <v>993301</v>
      </c>
      <c r="BO111" s="39">
        <f t="shared" si="86"/>
        <v>993301</v>
      </c>
      <c r="BP111" s="51"/>
      <c r="BQ111" s="99" t="e">
        <f t="shared" si="87"/>
        <v>#DIV/0!</v>
      </c>
      <c r="BR111" s="30"/>
      <c r="BV111" s="282">
        <f t="shared" si="127"/>
        <v>993301</v>
      </c>
      <c r="BW111" s="39">
        <f t="shared" si="112"/>
        <v>993301</v>
      </c>
      <c r="BX111" s="51" t="e">
        <f t="shared" si="113"/>
        <v>#DIV/0!</v>
      </c>
    </row>
    <row r="112" spans="1:76" s="13" customFormat="1" ht="18" customHeight="1">
      <c r="A112" s="64"/>
      <c r="D112" s="327"/>
      <c r="E112" s="356"/>
      <c r="G112" s="10"/>
      <c r="H112" s="14"/>
      <c r="J112" s="10"/>
      <c r="K112" s="14"/>
      <c r="L112" s="12"/>
      <c r="M112" s="12"/>
      <c r="N112" s="36"/>
      <c r="O112" s="12"/>
      <c r="P112" s="12"/>
      <c r="Q112" s="36"/>
      <c r="R112" s="12"/>
      <c r="S112" s="52"/>
      <c r="T112" s="58"/>
      <c r="U112" s="52"/>
      <c r="V112" s="52"/>
      <c r="W112" s="58"/>
      <c r="X112" s="180"/>
      <c r="Y112" s="163"/>
      <c r="Z112" s="98"/>
      <c r="AA112" s="202"/>
      <c r="AB112" s="172"/>
      <c r="AC112" s="97"/>
      <c r="AF112" s="12"/>
      <c r="AG112" s="12"/>
      <c r="AX112" s="12"/>
      <c r="AY112" s="52"/>
      <c r="AZ112" s="58"/>
      <c r="BA112" s="58"/>
      <c r="BB112" s="58"/>
      <c r="BC112" s="58"/>
      <c r="BD112" s="58"/>
      <c r="BE112" s="12"/>
      <c r="BF112" s="52"/>
      <c r="BG112" s="58"/>
      <c r="BH112" s="65"/>
      <c r="BI112" s="65"/>
      <c r="BJ112" s="65"/>
      <c r="BK112" s="65"/>
      <c r="BL112" s="39"/>
      <c r="BM112" s="39"/>
      <c r="BN112" s="39"/>
      <c r="BO112" s="39">
        <f t="shared" si="86"/>
        <v>0</v>
      </c>
      <c r="BP112" s="51"/>
      <c r="BQ112" s="99" t="e">
        <f t="shared" si="87"/>
        <v>#DIV/0!</v>
      </c>
      <c r="BR112" s="30"/>
      <c r="BV112" s="282">
        <f t="shared" si="127"/>
        <v>0</v>
      </c>
      <c r="BW112" s="39">
        <f t="shared" si="112"/>
        <v>0</v>
      </c>
      <c r="BX112" s="51" t="e">
        <f t="shared" si="113"/>
        <v>#DIV/0!</v>
      </c>
    </row>
    <row r="113" spans="1:237" s="13" customFormat="1" ht="18" customHeight="1">
      <c r="A113" s="73" t="s">
        <v>84</v>
      </c>
      <c r="D113" s="327"/>
      <c r="E113" s="356"/>
      <c r="G113" s="10"/>
      <c r="H113" s="14"/>
      <c r="J113" s="10"/>
      <c r="K113" s="14"/>
      <c r="L113" s="12"/>
      <c r="M113" s="12"/>
      <c r="N113" s="36"/>
      <c r="O113" s="12"/>
      <c r="P113" s="12"/>
      <c r="Q113" s="36"/>
      <c r="R113" s="12"/>
      <c r="S113" s="52"/>
      <c r="T113" s="58"/>
      <c r="U113" s="52"/>
      <c r="V113" s="52"/>
      <c r="W113" s="58"/>
      <c r="X113" s="180"/>
      <c r="Y113" s="163"/>
      <c r="Z113" s="98"/>
      <c r="AA113" s="202"/>
      <c r="AB113" s="172"/>
      <c r="AC113" s="97"/>
      <c r="AF113" s="12"/>
      <c r="AG113" s="12"/>
      <c r="AV113" s="13" t="s">
        <v>351</v>
      </c>
      <c r="AX113" s="12"/>
      <c r="AY113" s="52"/>
      <c r="AZ113" s="58"/>
      <c r="BA113" s="58"/>
      <c r="BB113" s="58"/>
      <c r="BC113" s="58"/>
      <c r="BD113" s="58"/>
      <c r="BE113" s="12"/>
      <c r="BF113" s="52"/>
      <c r="BG113" s="58"/>
      <c r="BH113" s="65"/>
      <c r="BI113" s="65"/>
      <c r="BJ113" s="65"/>
      <c r="BK113" s="65"/>
      <c r="BL113" s="39"/>
      <c r="BM113" s="39"/>
      <c r="BN113" s="39"/>
      <c r="BO113" s="39">
        <f t="shared" si="86"/>
        <v>0</v>
      </c>
      <c r="BP113" s="51"/>
      <c r="BQ113" s="99" t="e">
        <f t="shared" si="87"/>
        <v>#DIV/0!</v>
      </c>
      <c r="BR113" s="30"/>
      <c r="BV113" s="282">
        <f t="shared" si="127"/>
        <v>0</v>
      </c>
      <c r="BW113" s="39">
        <f t="shared" si="112"/>
        <v>0</v>
      </c>
      <c r="BX113" s="51" t="e">
        <f t="shared" si="113"/>
        <v>#DIV/0!</v>
      </c>
    </row>
    <row r="114" spans="1:237" s="13" customFormat="1" ht="18" customHeight="1">
      <c r="A114" s="73" t="s">
        <v>176</v>
      </c>
      <c r="D114" s="327"/>
      <c r="E114" s="356"/>
      <c r="G114" s="10"/>
      <c r="H114" s="14"/>
      <c r="J114" s="10"/>
      <c r="K114" s="14"/>
      <c r="L114" s="12"/>
      <c r="M114" s="12"/>
      <c r="N114" s="36"/>
      <c r="O114" s="12"/>
      <c r="P114" s="12"/>
      <c r="Q114" s="36"/>
      <c r="R114" s="12"/>
      <c r="S114" s="52"/>
      <c r="T114" s="58"/>
      <c r="U114" s="52"/>
      <c r="V114" s="52"/>
      <c r="W114" s="58"/>
      <c r="X114" s="180"/>
      <c r="Y114" s="163"/>
      <c r="Z114" s="98"/>
      <c r="AA114" s="202"/>
      <c r="AB114" s="172"/>
      <c r="AC114" s="97"/>
      <c r="AF114" s="12"/>
      <c r="AG114" s="12"/>
      <c r="AX114" s="12"/>
      <c r="AY114" s="52"/>
      <c r="AZ114" s="58"/>
      <c r="BA114" s="58"/>
      <c r="BB114" s="58"/>
      <c r="BC114" s="58"/>
      <c r="BD114" s="58"/>
      <c r="BE114" s="12"/>
      <c r="BF114" s="52"/>
      <c r="BG114" s="58"/>
      <c r="BH114" s="65"/>
      <c r="BI114" s="65"/>
      <c r="BJ114" s="65"/>
      <c r="BK114" s="65"/>
      <c r="BL114" s="39"/>
      <c r="BM114" s="39"/>
      <c r="BN114" s="39"/>
      <c r="BO114" s="39">
        <f t="shared" si="86"/>
        <v>0</v>
      </c>
      <c r="BP114" s="51"/>
      <c r="BQ114" s="99" t="e">
        <f t="shared" si="87"/>
        <v>#DIV/0!</v>
      </c>
      <c r="BR114" s="30"/>
      <c r="BV114" s="282">
        <f t="shared" si="127"/>
        <v>0</v>
      </c>
      <c r="BW114" s="39">
        <f t="shared" si="112"/>
        <v>0</v>
      </c>
      <c r="BX114" s="51" t="e">
        <f t="shared" si="113"/>
        <v>#DIV/0!</v>
      </c>
    </row>
    <row r="115" spans="1:237" s="13" customFormat="1" ht="18" customHeight="1">
      <c r="A115" s="73" t="s">
        <v>174</v>
      </c>
      <c r="D115" s="327"/>
      <c r="E115" s="356"/>
      <c r="G115" s="10"/>
      <c r="H115" s="14"/>
      <c r="J115" s="10"/>
      <c r="K115" s="14"/>
      <c r="L115" s="12"/>
      <c r="M115" s="12"/>
      <c r="N115" s="36"/>
      <c r="O115" s="12"/>
      <c r="P115" s="12"/>
      <c r="Q115" s="36"/>
      <c r="R115" s="12"/>
      <c r="S115" s="52"/>
      <c r="T115" s="58"/>
      <c r="U115" s="52"/>
      <c r="V115" s="52"/>
      <c r="W115" s="58"/>
      <c r="X115" s="180"/>
      <c r="Y115" s="163"/>
      <c r="Z115" s="98"/>
      <c r="AA115" s="202"/>
      <c r="AB115" s="172"/>
      <c r="AC115" s="97"/>
      <c r="AF115" s="12"/>
      <c r="AG115" s="12"/>
      <c r="AV115" s="12"/>
      <c r="AW115" s="36"/>
      <c r="AX115" s="12"/>
      <c r="AY115" s="52"/>
      <c r="AZ115" s="58"/>
      <c r="BA115" s="58"/>
      <c r="BB115" s="58"/>
      <c r="BC115" s="58"/>
      <c r="BD115" s="58"/>
      <c r="BE115" s="12"/>
      <c r="BF115" s="52"/>
      <c r="BG115" s="58"/>
      <c r="BH115" s="65"/>
      <c r="BI115" s="65"/>
      <c r="BJ115" s="65"/>
      <c r="BK115" s="65"/>
      <c r="BL115" s="39"/>
      <c r="BM115" s="39"/>
      <c r="BN115" s="39"/>
      <c r="BO115" s="39">
        <f t="shared" si="86"/>
        <v>0</v>
      </c>
      <c r="BP115" s="51"/>
      <c r="BQ115" s="99" t="e">
        <f t="shared" si="87"/>
        <v>#DIV/0!</v>
      </c>
      <c r="BR115" s="30"/>
      <c r="BV115" s="282">
        <f t="shared" si="127"/>
        <v>0</v>
      </c>
      <c r="BW115" s="39">
        <f t="shared" si="112"/>
        <v>0</v>
      </c>
      <c r="BX115" s="51" t="e">
        <f t="shared" si="113"/>
        <v>#DIV/0!</v>
      </c>
    </row>
    <row r="116" spans="1:237" s="13" customFormat="1" ht="18" customHeight="1">
      <c r="A116" s="83" t="s">
        <v>177</v>
      </c>
      <c r="D116" s="327"/>
      <c r="E116" s="356"/>
      <c r="G116" s="10"/>
      <c r="H116" s="14"/>
      <c r="J116" s="10"/>
      <c r="K116" s="14"/>
      <c r="L116" s="50"/>
      <c r="M116" s="50"/>
      <c r="N116" s="50"/>
      <c r="O116" s="50"/>
      <c r="P116" s="50"/>
      <c r="Q116" s="50"/>
      <c r="R116" s="50"/>
      <c r="S116" s="50"/>
      <c r="T116" s="50"/>
      <c r="U116" s="50"/>
      <c r="V116" s="50"/>
      <c r="W116" s="50"/>
      <c r="X116" s="166"/>
      <c r="Y116" s="157"/>
      <c r="Z116" s="95"/>
      <c r="AA116" s="202"/>
      <c r="AB116" s="172"/>
      <c r="AC116" s="97"/>
      <c r="AD116" s="50"/>
      <c r="AE116" s="50"/>
      <c r="AF116" s="52"/>
      <c r="AG116" s="52"/>
      <c r="AH116" s="50"/>
      <c r="AI116" s="50"/>
      <c r="AJ116" s="50"/>
      <c r="AK116" s="50"/>
      <c r="AL116" s="50"/>
      <c r="AM116" s="50"/>
      <c r="AN116" s="50"/>
      <c r="AO116" s="50"/>
      <c r="AP116" s="50"/>
      <c r="AQ116" s="50"/>
      <c r="AR116" s="50"/>
      <c r="AS116" s="50"/>
      <c r="AT116" s="50"/>
      <c r="AU116" s="50"/>
      <c r="AV116" s="50"/>
      <c r="AW116" s="50"/>
      <c r="AX116" s="52"/>
      <c r="AY116" s="52"/>
      <c r="AZ116" s="58"/>
      <c r="BA116" s="58"/>
      <c r="BB116" s="58"/>
      <c r="BC116" s="58"/>
      <c r="BD116" s="58"/>
      <c r="BE116" s="52"/>
      <c r="BF116" s="52"/>
      <c r="BG116" s="58"/>
      <c r="BH116" s="65"/>
      <c r="BI116" s="65"/>
      <c r="BJ116" s="65"/>
      <c r="BK116" s="65"/>
      <c r="BL116" s="39"/>
      <c r="BM116" s="39"/>
      <c r="BN116" s="39"/>
      <c r="BO116" s="39">
        <f t="shared" si="86"/>
        <v>0</v>
      </c>
      <c r="BP116" s="51"/>
      <c r="BQ116" s="99" t="e">
        <f t="shared" si="87"/>
        <v>#DIV/0!</v>
      </c>
      <c r="BR116" s="39"/>
      <c r="BS116" s="50"/>
      <c r="BT116" s="50"/>
      <c r="BU116" s="50"/>
      <c r="BV116" s="282">
        <f t="shared" si="127"/>
        <v>0</v>
      </c>
      <c r="BW116" s="39">
        <f t="shared" si="112"/>
        <v>0</v>
      </c>
      <c r="BX116" s="51" t="e">
        <f t="shared" si="113"/>
        <v>#DIV/0!</v>
      </c>
      <c r="BY116" s="50"/>
      <c r="BZ116" s="50"/>
      <c r="CA116" s="50"/>
      <c r="CB116" s="50"/>
      <c r="CC116" s="50"/>
      <c r="CD116" s="50"/>
      <c r="CE116" s="50"/>
      <c r="CF116" s="50"/>
      <c r="CG116" s="50"/>
      <c r="CH116" s="50"/>
      <c r="CI116" s="50"/>
      <c r="CJ116" s="50"/>
      <c r="CK116" s="50"/>
      <c r="CL116" s="50"/>
      <c r="CM116" s="50"/>
      <c r="CN116" s="50"/>
      <c r="CO116" s="50"/>
      <c r="CP116" s="50"/>
      <c r="CQ116" s="50"/>
      <c r="CR116" s="50"/>
      <c r="CS116" s="50"/>
      <c r="CT116" s="50"/>
      <c r="CU116" s="50"/>
      <c r="CV116" s="50"/>
      <c r="CW116" s="50"/>
      <c r="CX116" s="50"/>
      <c r="CY116" s="50"/>
      <c r="CZ116" s="50"/>
      <c r="DA116" s="50"/>
      <c r="DB116" s="50"/>
      <c r="DC116" s="50"/>
      <c r="DD116" s="50"/>
      <c r="DE116" s="50"/>
      <c r="DF116" s="50"/>
      <c r="DG116" s="50"/>
      <c r="DH116" s="50"/>
      <c r="DI116" s="50"/>
      <c r="DJ116" s="50"/>
      <c r="DK116" s="50"/>
      <c r="DL116" s="50"/>
      <c r="DM116" s="50"/>
      <c r="DN116" s="50"/>
      <c r="DO116" s="50"/>
      <c r="DP116" s="50"/>
      <c r="DQ116" s="50"/>
      <c r="DR116" s="50"/>
      <c r="DS116" s="50"/>
      <c r="DT116" s="50"/>
      <c r="DU116" s="50"/>
      <c r="DV116" s="50"/>
      <c r="DW116" s="50"/>
      <c r="DX116" s="50"/>
      <c r="DY116" s="50"/>
      <c r="DZ116" s="50"/>
      <c r="EA116" s="50"/>
      <c r="EB116" s="50"/>
      <c r="EC116" s="50"/>
      <c r="ED116" s="50"/>
      <c r="EE116" s="50"/>
      <c r="EF116" s="50"/>
      <c r="EG116" s="50"/>
      <c r="EH116" s="50"/>
      <c r="EI116" s="50"/>
      <c r="EJ116" s="50"/>
      <c r="EK116" s="50"/>
      <c r="EL116" s="50"/>
      <c r="EM116" s="50"/>
      <c r="EN116" s="50"/>
      <c r="EO116" s="50"/>
      <c r="EP116" s="50"/>
      <c r="EQ116" s="50"/>
      <c r="ER116" s="50"/>
      <c r="ES116" s="50"/>
      <c r="ET116" s="50"/>
      <c r="EU116" s="50"/>
      <c r="EV116" s="50"/>
      <c r="EW116" s="50"/>
      <c r="EX116" s="50"/>
      <c r="EY116" s="50"/>
      <c r="EZ116" s="50"/>
      <c r="FA116" s="50"/>
      <c r="FB116" s="50"/>
      <c r="FC116" s="50"/>
      <c r="FD116" s="50"/>
      <c r="FE116" s="50"/>
      <c r="FF116" s="50"/>
      <c r="FG116" s="50"/>
      <c r="FH116" s="50"/>
      <c r="FI116" s="50"/>
      <c r="FJ116" s="50"/>
      <c r="FK116" s="50"/>
      <c r="FL116" s="50"/>
      <c r="FM116" s="50"/>
      <c r="FN116" s="50"/>
      <c r="FO116" s="50"/>
      <c r="FP116" s="50"/>
      <c r="FQ116" s="50"/>
      <c r="FR116" s="50"/>
      <c r="FS116" s="50"/>
      <c r="FT116" s="50"/>
      <c r="FU116" s="50"/>
      <c r="FV116" s="50"/>
      <c r="FW116" s="50"/>
      <c r="FX116" s="50"/>
      <c r="FY116" s="50"/>
      <c r="FZ116" s="50"/>
      <c r="GA116" s="50"/>
      <c r="GB116" s="50"/>
      <c r="GC116" s="50"/>
      <c r="GD116" s="50"/>
      <c r="GE116" s="50"/>
      <c r="GF116" s="50"/>
      <c r="GG116" s="50"/>
      <c r="GH116" s="50"/>
      <c r="GI116" s="50"/>
      <c r="GJ116" s="50"/>
      <c r="GK116" s="50"/>
      <c r="GL116" s="50"/>
      <c r="GM116" s="50"/>
      <c r="GN116" s="50"/>
      <c r="GO116" s="50"/>
      <c r="GP116" s="50"/>
      <c r="GQ116" s="50"/>
      <c r="GR116" s="50"/>
      <c r="GS116" s="50"/>
      <c r="GT116" s="50"/>
      <c r="GU116" s="50"/>
      <c r="GV116" s="50"/>
      <c r="GW116" s="50"/>
      <c r="GX116" s="50"/>
      <c r="GY116" s="50"/>
      <c r="GZ116" s="50"/>
      <c r="HA116" s="50"/>
      <c r="HB116" s="50"/>
      <c r="HC116" s="50"/>
      <c r="HD116" s="50"/>
      <c r="HE116" s="50"/>
      <c r="HF116" s="50"/>
      <c r="HG116" s="50"/>
      <c r="HH116" s="50"/>
      <c r="HI116" s="50"/>
      <c r="HJ116" s="50"/>
      <c r="HK116" s="50"/>
      <c r="HL116" s="50"/>
      <c r="HM116" s="50"/>
      <c r="HN116" s="50"/>
      <c r="HO116" s="50"/>
      <c r="HP116" s="50"/>
      <c r="HQ116" s="50"/>
      <c r="HR116" s="50"/>
      <c r="HS116" s="50"/>
      <c r="HT116" s="50"/>
      <c r="HU116" s="50"/>
      <c r="HV116" s="50"/>
      <c r="HW116" s="50"/>
      <c r="HX116" s="50"/>
      <c r="HY116" s="50"/>
      <c r="HZ116" s="50"/>
      <c r="IA116" s="50"/>
      <c r="IB116" s="50"/>
      <c r="IC116" s="50"/>
    </row>
    <row r="117" spans="1:237" s="13" customFormat="1" ht="18" customHeight="1">
      <c r="A117" s="83" t="s">
        <v>187</v>
      </c>
      <c r="D117" s="327"/>
      <c r="E117" s="356"/>
      <c r="G117" s="10"/>
      <c r="H117" s="14"/>
      <c r="J117" s="10"/>
      <c r="K117" s="14"/>
      <c r="L117" s="50"/>
      <c r="M117" s="50"/>
      <c r="N117" s="50"/>
      <c r="O117" s="50"/>
      <c r="P117" s="50"/>
      <c r="Q117" s="50"/>
      <c r="R117" s="50"/>
      <c r="S117" s="50"/>
      <c r="T117" s="50"/>
      <c r="U117" s="50"/>
      <c r="V117" s="50"/>
      <c r="W117" s="50"/>
      <c r="X117" s="166"/>
      <c r="Y117" s="157"/>
      <c r="Z117" s="95"/>
      <c r="AA117" s="202"/>
      <c r="AB117" s="172"/>
      <c r="AC117" s="97"/>
      <c r="AD117" s="50"/>
      <c r="AE117" s="50"/>
      <c r="AF117" s="52"/>
      <c r="AG117" s="52"/>
      <c r="AH117" s="50"/>
      <c r="AI117" s="50"/>
      <c r="AJ117" s="50"/>
      <c r="AK117" s="50"/>
      <c r="AL117" s="50"/>
      <c r="AM117" s="50"/>
      <c r="AN117" s="50"/>
      <c r="AO117" s="50"/>
      <c r="AP117" s="50"/>
      <c r="AQ117" s="50"/>
      <c r="AR117" s="50"/>
      <c r="AS117" s="50"/>
      <c r="AT117" s="50"/>
      <c r="AU117" s="50"/>
      <c r="AV117" s="50"/>
      <c r="AW117" s="50"/>
      <c r="AX117" s="52"/>
      <c r="AY117" s="52"/>
      <c r="AZ117" s="58"/>
      <c r="BA117" s="58"/>
      <c r="BB117" s="58"/>
      <c r="BC117" s="58"/>
      <c r="BD117" s="58"/>
      <c r="BE117" s="52"/>
      <c r="BF117" s="52"/>
      <c r="BG117" s="58"/>
      <c r="BH117" s="65"/>
      <c r="BI117" s="65"/>
      <c r="BJ117" s="65"/>
      <c r="BK117" s="65"/>
      <c r="BL117" s="39"/>
      <c r="BM117" s="39"/>
      <c r="BN117" s="39"/>
      <c r="BO117" s="39">
        <f t="shared" si="86"/>
        <v>0</v>
      </c>
      <c r="BP117" s="51"/>
      <c r="BQ117" s="99" t="e">
        <f t="shared" si="87"/>
        <v>#DIV/0!</v>
      </c>
      <c r="BR117" s="39"/>
      <c r="BS117" s="50"/>
      <c r="BT117" s="50"/>
      <c r="BU117" s="50"/>
      <c r="BV117" s="282">
        <f t="shared" si="127"/>
        <v>0</v>
      </c>
      <c r="BW117" s="39">
        <f t="shared" si="112"/>
        <v>0</v>
      </c>
      <c r="BX117" s="51" t="e">
        <f t="shared" si="113"/>
        <v>#DIV/0!</v>
      </c>
      <c r="BY117" s="50"/>
      <c r="BZ117" s="50"/>
      <c r="CA117" s="50"/>
      <c r="CB117" s="50"/>
      <c r="CC117" s="50"/>
      <c r="CD117" s="50"/>
      <c r="CE117" s="50"/>
      <c r="CF117" s="50"/>
      <c r="CG117" s="50"/>
      <c r="CH117" s="50"/>
      <c r="CI117" s="50"/>
      <c r="CJ117" s="50"/>
      <c r="CK117" s="50"/>
      <c r="CL117" s="50"/>
      <c r="CM117" s="50"/>
      <c r="CN117" s="50"/>
      <c r="CO117" s="50"/>
      <c r="CP117" s="50"/>
      <c r="CQ117" s="50"/>
      <c r="CR117" s="50"/>
      <c r="CS117" s="50"/>
      <c r="CT117" s="50"/>
      <c r="CU117" s="50"/>
      <c r="CV117" s="50"/>
      <c r="CW117" s="50"/>
      <c r="CX117" s="50"/>
      <c r="CY117" s="50"/>
      <c r="CZ117" s="50"/>
      <c r="DA117" s="50"/>
      <c r="DB117" s="50"/>
      <c r="DC117" s="50"/>
      <c r="DD117" s="50"/>
      <c r="DE117" s="50"/>
      <c r="DF117" s="50"/>
      <c r="DG117" s="50"/>
      <c r="DH117" s="50"/>
      <c r="DI117" s="50"/>
      <c r="DJ117" s="50"/>
      <c r="DK117" s="50"/>
      <c r="DL117" s="50"/>
      <c r="DM117" s="50"/>
      <c r="DN117" s="50"/>
      <c r="DO117" s="50"/>
      <c r="DP117" s="50"/>
      <c r="DQ117" s="50"/>
      <c r="DR117" s="50"/>
      <c r="DS117" s="50"/>
      <c r="DT117" s="50"/>
      <c r="DU117" s="50"/>
      <c r="DV117" s="50"/>
      <c r="DW117" s="50"/>
      <c r="DX117" s="50"/>
      <c r="DY117" s="50"/>
      <c r="DZ117" s="50"/>
      <c r="EA117" s="50"/>
      <c r="EB117" s="50"/>
      <c r="EC117" s="50"/>
      <c r="ED117" s="50"/>
      <c r="EE117" s="50"/>
      <c r="EF117" s="50"/>
      <c r="EG117" s="50"/>
      <c r="EH117" s="50"/>
      <c r="EI117" s="50"/>
      <c r="EJ117" s="50"/>
      <c r="EK117" s="50"/>
      <c r="EL117" s="50"/>
      <c r="EM117" s="50"/>
      <c r="EN117" s="50"/>
      <c r="EO117" s="50"/>
      <c r="EP117" s="50"/>
      <c r="EQ117" s="50"/>
      <c r="ER117" s="50"/>
      <c r="ES117" s="50"/>
      <c r="ET117" s="50"/>
      <c r="EU117" s="50"/>
      <c r="EV117" s="50"/>
      <c r="EW117" s="50"/>
      <c r="EX117" s="50"/>
      <c r="EY117" s="50"/>
      <c r="EZ117" s="50"/>
      <c r="FA117" s="50"/>
      <c r="FB117" s="50"/>
      <c r="FC117" s="50"/>
      <c r="FD117" s="50"/>
      <c r="FE117" s="50"/>
      <c r="FF117" s="50"/>
      <c r="FG117" s="50"/>
      <c r="FH117" s="50"/>
      <c r="FI117" s="50"/>
      <c r="FJ117" s="50"/>
      <c r="FK117" s="50"/>
      <c r="FL117" s="50"/>
      <c r="FM117" s="50"/>
      <c r="FN117" s="50"/>
      <c r="FO117" s="50"/>
      <c r="FP117" s="50"/>
      <c r="FQ117" s="50"/>
      <c r="FR117" s="50"/>
      <c r="FS117" s="50"/>
      <c r="FT117" s="50"/>
      <c r="FU117" s="50"/>
      <c r="FV117" s="50"/>
      <c r="FW117" s="50"/>
      <c r="FX117" s="50"/>
      <c r="FY117" s="50"/>
      <c r="FZ117" s="50"/>
      <c r="GA117" s="50"/>
      <c r="GB117" s="50"/>
      <c r="GC117" s="50"/>
      <c r="GD117" s="50"/>
      <c r="GE117" s="50"/>
      <c r="GF117" s="50"/>
      <c r="GG117" s="50"/>
      <c r="GH117" s="50"/>
      <c r="GI117" s="50"/>
      <c r="GJ117" s="50"/>
      <c r="GK117" s="50"/>
      <c r="GL117" s="50"/>
      <c r="GM117" s="50"/>
      <c r="GN117" s="50"/>
      <c r="GO117" s="50"/>
      <c r="GP117" s="50"/>
      <c r="GQ117" s="50"/>
      <c r="GR117" s="50"/>
      <c r="GS117" s="50"/>
      <c r="GT117" s="50"/>
      <c r="GU117" s="50"/>
      <c r="GV117" s="50"/>
      <c r="GW117" s="50"/>
      <c r="GX117" s="50"/>
      <c r="GY117" s="50"/>
      <c r="GZ117" s="50"/>
      <c r="HA117" s="50"/>
      <c r="HB117" s="50"/>
      <c r="HC117" s="50"/>
      <c r="HD117" s="50"/>
      <c r="HE117" s="50"/>
      <c r="HF117" s="50"/>
      <c r="HG117" s="50"/>
      <c r="HH117" s="50"/>
      <c r="HI117" s="50"/>
      <c r="HJ117" s="50"/>
      <c r="HK117" s="50"/>
      <c r="HL117" s="50"/>
      <c r="HM117" s="50"/>
      <c r="HN117" s="50"/>
      <c r="HO117" s="50"/>
      <c r="HP117" s="50"/>
      <c r="HQ117" s="50"/>
      <c r="HR117" s="50"/>
      <c r="HS117" s="50"/>
      <c r="HT117" s="50"/>
      <c r="HU117" s="50"/>
      <c r="HV117" s="50"/>
      <c r="HW117" s="50"/>
      <c r="HX117" s="50"/>
      <c r="HY117" s="50"/>
      <c r="HZ117" s="50"/>
      <c r="IA117" s="50"/>
      <c r="IB117" s="50"/>
      <c r="IC117" s="50"/>
    </row>
    <row r="118" spans="1:237" ht="18" customHeight="1">
      <c r="A118" s="73" t="s">
        <v>412</v>
      </c>
      <c r="D118" s="327"/>
      <c r="E118" s="356"/>
      <c r="G118" s="10"/>
      <c r="J118" s="10"/>
      <c r="L118" s="63"/>
      <c r="M118" s="63"/>
      <c r="N118" s="72"/>
      <c r="O118" s="63"/>
      <c r="P118" s="63"/>
      <c r="Q118" s="72"/>
      <c r="R118" s="52"/>
      <c r="S118" s="52"/>
      <c r="T118" s="58"/>
      <c r="U118" s="52"/>
      <c r="V118" s="52"/>
      <c r="W118" s="58"/>
      <c r="AB118" s="172"/>
      <c r="BH118" s="65"/>
      <c r="BI118" s="65"/>
      <c r="BJ118" s="65"/>
      <c r="BK118" s="65"/>
      <c r="BL118" s="39"/>
      <c r="BM118" s="39"/>
      <c r="BN118" s="39"/>
      <c r="BO118" s="39">
        <f t="shared" si="86"/>
        <v>0</v>
      </c>
      <c r="BP118" s="51"/>
      <c r="BQ118" s="99" t="e">
        <f t="shared" si="87"/>
        <v>#DIV/0!</v>
      </c>
      <c r="BV118" s="282">
        <f t="shared" si="127"/>
        <v>0</v>
      </c>
      <c r="BW118" s="39">
        <f t="shared" si="112"/>
        <v>0</v>
      </c>
      <c r="BX118" s="51" t="e">
        <f t="shared" si="113"/>
        <v>#DIV/0!</v>
      </c>
    </row>
    <row r="119" spans="1:237" s="109" customFormat="1" ht="18" customHeight="1">
      <c r="A119" s="116" t="s">
        <v>52</v>
      </c>
      <c r="D119" s="358"/>
      <c r="E119" s="361"/>
      <c r="G119" s="362"/>
      <c r="H119" s="364"/>
      <c r="J119" s="362"/>
      <c r="K119" s="364"/>
      <c r="L119" s="105"/>
      <c r="M119" s="105"/>
      <c r="N119" s="117"/>
      <c r="O119" s="105"/>
      <c r="P119" s="105"/>
      <c r="Q119" s="117"/>
      <c r="R119" s="107"/>
      <c r="S119" s="107"/>
      <c r="T119" s="125"/>
      <c r="U119" s="107"/>
      <c r="V119" s="107"/>
      <c r="W119" s="125"/>
      <c r="X119" s="175"/>
      <c r="Y119" s="158"/>
      <c r="Z119" s="111"/>
      <c r="AA119" s="201"/>
      <c r="AB119" s="170"/>
      <c r="AC119" s="113"/>
      <c r="AF119" s="107"/>
      <c r="AG119" s="107"/>
      <c r="AX119" s="107"/>
      <c r="AY119" s="107"/>
      <c r="AZ119" s="125"/>
      <c r="BA119" s="125"/>
      <c r="BB119" s="125"/>
      <c r="BC119" s="125"/>
      <c r="BD119" s="125"/>
      <c r="BE119" s="107"/>
      <c r="BF119" s="107"/>
      <c r="BG119" s="125"/>
      <c r="BH119" s="110"/>
      <c r="BI119" s="110"/>
      <c r="BJ119" s="110"/>
      <c r="BK119" s="110"/>
      <c r="BL119" s="562"/>
      <c r="BM119" s="562"/>
      <c r="BN119" s="562"/>
      <c r="BO119" s="39">
        <f t="shared" si="86"/>
        <v>0</v>
      </c>
      <c r="BP119" s="108"/>
      <c r="BQ119" s="99" t="e">
        <f t="shared" si="87"/>
        <v>#DIV/0!</v>
      </c>
      <c r="BR119" s="562"/>
      <c r="BV119" s="302"/>
      <c r="BW119" s="562"/>
      <c r="BX119" s="108"/>
    </row>
    <row r="120" spans="1:237" s="79" customFormat="1" ht="18" customHeight="1">
      <c r="A120" s="53" t="s">
        <v>182</v>
      </c>
      <c r="B120" s="609" t="s">
        <v>78</v>
      </c>
      <c r="C120" s="609" t="s">
        <v>78</v>
      </c>
      <c r="D120" s="609" t="s">
        <v>78</v>
      </c>
      <c r="E120" s="609" t="s">
        <v>78</v>
      </c>
      <c r="F120" s="609" t="s">
        <v>78</v>
      </c>
      <c r="G120" s="609" t="s">
        <v>78</v>
      </c>
      <c r="H120" s="609" t="s">
        <v>78</v>
      </c>
      <c r="I120" s="609" t="s">
        <v>78</v>
      </c>
      <c r="J120" s="609" t="s">
        <v>78</v>
      </c>
      <c r="K120" s="609" t="s">
        <v>78</v>
      </c>
      <c r="L120" s="24">
        <v>0</v>
      </c>
      <c r="M120" s="24">
        <v>0</v>
      </c>
      <c r="N120" s="37" t="s">
        <v>78</v>
      </c>
      <c r="O120" s="24">
        <v>0</v>
      </c>
      <c r="P120" s="24">
        <v>0</v>
      </c>
      <c r="Q120" s="37" t="s">
        <v>78</v>
      </c>
      <c r="R120" s="24">
        <v>0</v>
      </c>
      <c r="S120" s="24">
        <v>0</v>
      </c>
      <c r="T120" s="37" t="s">
        <v>78</v>
      </c>
      <c r="U120" s="24">
        <v>0</v>
      </c>
      <c r="V120" s="24">
        <v>0</v>
      </c>
      <c r="W120" s="37" t="s">
        <v>78</v>
      </c>
      <c r="X120" s="176">
        <v>2467</v>
      </c>
      <c r="Y120" s="155">
        <f t="shared" ref="Y120:Y133" si="128">X120-U120</f>
        <v>2467</v>
      </c>
      <c r="Z120" s="96"/>
      <c r="AA120" s="205">
        <v>4892</v>
      </c>
      <c r="AB120" s="591">
        <f t="shared" ref="AB120:AB133" si="129">AA120-X120</f>
        <v>2425</v>
      </c>
      <c r="AC120" s="592">
        <f t="shared" ref="AC120:AC129" si="130">AB120/X120</f>
        <v>0.98297527361167414</v>
      </c>
      <c r="AD120" s="79">
        <v>778</v>
      </c>
      <c r="AF120" s="62">
        <v>823</v>
      </c>
      <c r="AG120" s="62">
        <f t="shared" ref="AG120:AG131" si="131">AF120-AA120</f>
        <v>-4069</v>
      </c>
      <c r="AH120" s="241">
        <f t="shared" ref="AH120:AH131" si="132">AG120/AA120</f>
        <v>-0.83176614881439082</v>
      </c>
      <c r="AI120" s="79">
        <v>778</v>
      </c>
      <c r="AJ120" s="79">
        <v>778</v>
      </c>
      <c r="AK120" s="79">
        <v>795</v>
      </c>
      <c r="AM120" s="202">
        <f t="shared" ref="AM120:AM132" si="133">+AL120+AK120</f>
        <v>795</v>
      </c>
      <c r="AN120" s="527">
        <v>2510</v>
      </c>
      <c r="AO120" s="527">
        <v>2510</v>
      </c>
      <c r="AP120" s="545">
        <v>31</v>
      </c>
      <c r="AQ120" s="545">
        <v>17</v>
      </c>
      <c r="AR120" s="78">
        <f>AP120+AQ120</f>
        <v>48</v>
      </c>
      <c r="AS120" s="78">
        <f>BB120+AR120</f>
        <v>1262.3665699999999</v>
      </c>
      <c r="AT120" s="78">
        <f>AS120-AF120</f>
        <v>439.36656999999991</v>
      </c>
      <c r="AU120" s="262">
        <f>AT120/AF120</f>
        <v>0.53385974483596588</v>
      </c>
      <c r="AV120" s="78">
        <f t="shared" ref="AV120:AV131" si="134">AS120-AF120</f>
        <v>439.36656999999991</v>
      </c>
      <c r="AW120" s="262">
        <f t="shared" ref="AW120:AW131" si="135">AV120/AF120</f>
        <v>0.53385974483596588</v>
      </c>
      <c r="AX120" s="62">
        <v>1227</v>
      </c>
      <c r="AY120" s="62">
        <f t="shared" si="88"/>
        <v>404</v>
      </c>
      <c r="AZ120" s="241">
        <f t="shared" si="89"/>
        <v>0.49088699878493319</v>
      </c>
      <c r="BA120" s="625">
        <v>1293.08599</v>
      </c>
      <c r="BB120" s="680">
        <v>1214.3665699999999</v>
      </c>
      <c r="BC120" s="680">
        <f>BA120-BB120</f>
        <v>78.719420000000127</v>
      </c>
      <c r="BD120" s="681">
        <f>BC120/BA120</f>
        <v>6.0877173373442957E-2</v>
      </c>
      <c r="BE120" s="682">
        <v>1912</v>
      </c>
      <c r="BF120" s="682">
        <f t="shared" ref="BF120:BF133" si="136">BE120-AX120</f>
        <v>685</v>
      </c>
      <c r="BG120" s="683">
        <f t="shared" ref="BG120:BG133" si="137">BF120/AX120</f>
        <v>0.55827220863895677</v>
      </c>
      <c r="BH120" s="684"/>
      <c r="BI120" s="684"/>
      <c r="BJ120" s="684"/>
      <c r="BK120" s="684">
        <v>5</v>
      </c>
      <c r="BL120" s="685">
        <f t="shared" si="90"/>
        <v>1917</v>
      </c>
      <c r="BM120" s="685">
        <f t="shared" ref="BM120:BM133" si="138">BL120-AS120</f>
        <v>654.63343000000009</v>
      </c>
      <c r="BN120" s="685">
        <v>1803</v>
      </c>
      <c r="BO120" s="39">
        <f t="shared" si="86"/>
        <v>-109</v>
      </c>
      <c r="BP120" s="672">
        <f t="shared" ref="BP120:BP133" si="139">BM120/AS120</f>
        <v>0.51857633555679483</v>
      </c>
      <c r="BQ120" s="99">
        <f t="shared" si="87"/>
        <v>-5.7008368200836823E-2</v>
      </c>
      <c r="BR120" s="495"/>
      <c r="BU120" s="79">
        <v>0</v>
      </c>
      <c r="BV120" s="282">
        <f t="shared" ref="BV120:BV132" si="140">BN120+BR120+BS120+BT120+BU120</f>
        <v>1803</v>
      </c>
      <c r="BW120" s="39">
        <f t="shared" ref="BW120:BW144" si="141">BV120-BL120</f>
        <v>-114</v>
      </c>
      <c r="BX120" s="51">
        <f t="shared" ref="BX120:BX144" si="142">BW120/BL120</f>
        <v>-5.9467918622848198E-2</v>
      </c>
    </row>
    <row r="121" spans="1:237" ht="18" customHeight="1">
      <c r="A121" s="53" t="s">
        <v>132</v>
      </c>
      <c r="B121" s="327">
        <f>604098+4717</f>
        <v>608815</v>
      </c>
      <c r="C121" s="327">
        <f>737128+4904</f>
        <v>742032</v>
      </c>
      <c r="D121" s="327">
        <f t="shared" ref="D121:D181" si="143">C121-B121</f>
        <v>133217</v>
      </c>
      <c r="E121" s="356">
        <f t="shared" ref="E121:E181" si="144">(C121-B121)/B121</f>
        <v>0.2188135969054639</v>
      </c>
      <c r="F121" s="10">
        <f>740706+5757</f>
        <v>746463</v>
      </c>
      <c r="G121" s="10">
        <f t="shared" ref="G121:G181" si="145">F121-C121</f>
        <v>4431</v>
      </c>
      <c r="H121" s="14">
        <f t="shared" ref="H121:H181" si="146">(F121-C121)/C121</f>
        <v>5.9714405847726242E-3</v>
      </c>
      <c r="I121" s="10">
        <f>711890+6630</f>
        <v>718520</v>
      </c>
      <c r="J121" s="10">
        <f t="shared" ref="J121:J181" si="147">I121-F121</f>
        <v>-27943</v>
      </c>
      <c r="K121" s="14">
        <f t="shared" ref="K121:K181" si="148">(I121-F121)/F121</f>
        <v>-3.7433871471191475E-2</v>
      </c>
      <c r="L121" s="52">
        <v>775465</v>
      </c>
      <c r="M121" s="24">
        <v>56944</v>
      </c>
      <c r="N121" s="37">
        <v>7.9251685058613464E-2</v>
      </c>
      <c r="O121" s="52">
        <v>788733</v>
      </c>
      <c r="P121" s="52">
        <f t="shared" ref="P121:P127" si="149">O121-L121</f>
        <v>13268</v>
      </c>
      <c r="Q121" s="72">
        <f>P121/L121</f>
        <v>1.7109734159504297E-2</v>
      </c>
      <c r="R121" s="69">
        <v>819223</v>
      </c>
      <c r="S121" s="69">
        <f t="shared" ref="S121:S133" si="150">R121-O121</f>
        <v>30490</v>
      </c>
      <c r="T121" s="72">
        <f t="shared" ref="T121:T126" si="151">S121/O121</f>
        <v>3.8656934602710927E-2</v>
      </c>
      <c r="U121" s="69">
        <v>827796</v>
      </c>
      <c r="V121" s="69">
        <f>U121-R121</f>
        <v>8573</v>
      </c>
      <c r="W121" s="72">
        <f t="shared" ref="W121:W126" si="152">V121/R121</f>
        <v>1.0464794079267793E-2</v>
      </c>
      <c r="X121" s="176">
        <v>874214</v>
      </c>
      <c r="Y121" s="69">
        <f t="shared" si="128"/>
        <v>46418</v>
      </c>
      <c r="Z121" s="96">
        <f t="shared" ref="Z121:Z126" si="153">Y121/U121</f>
        <v>5.6074201856496045E-2</v>
      </c>
      <c r="AA121" s="205">
        <v>565780</v>
      </c>
      <c r="AB121" s="172">
        <f t="shared" si="129"/>
        <v>-308434</v>
      </c>
      <c r="AC121" s="100">
        <f t="shared" si="130"/>
        <v>-0.35281292681197052</v>
      </c>
      <c r="AD121" s="219">
        <f>510881</f>
        <v>510881</v>
      </c>
      <c r="AE121" s="65">
        <v>4005</v>
      </c>
      <c r="AF121" s="62">
        <v>522828</v>
      </c>
      <c r="AG121" s="52">
        <f t="shared" si="131"/>
        <v>-42952</v>
      </c>
      <c r="AH121" s="58">
        <f t="shared" si="132"/>
        <v>-7.5916433949591716E-2</v>
      </c>
      <c r="AI121" s="65">
        <f>AF121-10898</f>
        <v>511930</v>
      </c>
      <c r="AJ121" s="65">
        <f>AF121-9739</f>
        <v>513089</v>
      </c>
      <c r="AK121" s="50">
        <v>550548</v>
      </c>
      <c r="AL121" s="220"/>
      <c r="AM121" s="258">
        <f t="shared" si="133"/>
        <v>550548</v>
      </c>
      <c r="AN121" s="27">
        <v>563538</v>
      </c>
      <c r="AO121" s="27">
        <v>568044</v>
      </c>
      <c r="AP121" s="219"/>
      <c r="AQ121" s="219"/>
      <c r="AR121" s="78">
        <f t="shared" ref="AR121:AR132" si="154">AP121+AQ121</f>
        <v>0</v>
      </c>
      <c r="AS121" s="78">
        <f t="shared" ref="AS121:AS132" si="155">BB121+AR121</f>
        <v>589196.84681000002</v>
      </c>
      <c r="AT121" s="78">
        <f t="shared" ref="AT121:AT133" si="156">AS121-AF121</f>
        <v>66368.846810000017</v>
      </c>
      <c r="AU121" s="99">
        <f t="shared" ref="AU121:AU133" si="157">AT121/AF121</f>
        <v>0.1269420283726197</v>
      </c>
      <c r="AV121" s="78">
        <f t="shared" si="134"/>
        <v>66368.846810000017</v>
      </c>
      <c r="AW121" s="262">
        <f t="shared" si="135"/>
        <v>0.1269420283726197</v>
      </c>
      <c r="AX121" s="52">
        <f>(549309+11000)-900</f>
        <v>559409</v>
      </c>
      <c r="AY121" s="52">
        <f>AX121-AF121</f>
        <v>36581</v>
      </c>
      <c r="AZ121" s="58">
        <f t="shared" si="89"/>
        <v>6.9967561033456513E-2</v>
      </c>
      <c r="BA121" s="624">
        <f>585840.39891+4989.8188</f>
        <v>590830.21771</v>
      </c>
      <c r="BB121" s="680">
        <f>585840.39891+3356.4479</f>
        <v>589196.84681000002</v>
      </c>
      <c r="BC121" s="680">
        <f t="shared" ref="BC121:BC132" si="158">BA121-BB121</f>
        <v>1633.3708999999799</v>
      </c>
      <c r="BD121" s="681">
        <f t="shared" ref="BD121:BD132" si="159">BC121/BA121</f>
        <v>2.7645351423134135E-3</v>
      </c>
      <c r="BE121" s="682">
        <f>611817+11680</f>
        <v>623497</v>
      </c>
      <c r="BF121" s="682">
        <f t="shared" si="136"/>
        <v>64088</v>
      </c>
      <c r="BG121" s="683">
        <f t="shared" si="137"/>
        <v>0.11456376282827055</v>
      </c>
      <c r="BH121" s="684"/>
      <c r="BI121" s="684"/>
      <c r="BJ121" s="684"/>
      <c r="BK121" s="684"/>
      <c r="BL121" s="685">
        <f t="shared" si="90"/>
        <v>623497</v>
      </c>
      <c r="BM121" s="685">
        <f t="shared" si="138"/>
        <v>34300.153189999983</v>
      </c>
      <c r="BN121" s="685">
        <v>657784</v>
      </c>
      <c r="BO121" s="39">
        <f t="shared" si="86"/>
        <v>34287</v>
      </c>
      <c r="BP121" s="672">
        <f t="shared" si="139"/>
        <v>5.8215099717023523E-2</v>
      </c>
      <c r="BQ121" s="99">
        <f t="shared" si="87"/>
        <v>5.4991443423143979E-2</v>
      </c>
      <c r="BR121" s="39">
        <v>44881</v>
      </c>
      <c r="BU121" s="50">
        <v>152</v>
      </c>
      <c r="BV121" s="282">
        <f t="shared" si="140"/>
        <v>702817</v>
      </c>
      <c r="BW121" s="39">
        <f t="shared" si="141"/>
        <v>79320</v>
      </c>
      <c r="BX121" s="51">
        <f t="shared" si="142"/>
        <v>0.12721793368693032</v>
      </c>
    </row>
    <row r="122" spans="1:237" ht="18" customHeight="1">
      <c r="A122" s="53" t="s">
        <v>19</v>
      </c>
      <c r="B122" s="327">
        <v>10700</v>
      </c>
      <c r="C122" s="327">
        <v>200</v>
      </c>
      <c r="D122" s="327">
        <f t="shared" si="143"/>
        <v>-10500</v>
      </c>
      <c r="E122" s="356">
        <f t="shared" si="144"/>
        <v>-0.98130841121495327</v>
      </c>
      <c r="F122" s="10">
        <v>0</v>
      </c>
      <c r="G122" s="10">
        <f t="shared" si="145"/>
        <v>-200</v>
      </c>
      <c r="H122" s="14">
        <f t="shared" si="146"/>
        <v>-1</v>
      </c>
      <c r="I122" s="10">
        <v>0</v>
      </c>
      <c r="J122" s="10">
        <f t="shared" si="147"/>
        <v>0</v>
      </c>
      <c r="K122" s="14" t="e">
        <f t="shared" si="148"/>
        <v>#DIV/0!</v>
      </c>
      <c r="L122" s="52">
        <v>0</v>
      </c>
      <c r="M122" s="24">
        <v>0</v>
      </c>
      <c r="N122" s="37" t="s">
        <v>78</v>
      </c>
      <c r="O122" s="52">
        <v>9147</v>
      </c>
      <c r="P122" s="52">
        <f t="shared" si="149"/>
        <v>9147</v>
      </c>
      <c r="Q122" s="70" t="s">
        <v>78</v>
      </c>
      <c r="R122" s="69">
        <v>15431</v>
      </c>
      <c r="S122" s="69">
        <f t="shared" si="150"/>
        <v>6284</v>
      </c>
      <c r="T122" s="72">
        <f t="shared" si="151"/>
        <v>0.68700120258008091</v>
      </c>
      <c r="U122" s="69">
        <v>14540</v>
      </c>
      <c r="V122" s="69">
        <f t="shared" ref="V122:V127" si="160">U122-R122</f>
        <v>-891</v>
      </c>
      <c r="W122" s="72">
        <f t="shared" si="152"/>
        <v>-5.7740911152874087E-2</v>
      </c>
      <c r="X122" s="176">
        <v>5964</v>
      </c>
      <c r="Y122" s="69">
        <f t="shared" si="128"/>
        <v>-8576</v>
      </c>
      <c r="Z122" s="96">
        <f t="shared" si="153"/>
        <v>-0.58982118294360386</v>
      </c>
      <c r="AA122" s="202">
        <v>0</v>
      </c>
      <c r="AB122" s="172">
        <f t="shared" si="129"/>
        <v>-5964</v>
      </c>
      <c r="AC122" s="100">
        <f t="shared" si="130"/>
        <v>-1</v>
      </c>
      <c r="AD122" s="65">
        <v>3000</v>
      </c>
      <c r="AE122" s="65"/>
      <c r="AF122" s="62">
        <v>3000</v>
      </c>
      <c r="AG122" s="52">
        <f t="shared" si="131"/>
        <v>3000</v>
      </c>
      <c r="AH122" s="58" t="e">
        <f t="shared" si="132"/>
        <v>#DIV/0!</v>
      </c>
      <c r="AI122" s="65">
        <v>3000</v>
      </c>
      <c r="AJ122" s="50">
        <v>3000</v>
      </c>
      <c r="AK122" s="50">
        <v>3000</v>
      </c>
      <c r="AM122" s="258">
        <f t="shared" si="133"/>
        <v>3000</v>
      </c>
      <c r="AN122" s="27">
        <v>3000</v>
      </c>
      <c r="AO122" s="27">
        <v>3000</v>
      </c>
      <c r="AP122" s="65"/>
      <c r="AQ122" s="65"/>
      <c r="AR122" s="78">
        <f t="shared" si="154"/>
        <v>0</v>
      </c>
      <c r="AS122" s="78">
        <f t="shared" si="155"/>
        <v>3000</v>
      </c>
      <c r="AT122" s="78">
        <f t="shared" si="156"/>
        <v>0</v>
      </c>
      <c r="AU122" s="99">
        <f t="shared" si="157"/>
        <v>0</v>
      </c>
      <c r="AV122" s="78">
        <f t="shared" si="134"/>
        <v>0</v>
      </c>
      <c r="AW122" s="262">
        <f t="shared" si="135"/>
        <v>0</v>
      </c>
      <c r="AX122" s="52">
        <v>3000</v>
      </c>
      <c r="AY122" s="52">
        <f t="shared" si="88"/>
        <v>0</v>
      </c>
      <c r="AZ122" s="58">
        <f t="shared" si="89"/>
        <v>0</v>
      </c>
      <c r="BA122" s="624">
        <v>3000</v>
      </c>
      <c r="BB122" s="680">
        <v>3000</v>
      </c>
      <c r="BC122" s="680">
        <f t="shared" si="158"/>
        <v>0</v>
      </c>
      <c r="BD122" s="681">
        <f t="shared" si="159"/>
        <v>0</v>
      </c>
      <c r="BE122" s="682">
        <v>3000</v>
      </c>
      <c r="BF122" s="682">
        <f t="shared" si="136"/>
        <v>0</v>
      </c>
      <c r="BG122" s="683">
        <f t="shared" si="137"/>
        <v>0</v>
      </c>
      <c r="BH122" s="684"/>
      <c r="BI122" s="684"/>
      <c r="BJ122" s="684"/>
      <c r="BK122" s="684"/>
      <c r="BL122" s="685">
        <f t="shared" si="90"/>
        <v>3000</v>
      </c>
      <c r="BM122" s="685">
        <f t="shared" si="138"/>
        <v>0</v>
      </c>
      <c r="BN122" s="685">
        <v>6407</v>
      </c>
      <c r="BO122" s="39">
        <f t="shared" si="86"/>
        <v>3407</v>
      </c>
      <c r="BP122" s="672">
        <f t="shared" si="139"/>
        <v>0</v>
      </c>
      <c r="BQ122" s="99">
        <f t="shared" si="87"/>
        <v>1.1356666666666666</v>
      </c>
      <c r="BV122" s="282">
        <f t="shared" si="140"/>
        <v>6407</v>
      </c>
      <c r="BW122" s="39">
        <f t="shared" si="141"/>
        <v>3407</v>
      </c>
      <c r="BX122" s="51">
        <f t="shared" si="142"/>
        <v>1.1356666666666666</v>
      </c>
    </row>
    <row r="123" spans="1:237" ht="18" customHeight="1">
      <c r="A123" s="59" t="s">
        <v>178</v>
      </c>
      <c r="B123" s="328">
        <v>23597</v>
      </c>
      <c r="C123" s="328">
        <f>2362+23112</f>
        <v>25474</v>
      </c>
      <c r="D123" s="327">
        <f t="shared" si="143"/>
        <v>1877</v>
      </c>
      <c r="E123" s="356">
        <f t="shared" si="144"/>
        <v>7.9544009831758272E-2</v>
      </c>
      <c r="F123" s="10">
        <f>4216+234+22237</f>
        <v>26687</v>
      </c>
      <c r="G123" s="10">
        <f t="shared" si="145"/>
        <v>1213</v>
      </c>
      <c r="H123" s="14">
        <f t="shared" si="146"/>
        <v>4.7617178299442571E-2</v>
      </c>
      <c r="I123" s="10">
        <f>5247+146+21887</f>
        <v>27280</v>
      </c>
      <c r="J123" s="10">
        <f t="shared" si="147"/>
        <v>593</v>
      </c>
      <c r="K123" s="14">
        <f t="shared" si="148"/>
        <v>2.2220556825420616E-2</v>
      </c>
      <c r="L123" s="52">
        <f>11324+23193</f>
        <v>34517</v>
      </c>
      <c r="M123" s="24">
        <v>5931</v>
      </c>
      <c r="N123" s="37">
        <v>1.0997589467828668</v>
      </c>
      <c r="O123" s="52">
        <f>10084+33913</f>
        <v>43997</v>
      </c>
      <c r="P123" s="52">
        <f t="shared" si="149"/>
        <v>9480</v>
      </c>
      <c r="Q123" s="72">
        <f>P123/L123</f>
        <v>0.27464727525567112</v>
      </c>
      <c r="R123" s="69">
        <f>12755+54866</f>
        <v>67621</v>
      </c>
      <c r="S123" s="69">
        <f t="shared" si="150"/>
        <v>23624</v>
      </c>
      <c r="T123" s="72">
        <f t="shared" si="151"/>
        <v>0.53694570084323934</v>
      </c>
      <c r="U123" s="69">
        <f>14587+44911</f>
        <v>59498</v>
      </c>
      <c r="V123" s="69">
        <f t="shared" si="160"/>
        <v>-8123</v>
      </c>
      <c r="W123" s="72">
        <f t="shared" si="152"/>
        <v>-0.12012540482986055</v>
      </c>
      <c r="X123" s="176">
        <v>103135</v>
      </c>
      <c r="Y123" s="69">
        <f t="shared" si="128"/>
        <v>43637</v>
      </c>
      <c r="Z123" s="96">
        <f t="shared" si="153"/>
        <v>0.73341961074321826</v>
      </c>
      <c r="AA123" s="202">
        <v>128111</v>
      </c>
      <c r="AB123" s="172">
        <f t="shared" si="129"/>
        <v>24976</v>
      </c>
      <c r="AC123" s="100">
        <f t="shared" si="130"/>
        <v>0.24216803219081787</v>
      </c>
      <c r="AD123" s="65">
        <v>111990</v>
      </c>
      <c r="AE123" s="65">
        <v>10728</v>
      </c>
      <c r="AF123" s="62">
        <v>109862</v>
      </c>
      <c r="AG123" s="52">
        <f t="shared" si="131"/>
        <v>-18249</v>
      </c>
      <c r="AH123" s="58">
        <f t="shared" si="132"/>
        <v>-0.14244678442912787</v>
      </c>
      <c r="AI123" s="65">
        <f>AD123-4201</f>
        <v>107789</v>
      </c>
      <c r="AJ123" s="65">
        <f>AF123-3809</f>
        <v>106053</v>
      </c>
      <c r="AK123" s="50">
        <v>116890</v>
      </c>
      <c r="AL123" s="220"/>
      <c r="AM123" s="258">
        <f t="shared" si="133"/>
        <v>116890</v>
      </c>
      <c r="AN123" s="27">
        <v>106553</v>
      </c>
      <c r="AO123" s="27">
        <v>116879</v>
      </c>
      <c r="AP123" s="219"/>
      <c r="AQ123" s="219"/>
      <c r="AR123" s="78">
        <f t="shared" si="154"/>
        <v>0</v>
      </c>
      <c r="AS123" s="78">
        <f t="shared" si="155"/>
        <v>101165.7656</v>
      </c>
      <c r="AT123" s="78">
        <f t="shared" si="156"/>
        <v>-8696.2344000000012</v>
      </c>
      <c r="AU123" s="99">
        <f t="shared" si="157"/>
        <v>-7.9155981139975615E-2</v>
      </c>
      <c r="AV123" s="78">
        <f t="shared" si="134"/>
        <v>-8696.2344000000012</v>
      </c>
      <c r="AW123" s="262">
        <f t="shared" si="135"/>
        <v>-7.9155981139975615E-2</v>
      </c>
      <c r="AX123" s="52">
        <v>122698</v>
      </c>
      <c r="AY123" s="52">
        <f t="shared" si="88"/>
        <v>12836</v>
      </c>
      <c r="AZ123" s="58">
        <f t="shared" si="89"/>
        <v>0.11683748702918206</v>
      </c>
      <c r="BA123" s="624">
        <f>106604.73554+3793.97242</f>
        <v>110398.70796</v>
      </c>
      <c r="BB123" s="680">
        <f>100915.77599+249.98961</f>
        <v>101165.7656</v>
      </c>
      <c r="BC123" s="680">
        <f t="shared" si="158"/>
        <v>9232.9423600000009</v>
      </c>
      <c r="BD123" s="681">
        <f t="shared" si="159"/>
        <v>8.3632703050703361E-2</v>
      </c>
      <c r="BE123" s="682">
        <f>90856+13076</f>
        <v>103932</v>
      </c>
      <c r="BF123" s="682">
        <f t="shared" si="136"/>
        <v>-18766</v>
      </c>
      <c r="BG123" s="683">
        <f t="shared" si="137"/>
        <v>-0.1529446282742995</v>
      </c>
      <c r="BH123" s="684"/>
      <c r="BI123" s="684"/>
      <c r="BJ123" s="684"/>
      <c r="BK123" s="684">
        <v>319</v>
      </c>
      <c r="BL123" s="685">
        <f t="shared" si="90"/>
        <v>104251</v>
      </c>
      <c r="BM123" s="685">
        <f t="shared" si="138"/>
        <v>3085.2344000000012</v>
      </c>
      <c r="BN123" s="685">
        <v>102506</v>
      </c>
      <c r="BO123" s="39">
        <f t="shared" si="86"/>
        <v>-1426</v>
      </c>
      <c r="BP123" s="672">
        <f t="shared" si="139"/>
        <v>3.0496822533807831E-2</v>
      </c>
      <c r="BQ123" s="99">
        <f t="shared" si="87"/>
        <v>-1.3720509563945656E-2</v>
      </c>
      <c r="BR123" s="39">
        <v>4250</v>
      </c>
      <c r="BU123" s="50">
        <v>129</v>
      </c>
      <c r="BV123" s="282">
        <f t="shared" si="140"/>
        <v>106885</v>
      </c>
      <c r="BW123" s="39">
        <f t="shared" si="141"/>
        <v>2634</v>
      </c>
      <c r="BX123" s="51">
        <f t="shared" si="142"/>
        <v>2.5265944691178023E-2</v>
      </c>
    </row>
    <row r="124" spans="1:237" s="79" customFormat="1" ht="18" customHeight="1">
      <c r="A124" s="59" t="s">
        <v>20</v>
      </c>
      <c r="B124" s="327">
        <f>46480+3455</f>
        <v>49935</v>
      </c>
      <c r="C124" s="327">
        <f>136876-8</f>
        <v>136868</v>
      </c>
      <c r="D124" s="327">
        <f t="shared" si="143"/>
        <v>86933</v>
      </c>
      <c r="E124" s="356">
        <f t="shared" si="144"/>
        <v>1.7409232001602082</v>
      </c>
      <c r="F124" s="590">
        <v>97625</v>
      </c>
      <c r="G124" s="590">
        <f t="shared" si="145"/>
        <v>-39243</v>
      </c>
      <c r="H124" s="276">
        <f t="shared" si="146"/>
        <v>-0.28672151269836632</v>
      </c>
      <c r="I124" s="590">
        <v>114283</v>
      </c>
      <c r="J124" s="590">
        <f t="shared" si="147"/>
        <v>16658</v>
      </c>
      <c r="K124" s="276">
        <f t="shared" si="148"/>
        <v>0.17063252240717031</v>
      </c>
      <c r="L124" s="62">
        <v>161969</v>
      </c>
      <c r="M124" s="24">
        <v>47686</v>
      </c>
      <c r="N124" s="37">
        <v>0.41726240998223707</v>
      </c>
      <c r="O124" s="62">
        <v>188324</v>
      </c>
      <c r="P124" s="62">
        <f t="shared" si="149"/>
        <v>26355</v>
      </c>
      <c r="Q124" s="241">
        <f>P124/L124</f>
        <v>0.16271632225919774</v>
      </c>
      <c r="R124" s="62">
        <v>227190</v>
      </c>
      <c r="S124" s="62">
        <f t="shared" si="150"/>
        <v>38866</v>
      </c>
      <c r="T124" s="241">
        <f t="shared" si="151"/>
        <v>0.20637836919351754</v>
      </c>
      <c r="U124" s="62">
        <v>277159</v>
      </c>
      <c r="V124" s="62">
        <f t="shared" si="160"/>
        <v>49969</v>
      </c>
      <c r="W124" s="241">
        <f t="shared" si="152"/>
        <v>0.2199436594920551</v>
      </c>
      <c r="X124" s="166">
        <v>316675</v>
      </c>
      <c r="Y124" s="62">
        <f t="shared" si="128"/>
        <v>39516</v>
      </c>
      <c r="Z124" s="95">
        <f t="shared" si="153"/>
        <v>0.14257520051667094</v>
      </c>
      <c r="AA124" s="202">
        <v>366053</v>
      </c>
      <c r="AB124" s="591">
        <f t="shared" si="129"/>
        <v>49378</v>
      </c>
      <c r="AC124" s="592">
        <f t="shared" si="130"/>
        <v>0.15592642298886872</v>
      </c>
      <c r="AD124" s="78">
        <f>373969</f>
        <v>373969</v>
      </c>
      <c r="AE124" s="78"/>
      <c r="AF124" s="62">
        <v>375845</v>
      </c>
      <c r="AG124" s="62">
        <f t="shared" si="131"/>
        <v>9792</v>
      </c>
      <c r="AH124" s="241">
        <f t="shared" si="132"/>
        <v>2.6750224694238267E-2</v>
      </c>
      <c r="AI124" s="78">
        <f>AD124-15575</f>
        <v>358394</v>
      </c>
      <c r="AJ124" s="246">
        <f>AF124-15757</f>
        <v>360088</v>
      </c>
      <c r="AK124" s="245">
        <v>423039</v>
      </c>
      <c r="AL124" s="593"/>
      <c r="AM124" s="202">
        <f t="shared" si="133"/>
        <v>423039</v>
      </c>
      <c r="AN124" s="527">
        <v>433792</v>
      </c>
      <c r="AO124" s="527">
        <v>433792</v>
      </c>
      <c r="AP124" s="545">
        <v>0</v>
      </c>
      <c r="AQ124" s="545"/>
      <c r="AR124" s="78">
        <f t="shared" si="154"/>
        <v>0</v>
      </c>
      <c r="AS124" s="78">
        <f t="shared" si="155"/>
        <v>440368.37102000002</v>
      </c>
      <c r="AT124" s="78">
        <f t="shared" si="156"/>
        <v>64523.371020000021</v>
      </c>
      <c r="AU124" s="262">
        <f t="shared" si="157"/>
        <v>0.17167548063696475</v>
      </c>
      <c r="AV124" s="78">
        <f t="shared" si="134"/>
        <v>64523.371020000021</v>
      </c>
      <c r="AW124" s="262">
        <f t="shared" si="135"/>
        <v>0.17167548063696475</v>
      </c>
      <c r="AX124" s="202">
        <f>427839+7000</f>
        <v>434839</v>
      </c>
      <c r="AY124" s="62">
        <f t="shared" si="88"/>
        <v>58994</v>
      </c>
      <c r="AZ124" s="241">
        <f t="shared" si="89"/>
        <v>0.15696364192685813</v>
      </c>
      <c r="BA124" s="624">
        <v>440525.39600000001</v>
      </c>
      <c r="BB124" s="680">
        <v>440368.37102000002</v>
      </c>
      <c r="BC124" s="680">
        <f t="shared" si="158"/>
        <v>157.02497999998741</v>
      </c>
      <c r="BD124" s="681">
        <f t="shared" si="159"/>
        <v>3.5644932488747462E-4</v>
      </c>
      <c r="BE124" s="686">
        <v>483667</v>
      </c>
      <c r="BF124" s="682">
        <f t="shared" si="136"/>
        <v>48828</v>
      </c>
      <c r="BG124" s="683">
        <f t="shared" si="137"/>
        <v>0.11228983600826972</v>
      </c>
      <c r="BH124" s="684"/>
      <c r="BI124" s="684"/>
      <c r="BJ124" s="684"/>
      <c r="BK124" s="684"/>
      <c r="BL124" s="685">
        <f t="shared" si="90"/>
        <v>483667</v>
      </c>
      <c r="BM124" s="685">
        <f t="shared" si="138"/>
        <v>43298.628979999979</v>
      </c>
      <c r="BN124" s="685">
        <v>535364</v>
      </c>
      <c r="BO124" s="39">
        <f t="shared" si="86"/>
        <v>51697</v>
      </c>
      <c r="BP124" s="672">
        <f t="shared" si="139"/>
        <v>9.8323657713449877E-2</v>
      </c>
      <c r="BQ124" s="99">
        <f t="shared" si="87"/>
        <v>0.10688552247724158</v>
      </c>
      <c r="BR124" s="495"/>
      <c r="BV124" s="282">
        <f t="shared" si="140"/>
        <v>535364</v>
      </c>
      <c r="BW124" s="39">
        <f t="shared" si="141"/>
        <v>51697</v>
      </c>
      <c r="BX124" s="51">
        <f t="shared" si="142"/>
        <v>0.10688552247724158</v>
      </c>
    </row>
    <row r="125" spans="1:237" ht="18" customHeight="1">
      <c r="A125" s="316" t="s">
        <v>143</v>
      </c>
      <c r="B125" s="326">
        <v>40491</v>
      </c>
      <c r="C125" s="326">
        <v>46933</v>
      </c>
      <c r="D125" s="327">
        <f t="shared" si="143"/>
        <v>6442</v>
      </c>
      <c r="E125" s="356">
        <f t="shared" si="144"/>
        <v>0.15909708330246228</v>
      </c>
      <c r="F125" s="10">
        <v>56068</v>
      </c>
      <c r="G125" s="10">
        <f t="shared" si="145"/>
        <v>9135</v>
      </c>
      <c r="H125" s="14">
        <f t="shared" si="146"/>
        <v>0.19463916647135279</v>
      </c>
      <c r="I125" s="10">
        <v>50544</v>
      </c>
      <c r="J125" s="10">
        <f t="shared" si="147"/>
        <v>-5524</v>
      </c>
      <c r="K125" s="14">
        <f t="shared" si="148"/>
        <v>-9.8523221802097452E-2</v>
      </c>
      <c r="L125" s="52">
        <v>50861</v>
      </c>
      <c r="M125" s="24">
        <v>15085</v>
      </c>
      <c r="N125" s="37">
        <v>0.29845283317505539</v>
      </c>
      <c r="O125" s="52">
        <v>51581</v>
      </c>
      <c r="P125" s="52">
        <f t="shared" si="149"/>
        <v>720</v>
      </c>
      <c r="Q125" s="58">
        <f>P125/L125</f>
        <v>1.4156229724150135E-2</v>
      </c>
      <c r="R125" s="52">
        <v>61266</v>
      </c>
      <c r="S125" s="52">
        <f t="shared" si="150"/>
        <v>9685</v>
      </c>
      <c r="T125" s="58">
        <f t="shared" si="151"/>
        <v>0.18776293596479324</v>
      </c>
      <c r="U125" s="52">
        <v>62636</v>
      </c>
      <c r="V125" s="52">
        <f t="shared" si="160"/>
        <v>1370</v>
      </c>
      <c r="W125" s="58">
        <f t="shared" si="152"/>
        <v>2.2361505565892992E-2</v>
      </c>
      <c r="X125" s="166">
        <v>62770</v>
      </c>
      <c r="Y125" s="52">
        <f t="shared" si="128"/>
        <v>134</v>
      </c>
      <c r="Z125" s="95">
        <f t="shared" si="153"/>
        <v>2.1393447857462164E-3</v>
      </c>
      <c r="AA125" s="202">
        <v>62070</v>
      </c>
      <c r="AB125" s="172">
        <f t="shared" si="129"/>
        <v>-700</v>
      </c>
      <c r="AC125" s="100">
        <f t="shared" si="130"/>
        <v>-1.1151824119802454E-2</v>
      </c>
      <c r="AD125" s="65">
        <v>62070</v>
      </c>
      <c r="AE125" s="65"/>
      <c r="AF125" s="62">
        <v>62070</v>
      </c>
      <c r="AG125" s="52">
        <f t="shared" si="131"/>
        <v>0</v>
      </c>
      <c r="AH125" s="58">
        <f t="shared" si="132"/>
        <v>0</v>
      </c>
      <c r="AI125" s="50">
        <v>62070</v>
      </c>
      <c r="AJ125" s="245">
        <v>62070</v>
      </c>
      <c r="AK125" s="245">
        <v>63436</v>
      </c>
      <c r="AM125" s="258">
        <f t="shared" si="133"/>
        <v>63436</v>
      </c>
      <c r="AN125" s="27">
        <v>62070</v>
      </c>
      <c r="AO125" s="27">
        <v>62070</v>
      </c>
      <c r="AP125" s="65"/>
      <c r="AQ125" s="65"/>
      <c r="AR125" s="78">
        <f t="shared" si="154"/>
        <v>0</v>
      </c>
      <c r="AS125" s="78">
        <f t="shared" si="155"/>
        <v>66420</v>
      </c>
      <c r="AT125" s="78">
        <f t="shared" si="156"/>
        <v>4350</v>
      </c>
      <c r="AU125" s="99">
        <f t="shared" si="157"/>
        <v>7.008216529724505E-2</v>
      </c>
      <c r="AV125" s="78">
        <f t="shared" si="134"/>
        <v>4350</v>
      </c>
      <c r="AW125" s="262">
        <f t="shared" si="135"/>
        <v>7.008216529724505E-2</v>
      </c>
      <c r="AX125" s="258">
        <v>62920</v>
      </c>
      <c r="AY125" s="52">
        <f t="shared" si="88"/>
        <v>850</v>
      </c>
      <c r="AZ125" s="58">
        <f t="shared" si="89"/>
        <v>1.3694216207507652E-2</v>
      </c>
      <c r="BA125" s="624">
        <v>66420</v>
      </c>
      <c r="BB125" s="680">
        <v>66420</v>
      </c>
      <c r="BC125" s="680">
        <f t="shared" si="158"/>
        <v>0</v>
      </c>
      <c r="BD125" s="681">
        <f t="shared" si="159"/>
        <v>0</v>
      </c>
      <c r="BE125" s="686">
        <f>64181</f>
        <v>64181</v>
      </c>
      <c r="BF125" s="682">
        <f t="shared" si="136"/>
        <v>1261</v>
      </c>
      <c r="BG125" s="683">
        <f t="shared" si="137"/>
        <v>2.0041322314049585E-2</v>
      </c>
      <c r="BH125" s="684"/>
      <c r="BI125" s="684"/>
      <c r="BJ125" s="684"/>
      <c r="BK125" s="684"/>
      <c r="BL125" s="685">
        <f t="shared" si="90"/>
        <v>64181</v>
      </c>
      <c r="BM125" s="685">
        <f t="shared" si="138"/>
        <v>-2239</v>
      </c>
      <c r="BN125" s="685">
        <v>64955</v>
      </c>
      <c r="BO125" s="39">
        <f t="shared" si="86"/>
        <v>774</v>
      </c>
      <c r="BP125" s="672">
        <f t="shared" si="139"/>
        <v>-3.3709725986148749E-2</v>
      </c>
      <c r="BQ125" s="99">
        <f t="shared" si="87"/>
        <v>1.2059643819822066E-2</v>
      </c>
      <c r="BR125" s="39">
        <v>54</v>
      </c>
      <c r="BU125" s="50">
        <v>0</v>
      </c>
      <c r="BV125" s="282">
        <f t="shared" si="140"/>
        <v>65009</v>
      </c>
      <c r="BW125" s="39">
        <f t="shared" si="141"/>
        <v>828</v>
      </c>
      <c r="BX125" s="51">
        <f t="shared" si="142"/>
        <v>1.290101431887942E-2</v>
      </c>
    </row>
    <row r="126" spans="1:237" s="53" customFormat="1" ht="18" customHeight="1">
      <c r="A126" s="53" t="s">
        <v>21</v>
      </c>
      <c r="B126" s="327">
        <f>23692+388</f>
        <v>24080</v>
      </c>
      <c r="C126" s="327">
        <f>26491+111</f>
        <v>26602</v>
      </c>
      <c r="D126" s="327">
        <f t="shared" si="143"/>
        <v>2522</v>
      </c>
      <c r="E126" s="356">
        <f t="shared" si="144"/>
        <v>0.10473421926910299</v>
      </c>
      <c r="F126" s="590">
        <f>25904+271</f>
        <v>26175</v>
      </c>
      <c r="G126" s="590">
        <f t="shared" si="145"/>
        <v>-427</v>
      </c>
      <c r="H126" s="276">
        <f t="shared" si="146"/>
        <v>-1.6051424704909407E-2</v>
      </c>
      <c r="I126" s="590">
        <f>25699+268</f>
        <v>25967</v>
      </c>
      <c r="J126" s="590">
        <f t="shared" si="147"/>
        <v>-208</v>
      </c>
      <c r="K126" s="276">
        <f t="shared" si="148"/>
        <v>-7.9465138490926457E-3</v>
      </c>
      <c r="L126" s="155">
        <v>27216</v>
      </c>
      <c r="M126" s="24">
        <v>1249</v>
      </c>
      <c r="N126" s="37">
        <v>4.8099510917703238E-2</v>
      </c>
      <c r="O126" s="155">
        <v>30173</v>
      </c>
      <c r="P126" s="155">
        <f t="shared" si="149"/>
        <v>2957</v>
      </c>
      <c r="Q126" s="602">
        <f>P126/L126</f>
        <v>0.10864932392710171</v>
      </c>
      <c r="R126" s="62">
        <v>34838</v>
      </c>
      <c r="S126" s="155">
        <f t="shared" si="150"/>
        <v>4665</v>
      </c>
      <c r="T126" s="602">
        <f t="shared" si="151"/>
        <v>0.15460842475060485</v>
      </c>
      <c r="U126" s="62">
        <v>42677</v>
      </c>
      <c r="V126" s="155">
        <f t="shared" si="160"/>
        <v>7839</v>
      </c>
      <c r="W126" s="602">
        <f t="shared" si="152"/>
        <v>0.22501291692978931</v>
      </c>
      <c r="X126" s="166">
        <v>44983</v>
      </c>
      <c r="Y126" s="62">
        <f t="shared" si="128"/>
        <v>2306</v>
      </c>
      <c r="Z126" s="95">
        <f t="shared" si="153"/>
        <v>5.4033788691801206E-2</v>
      </c>
      <c r="AA126" s="202">
        <v>45168</v>
      </c>
      <c r="AB126" s="591">
        <f t="shared" si="129"/>
        <v>185</v>
      </c>
      <c r="AC126" s="592">
        <f t="shared" si="130"/>
        <v>4.1126647844741343E-3</v>
      </c>
      <c r="AD126" s="528">
        <v>39904</v>
      </c>
      <c r="AE126" s="528">
        <v>840</v>
      </c>
      <c r="AF126" s="62">
        <v>39573</v>
      </c>
      <c r="AG126" s="62">
        <f t="shared" si="131"/>
        <v>-5595</v>
      </c>
      <c r="AH126" s="241">
        <f t="shared" si="132"/>
        <v>-0.12387088204038257</v>
      </c>
      <c r="AI126" s="528">
        <f>AD126-24</f>
        <v>39880</v>
      </c>
      <c r="AJ126" s="246">
        <f>AF126+281</f>
        <v>39854</v>
      </c>
      <c r="AK126" s="245">
        <v>44046</v>
      </c>
      <c r="AL126" s="245"/>
      <c r="AM126" s="202">
        <f t="shared" si="133"/>
        <v>44046</v>
      </c>
      <c r="AN126" s="527">
        <v>35764</v>
      </c>
      <c r="AO126" s="527">
        <v>36757</v>
      </c>
      <c r="AP126" s="246">
        <v>3805</v>
      </c>
      <c r="AQ126" s="527">
        <v>94</v>
      </c>
      <c r="AR126" s="78">
        <f t="shared" si="154"/>
        <v>3899</v>
      </c>
      <c r="AS126" s="78">
        <f t="shared" si="155"/>
        <v>39342.0893</v>
      </c>
      <c r="AT126" s="78">
        <f t="shared" si="156"/>
        <v>-230.91070000000036</v>
      </c>
      <c r="AU126" s="262">
        <f t="shared" si="157"/>
        <v>-5.8350567305991549E-3</v>
      </c>
      <c r="AV126" s="78">
        <f t="shared" si="134"/>
        <v>-230.91070000000036</v>
      </c>
      <c r="AW126" s="262">
        <f t="shared" si="135"/>
        <v>-5.8350567305991549E-3</v>
      </c>
      <c r="AX126" s="205">
        <f>36097</f>
        <v>36097</v>
      </c>
      <c r="AY126" s="62">
        <f t="shared" si="88"/>
        <v>-3476</v>
      </c>
      <c r="AZ126" s="241">
        <f t="shared" si="89"/>
        <v>-8.78376670962525E-2</v>
      </c>
      <c r="BA126" s="625">
        <f>35165.71483+489.4429</f>
        <v>35655.157729999999</v>
      </c>
      <c r="BB126" s="680">
        <f>35088.77918+354.31012</f>
        <v>35443.0893</v>
      </c>
      <c r="BC126" s="680">
        <f t="shared" si="158"/>
        <v>212.06842999999935</v>
      </c>
      <c r="BD126" s="681">
        <f t="shared" si="159"/>
        <v>5.9477630587388055E-3</v>
      </c>
      <c r="BE126" s="687">
        <f>35049</f>
        <v>35049</v>
      </c>
      <c r="BF126" s="682">
        <f t="shared" si="136"/>
        <v>-1048</v>
      </c>
      <c r="BG126" s="683">
        <f t="shared" si="137"/>
        <v>-2.9032883619137324E-2</v>
      </c>
      <c r="BH126" s="684">
        <v>2947</v>
      </c>
      <c r="BI126" s="684"/>
      <c r="BJ126" s="684"/>
      <c r="BK126" s="684"/>
      <c r="BL126" s="685">
        <f t="shared" si="90"/>
        <v>37996</v>
      </c>
      <c r="BM126" s="685">
        <f t="shared" si="138"/>
        <v>-1346.0892999999996</v>
      </c>
      <c r="BN126" s="685">
        <v>40047</v>
      </c>
      <c r="BO126" s="39">
        <f t="shared" si="86"/>
        <v>4998</v>
      </c>
      <c r="BP126" s="672">
        <f t="shared" si="139"/>
        <v>-3.4214992745695373E-2</v>
      </c>
      <c r="BQ126" s="99">
        <f t="shared" si="87"/>
        <v>0.1426003594967046</v>
      </c>
      <c r="BR126" s="656">
        <v>2616</v>
      </c>
      <c r="BU126" s="53">
        <v>2.6</v>
      </c>
      <c r="BV126" s="282">
        <f t="shared" si="140"/>
        <v>42665.599999999999</v>
      </c>
      <c r="BW126" s="39">
        <f t="shared" si="141"/>
        <v>4669.5999999999985</v>
      </c>
      <c r="BX126" s="51">
        <f t="shared" si="142"/>
        <v>0.12289714706811239</v>
      </c>
    </row>
    <row r="127" spans="1:237" s="63" customFormat="1" ht="18" customHeight="1">
      <c r="A127" s="63" t="s">
        <v>144</v>
      </c>
      <c r="B127" s="330" t="s">
        <v>78</v>
      </c>
      <c r="C127" s="330" t="s">
        <v>78</v>
      </c>
      <c r="D127" s="330" t="s">
        <v>78</v>
      </c>
      <c r="E127" s="330" t="s">
        <v>78</v>
      </c>
      <c r="F127" s="330" t="s">
        <v>78</v>
      </c>
      <c r="G127" s="330" t="s">
        <v>78</v>
      </c>
      <c r="H127" s="330" t="s">
        <v>78</v>
      </c>
      <c r="I127" s="330" t="s">
        <v>78</v>
      </c>
      <c r="J127" s="330" t="s">
        <v>78</v>
      </c>
      <c r="K127" s="330" t="s">
        <v>78</v>
      </c>
      <c r="L127" s="69">
        <v>0</v>
      </c>
      <c r="M127" s="24">
        <v>0</v>
      </c>
      <c r="N127" s="37" t="s">
        <v>78</v>
      </c>
      <c r="O127" s="69">
        <v>0</v>
      </c>
      <c r="P127" s="69">
        <f t="shared" si="149"/>
        <v>0</v>
      </c>
      <c r="Q127" s="70" t="s">
        <v>78</v>
      </c>
      <c r="R127" s="69">
        <v>0</v>
      </c>
      <c r="S127" s="69">
        <f t="shared" si="150"/>
        <v>0</v>
      </c>
      <c r="T127" s="70" t="s">
        <v>78</v>
      </c>
      <c r="U127" s="71">
        <v>0</v>
      </c>
      <c r="V127" s="69">
        <f t="shared" si="160"/>
        <v>0</v>
      </c>
      <c r="W127" s="70" t="s">
        <v>78</v>
      </c>
      <c r="X127" s="176">
        <v>1719</v>
      </c>
      <c r="Y127" s="52">
        <f t="shared" si="128"/>
        <v>1719</v>
      </c>
      <c r="Z127" s="70" t="s">
        <v>78</v>
      </c>
      <c r="AA127" s="202">
        <v>3460</v>
      </c>
      <c r="AB127" s="172">
        <f t="shared" si="129"/>
        <v>1741</v>
      </c>
      <c r="AC127" s="100">
        <f t="shared" si="130"/>
        <v>1.0127981384525888</v>
      </c>
      <c r="AD127" s="80">
        <v>1660</v>
      </c>
      <c r="AE127" s="80">
        <v>1976</v>
      </c>
      <c r="AF127" s="62">
        <v>1605</v>
      </c>
      <c r="AG127" s="52">
        <f t="shared" si="131"/>
        <v>-1855</v>
      </c>
      <c r="AH127" s="58">
        <f t="shared" si="132"/>
        <v>-0.53612716763005785</v>
      </c>
      <c r="AI127" s="63">
        <v>1660</v>
      </c>
      <c r="AJ127" s="245">
        <v>3636</v>
      </c>
      <c r="AK127" s="245">
        <v>1662</v>
      </c>
      <c r="AM127" s="258">
        <f t="shared" si="133"/>
        <v>1662</v>
      </c>
      <c r="AN127" s="27">
        <v>1468</v>
      </c>
      <c r="AO127" s="27">
        <v>3637</v>
      </c>
      <c r="AP127" s="80"/>
      <c r="AQ127" s="80"/>
      <c r="AR127" s="78">
        <f t="shared" si="154"/>
        <v>0</v>
      </c>
      <c r="AS127" s="78">
        <f t="shared" si="155"/>
        <v>1303.9581000000001</v>
      </c>
      <c r="AT127" s="78">
        <f t="shared" si="156"/>
        <v>-301.04189999999994</v>
      </c>
      <c r="AU127" s="99">
        <f t="shared" si="157"/>
        <v>-0.18756504672897192</v>
      </c>
      <c r="AV127" s="78">
        <f t="shared" si="134"/>
        <v>-301.04189999999994</v>
      </c>
      <c r="AW127" s="262">
        <f t="shared" si="135"/>
        <v>-0.18756504672897192</v>
      </c>
      <c r="AX127" s="365">
        <v>3490</v>
      </c>
      <c r="AY127" s="52">
        <f t="shared" si="88"/>
        <v>1885</v>
      </c>
      <c r="AZ127" s="58">
        <f t="shared" si="89"/>
        <v>1.1744548286604362</v>
      </c>
      <c r="BA127" s="624">
        <v>1321</v>
      </c>
      <c r="BB127" s="680">
        <v>1303.9581000000001</v>
      </c>
      <c r="BC127" s="680">
        <f t="shared" si="158"/>
        <v>17.041899999999941</v>
      </c>
      <c r="BD127" s="681">
        <f t="shared" si="159"/>
        <v>1.2900757002270962E-2</v>
      </c>
      <c r="BE127" s="687">
        <f>1076+2414</f>
        <v>3490</v>
      </c>
      <c r="BF127" s="682">
        <f t="shared" si="136"/>
        <v>0</v>
      </c>
      <c r="BG127" s="683">
        <f t="shared" si="137"/>
        <v>0</v>
      </c>
      <c r="BH127" s="684"/>
      <c r="BI127" s="684"/>
      <c r="BJ127" s="684"/>
      <c r="BK127" s="684"/>
      <c r="BL127" s="685">
        <f t="shared" si="90"/>
        <v>3490</v>
      </c>
      <c r="BM127" s="685">
        <f t="shared" si="138"/>
        <v>2186.0419000000002</v>
      </c>
      <c r="BN127" s="685">
        <v>3495</v>
      </c>
      <c r="BO127" s="39">
        <f t="shared" si="86"/>
        <v>5</v>
      </c>
      <c r="BP127" s="672">
        <f t="shared" si="139"/>
        <v>1.6764663680527772</v>
      </c>
      <c r="BQ127" s="99">
        <f t="shared" si="87"/>
        <v>1.4326647564469914E-3</v>
      </c>
      <c r="BR127" s="40"/>
      <c r="BV127" s="282">
        <f t="shared" si="140"/>
        <v>3495</v>
      </c>
      <c r="BW127" s="39">
        <f t="shared" si="141"/>
        <v>5</v>
      </c>
      <c r="BX127" s="51">
        <f t="shared" si="142"/>
        <v>1.4326647564469914E-3</v>
      </c>
    </row>
    <row r="128" spans="1:237" s="63" customFormat="1" ht="18" customHeight="1">
      <c r="A128" s="253" t="s">
        <v>371</v>
      </c>
      <c r="B128" s="326">
        <v>2023</v>
      </c>
      <c r="C128" s="326">
        <f>1854+42</f>
        <v>1896</v>
      </c>
      <c r="D128" s="327">
        <f t="shared" si="143"/>
        <v>-127</v>
      </c>
      <c r="E128" s="356">
        <f t="shared" si="144"/>
        <v>-6.2778052397429562E-2</v>
      </c>
      <c r="F128" s="6">
        <f>1736+431</f>
        <v>2167</v>
      </c>
      <c r="G128" s="10">
        <f t="shared" si="145"/>
        <v>271</v>
      </c>
      <c r="H128" s="14">
        <f t="shared" si="146"/>
        <v>0.1429324894514768</v>
      </c>
      <c r="I128" s="6">
        <f>1691+327</f>
        <v>2018</v>
      </c>
      <c r="J128" s="10">
        <f t="shared" si="147"/>
        <v>-149</v>
      </c>
      <c r="K128" s="14">
        <f t="shared" si="148"/>
        <v>-6.8758652514997687E-2</v>
      </c>
      <c r="L128" s="69"/>
      <c r="M128" s="24"/>
      <c r="N128" s="37"/>
      <c r="O128" s="69"/>
      <c r="P128" s="69"/>
      <c r="Q128" s="70"/>
      <c r="R128" s="69"/>
      <c r="S128" s="69"/>
      <c r="T128" s="70"/>
      <c r="U128" s="71"/>
      <c r="V128" s="69"/>
      <c r="W128" s="70"/>
      <c r="X128" s="176"/>
      <c r="Y128" s="52"/>
      <c r="Z128" s="70"/>
      <c r="AA128" s="202"/>
      <c r="AB128" s="172"/>
      <c r="AC128" s="100"/>
      <c r="AD128" s="80"/>
      <c r="AE128" s="80"/>
      <c r="AF128" s="62"/>
      <c r="AG128" s="62"/>
      <c r="AH128" s="241"/>
      <c r="AI128" s="53"/>
      <c r="AJ128" s="245"/>
      <c r="AK128" s="245"/>
      <c r="AL128" s="53"/>
      <c r="AM128" s="202"/>
      <c r="AN128" s="527"/>
      <c r="AO128" s="527"/>
      <c r="AP128" s="528"/>
      <c r="AQ128" s="528"/>
      <c r="AR128" s="78">
        <f t="shared" si="154"/>
        <v>0</v>
      </c>
      <c r="AS128" s="78">
        <f t="shared" si="155"/>
        <v>0</v>
      </c>
      <c r="AT128" s="78">
        <f t="shared" si="156"/>
        <v>0</v>
      </c>
      <c r="AU128" s="99" t="e">
        <f t="shared" si="157"/>
        <v>#DIV/0!</v>
      </c>
      <c r="AV128" s="78"/>
      <c r="AW128" s="262"/>
      <c r="AX128" s="155"/>
      <c r="AY128" s="62">
        <f t="shared" si="88"/>
        <v>0</v>
      </c>
      <c r="AZ128" s="241" t="e">
        <f t="shared" si="89"/>
        <v>#DIV/0!</v>
      </c>
      <c r="BA128" s="241"/>
      <c r="BB128" s="683"/>
      <c r="BC128" s="680">
        <f t="shared" si="158"/>
        <v>0</v>
      </c>
      <c r="BD128" s="681"/>
      <c r="BE128" s="688"/>
      <c r="BF128" s="682">
        <f t="shared" si="136"/>
        <v>0</v>
      </c>
      <c r="BG128" s="683" t="e">
        <f t="shared" si="137"/>
        <v>#DIV/0!</v>
      </c>
      <c r="BH128" s="684"/>
      <c r="BI128" s="684"/>
      <c r="BJ128" s="684"/>
      <c r="BK128" s="684"/>
      <c r="BL128" s="685">
        <f t="shared" si="90"/>
        <v>0</v>
      </c>
      <c r="BM128" s="685">
        <f t="shared" si="138"/>
        <v>0</v>
      </c>
      <c r="BN128" s="685"/>
      <c r="BO128" s="39">
        <f t="shared" si="86"/>
        <v>0</v>
      </c>
      <c r="BP128" s="51" t="e">
        <f t="shared" si="139"/>
        <v>#DIV/0!</v>
      </c>
      <c r="BQ128" s="99" t="e">
        <f t="shared" si="87"/>
        <v>#DIV/0!</v>
      </c>
      <c r="BR128" s="40">
        <v>833</v>
      </c>
      <c r="BU128" s="63">
        <v>0.25</v>
      </c>
      <c r="BV128" s="282">
        <f t="shared" si="140"/>
        <v>833.25</v>
      </c>
      <c r="BW128" s="39">
        <f t="shared" si="141"/>
        <v>833.25</v>
      </c>
      <c r="BX128" s="51" t="e">
        <f t="shared" si="142"/>
        <v>#DIV/0!</v>
      </c>
    </row>
    <row r="129" spans="1:76" s="79" customFormat="1" ht="18" customHeight="1">
      <c r="A129" s="53" t="s">
        <v>180</v>
      </c>
      <c r="B129" s="609" t="s">
        <v>78</v>
      </c>
      <c r="C129" s="609" t="s">
        <v>78</v>
      </c>
      <c r="D129" s="609" t="s">
        <v>78</v>
      </c>
      <c r="E129" s="609" t="s">
        <v>78</v>
      </c>
      <c r="F129" s="609" t="s">
        <v>78</v>
      </c>
      <c r="G129" s="609" t="s">
        <v>78</v>
      </c>
      <c r="H129" s="609" t="s">
        <v>78</v>
      </c>
      <c r="I129" s="609" t="s">
        <v>78</v>
      </c>
      <c r="J129" s="609" t="s">
        <v>78</v>
      </c>
      <c r="K129" s="609" t="s">
        <v>78</v>
      </c>
      <c r="L129" s="155"/>
      <c r="M129" s="24"/>
      <c r="N129" s="37"/>
      <c r="O129" s="155"/>
      <c r="P129" s="155"/>
      <c r="Q129" s="37"/>
      <c r="R129" s="155"/>
      <c r="S129" s="155"/>
      <c r="T129" s="37"/>
      <c r="U129" s="610">
        <v>1281</v>
      </c>
      <c r="V129" s="155"/>
      <c r="W129" s="37"/>
      <c r="X129" s="166">
        <v>34981</v>
      </c>
      <c r="Y129" s="62">
        <f t="shared" si="128"/>
        <v>33700</v>
      </c>
      <c r="Z129" s="95">
        <f>Y129/U129</f>
        <v>26.307572209211553</v>
      </c>
      <c r="AA129" s="202">
        <v>38306</v>
      </c>
      <c r="AB129" s="591">
        <f t="shared" si="129"/>
        <v>3325</v>
      </c>
      <c r="AC129" s="592">
        <f t="shared" si="130"/>
        <v>9.5051599439695836E-2</v>
      </c>
      <c r="AD129" s="78">
        <v>28914</v>
      </c>
      <c r="AE129" s="78">
        <v>3286</v>
      </c>
      <c r="AF129" s="62">
        <v>31437</v>
      </c>
      <c r="AG129" s="62">
        <f t="shared" si="131"/>
        <v>-6869</v>
      </c>
      <c r="AH129" s="241">
        <f t="shared" si="132"/>
        <v>-0.17931916671017595</v>
      </c>
      <c r="AI129" s="78">
        <f>AD129-146</f>
        <v>28768</v>
      </c>
      <c r="AJ129" s="246">
        <f>AF129+276</f>
        <v>31713</v>
      </c>
      <c r="AK129" s="245">
        <v>29316</v>
      </c>
      <c r="AL129" s="260"/>
      <c r="AM129" s="202">
        <f t="shared" si="133"/>
        <v>29316</v>
      </c>
      <c r="AN129" s="527">
        <v>26203</v>
      </c>
      <c r="AO129" s="527">
        <v>27653</v>
      </c>
      <c r="AP129" s="246">
        <v>535</v>
      </c>
      <c r="AQ129" s="527"/>
      <c r="AR129" s="78">
        <f t="shared" si="154"/>
        <v>535</v>
      </c>
      <c r="AS129" s="78">
        <f t="shared" si="155"/>
        <v>27469.85614</v>
      </c>
      <c r="AT129" s="78">
        <f t="shared" si="156"/>
        <v>-3967.1438600000001</v>
      </c>
      <c r="AU129" s="262">
        <f t="shared" si="157"/>
        <v>-0.12619346184432356</v>
      </c>
      <c r="AV129" s="78">
        <f t="shared" si="134"/>
        <v>-3967.1438600000001</v>
      </c>
      <c r="AW129" s="262">
        <f t="shared" si="135"/>
        <v>-0.12619346184432356</v>
      </c>
      <c r="AX129" s="205">
        <f>27641+19850</f>
        <v>47491</v>
      </c>
      <c r="AY129" s="62">
        <f t="shared" si="88"/>
        <v>16054</v>
      </c>
      <c r="AZ129" s="241">
        <f t="shared" si="89"/>
        <v>0.5106721379266469</v>
      </c>
      <c r="BA129" s="624">
        <f>26454.38259+1438.07732</f>
        <v>27892.459910000001</v>
      </c>
      <c r="BB129" s="680">
        <f>25543.11958+1391.73656</f>
        <v>26934.85614</v>
      </c>
      <c r="BC129" s="680">
        <f t="shared" si="158"/>
        <v>957.60377000000153</v>
      </c>
      <c r="BD129" s="681">
        <f t="shared" si="159"/>
        <v>3.4331994133535763E-2</v>
      </c>
      <c r="BE129" s="689">
        <v>45839</v>
      </c>
      <c r="BF129" s="682">
        <f t="shared" si="136"/>
        <v>-1652</v>
      </c>
      <c r="BG129" s="683">
        <f t="shared" si="137"/>
        <v>-3.4785538312522374E-2</v>
      </c>
      <c r="BH129" s="684">
        <v>427</v>
      </c>
      <c r="BI129" s="684"/>
      <c r="BJ129" s="684"/>
      <c r="BK129" s="684"/>
      <c r="BL129" s="685">
        <f t="shared" si="90"/>
        <v>46266</v>
      </c>
      <c r="BM129" s="685">
        <f t="shared" si="138"/>
        <v>18796.14386</v>
      </c>
      <c r="BN129" s="685">
        <v>47782</v>
      </c>
      <c r="BO129" s="39">
        <f t="shared" si="86"/>
        <v>1943</v>
      </c>
      <c r="BP129" s="672">
        <f t="shared" si="139"/>
        <v>0.68424617020946654</v>
      </c>
      <c r="BQ129" s="99">
        <f t="shared" si="87"/>
        <v>4.2387486638015663E-2</v>
      </c>
      <c r="BR129" s="495">
        <v>392</v>
      </c>
      <c r="BU129" s="79">
        <v>2.1</v>
      </c>
      <c r="BV129" s="282">
        <f t="shared" si="140"/>
        <v>48176.1</v>
      </c>
      <c r="BW129" s="39">
        <f t="shared" si="141"/>
        <v>1910.0999999999985</v>
      </c>
      <c r="BX129" s="51">
        <f t="shared" si="142"/>
        <v>4.1285177019841753E-2</v>
      </c>
    </row>
    <row r="130" spans="1:76" ht="18" customHeight="1">
      <c r="A130" s="63" t="s">
        <v>133</v>
      </c>
      <c r="B130" s="330" t="s">
        <v>78</v>
      </c>
      <c r="C130" s="330" t="s">
        <v>78</v>
      </c>
      <c r="D130" s="330" t="s">
        <v>78</v>
      </c>
      <c r="E130" s="330" t="s">
        <v>78</v>
      </c>
      <c r="F130" s="330" t="s">
        <v>78</v>
      </c>
      <c r="G130" s="330" t="s">
        <v>78</v>
      </c>
      <c r="H130" s="330" t="s">
        <v>78</v>
      </c>
      <c r="I130" s="330" t="s">
        <v>78</v>
      </c>
      <c r="J130" s="330" t="s">
        <v>78</v>
      </c>
      <c r="K130" s="330" t="s">
        <v>78</v>
      </c>
      <c r="L130" s="69"/>
      <c r="M130" s="24"/>
      <c r="N130" s="37"/>
      <c r="O130" s="69"/>
      <c r="P130" s="69"/>
      <c r="Q130" s="70"/>
      <c r="R130" s="69"/>
      <c r="S130" s="69"/>
      <c r="T130" s="70"/>
      <c r="U130" s="71">
        <v>0</v>
      </c>
      <c r="V130" s="69"/>
      <c r="W130" s="70"/>
      <c r="X130" s="166">
        <v>0</v>
      </c>
      <c r="Y130" s="52">
        <f t="shared" si="128"/>
        <v>0</v>
      </c>
      <c r="Z130" s="70" t="s">
        <v>78</v>
      </c>
      <c r="AA130" s="202">
        <v>141700</v>
      </c>
      <c r="AB130" s="172">
        <f t="shared" si="129"/>
        <v>141700</v>
      </c>
      <c r="AC130" s="70" t="s">
        <v>78</v>
      </c>
      <c r="AD130" s="65">
        <v>149100</v>
      </c>
      <c r="AE130" s="65"/>
      <c r="AF130" s="62">
        <v>166568</v>
      </c>
      <c r="AG130" s="52">
        <f t="shared" si="131"/>
        <v>24868</v>
      </c>
      <c r="AH130" s="58">
        <f t="shared" si="132"/>
        <v>0.17549752999294282</v>
      </c>
      <c r="AI130" s="65">
        <f>AD130+23515</f>
        <v>172615</v>
      </c>
      <c r="AJ130" s="246">
        <f>AF130+23515</f>
        <v>190083</v>
      </c>
      <c r="AK130" s="245">
        <v>200600</v>
      </c>
      <c r="AM130" s="258">
        <f t="shared" si="133"/>
        <v>200600</v>
      </c>
      <c r="AN130" s="27">
        <v>179891</v>
      </c>
      <c r="AO130" s="27">
        <v>179891</v>
      </c>
      <c r="AP130" s="65"/>
      <c r="AQ130" s="65"/>
      <c r="AR130" s="78">
        <f t="shared" si="154"/>
        <v>0</v>
      </c>
      <c r="AS130" s="78">
        <f t="shared" si="155"/>
        <v>135239.86283999999</v>
      </c>
      <c r="AT130" s="78">
        <f t="shared" si="156"/>
        <v>-31328.137160000013</v>
      </c>
      <c r="AU130" s="99">
        <f t="shared" si="157"/>
        <v>-0.18808016641851985</v>
      </c>
      <c r="AV130" s="78">
        <f t="shared" si="134"/>
        <v>-31328.137160000013</v>
      </c>
      <c r="AW130" s="262">
        <f t="shared" si="135"/>
        <v>-0.18808016641851985</v>
      </c>
      <c r="AX130" s="205">
        <v>158017</v>
      </c>
      <c r="AY130" s="52">
        <f t="shared" si="88"/>
        <v>-8551</v>
      </c>
      <c r="AZ130" s="58">
        <f t="shared" si="89"/>
        <v>-5.1336391143556988E-2</v>
      </c>
      <c r="BA130" s="624">
        <v>145819.20480000001</v>
      </c>
      <c r="BB130" s="680">
        <v>135239.86283999999</v>
      </c>
      <c r="BC130" s="680">
        <f t="shared" si="158"/>
        <v>10579.34196000002</v>
      </c>
      <c r="BD130" s="681">
        <f t="shared" si="159"/>
        <v>7.2551088003190226E-2</v>
      </c>
      <c r="BE130" s="687">
        <v>150237</v>
      </c>
      <c r="BF130" s="682">
        <f t="shared" si="136"/>
        <v>-7780</v>
      </c>
      <c r="BG130" s="683">
        <f t="shared" si="137"/>
        <v>-4.9235208869931719E-2</v>
      </c>
      <c r="BH130" s="684"/>
      <c r="BI130" s="684"/>
      <c r="BJ130" s="684"/>
      <c r="BK130" s="684"/>
      <c r="BL130" s="685">
        <f t="shared" si="90"/>
        <v>150237</v>
      </c>
      <c r="BM130" s="685">
        <f t="shared" si="138"/>
        <v>14997.137160000013</v>
      </c>
      <c r="BN130" s="685">
        <v>109941</v>
      </c>
      <c r="BO130" s="39">
        <f t="shared" si="86"/>
        <v>-40296</v>
      </c>
      <c r="BP130" s="672">
        <f t="shared" si="139"/>
        <v>0.11089287466775144</v>
      </c>
      <c r="BQ130" s="99">
        <f t="shared" si="87"/>
        <v>-0.26821621837496756</v>
      </c>
      <c r="BV130" s="282">
        <f t="shared" si="140"/>
        <v>109941</v>
      </c>
      <c r="BW130" s="39">
        <f t="shared" si="141"/>
        <v>-40296</v>
      </c>
      <c r="BX130" s="51">
        <f t="shared" si="142"/>
        <v>-0.26821621837496756</v>
      </c>
    </row>
    <row r="131" spans="1:76" ht="18" customHeight="1">
      <c r="A131" s="63" t="s">
        <v>134</v>
      </c>
      <c r="B131" s="330" t="s">
        <v>78</v>
      </c>
      <c r="C131" s="330" t="s">
        <v>78</v>
      </c>
      <c r="D131" s="330" t="s">
        <v>78</v>
      </c>
      <c r="E131" s="330" t="s">
        <v>78</v>
      </c>
      <c r="F131" s="330" t="s">
        <v>78</v>
      </c>
      <c r="G131" s="330" t="s">
        <v>78</v>
      </c>
      <c r="H131" s="330" t="s">
        <v>78</v>
      </c>
      <c r="I131" s="330" t="s">
        <v>78</v>
      </c>
      <c r="J131" s="330" t="s">
        <v>78</v>
      </c>
      <c r="K131" s="330" t="s">
        <v>78</v>
      </c>
      <c r="L131" s="63"/>
      <c r="M131" s="63"/>
      <c r="N131" s="63"/>
      <c r="O131" s="63"/>
      <c r="P131" s="63"/>
      <c r="Q131" s="63"/>
      <c r="R131" s="63"/>
      <c r="S131" s="63"/>
      <c r="T131" s="63"/>
      <c r="U131" s="63">
        <v>0</v>
      </c>
      <c r="V131" s="63"/>
      <c r="W131" s="63"/>
      <c r="X131" s="176">
        <v>171</v>
      </c>
      <c r="Y131" s="52">
        <f t="shared" si="128"/>
        <v>171</v>
      </c>
      <c r="Z131" s="70" t="s">
        <v>78</v>
      </c>
      <c r="AA131" s="202">
        <v>75558</v>
      </c>
      <c r="AB131" s="172">
        <f t="shared" si="129"/>
        <v>75387</v>
      </c>
      <c r="AC131" s="100">
        <f>AB131/X131</f>
        <v>440.85964912280701</v>
      </c>
      <c r="AD131" s="65">
        <v>77431</v>
      </c>
      <c r="AE131" s="65"/>
      <c r="AF131" s="62">
        <v>93373</v>
      </c>
      <c r="AG131" s="52">
        <f t="shared" si="131"/>
        <v>17815</v>
      </c>
      <c r="AH131" s="58">
        <f t="shared" si="132"/>
        <v>0.23577913655734667</v>
      </c>
      <c r="AI131" s="65">
        <f>AD131+15851</f>
        <v>93282</v>
      </c>
      <c r="AJ131" s="246">
        <f>AF131+15851</f>
        <v>109224</v>
      </c>
      <c r="AK131" s="245">
        <v>87135</v>
      </c>
      <c r="AM131" s="258">
        <f t="shared" si="133"/>
        <v>87135</v>
      </c>
      <c r="AN131" s="27">
        <v>89171</v>
      </c>
      <c r="AO131" s="27">
        <v>89171</v>
      </c>
      <c r="AP131" s="65"/>
      <c r="AQ131" s="65"/>
      <c r="AR131" s="78">
        <f t="shared" si="154"/>
        <v>0</v>
      </c>
      <c r="AS131" s="78">
        <f t="shared" si="155"/>
        <v>95972.694640000002</v>
      </c>
      <c r="AT131" s="78">
        <f t="shared" si="156"/>
        <v>2599.6946400000015</v>
      </c>
      <c r="AU131" s="99">
        <f t="shared" si="157"/>
        <v>2.7842038276589608E-2</v>
      </c>
      <c r="AV131" s="78">
        <f t="shared" si="134"/>
        <v>2599.6946400000015</v>
      </c>
      <c r="AW131" s="262">
        <f t="shared" si="135"/>
        <v>2.7842038276589608E-2</v>
      </c>
      <c r="AX131" s="205">
        <v>93604</v>
      </c>
      <c r="AY131" s="52">
        <f t="shared" si="88"/>
        <v>231</v>
      </c>
      <c r="AZ131" s="58">
        <f t="shared" si="89"/>
        <v>2.4739485718569608E-3</v>
      </c>
      <c r="BA131" s="624">
        <v>96778.843150000001</v>
      </c>
      <c r="BB131" s="680">
        <v>95972.694640000002</v>
      </c>
      <c r="BC131" s="680">
        <f t="shared" si="158"/>
        <v>806.14850999999908</v>
      </c>
      <c r="BD131" s="681">
        <f t="shared" si="159"/>
        <v>8.3298010573501988E-3</v>
      </c>
      <c r="BE131" s="687">
        <v>88760</v>
      </c>
      <c r="BF131" s="682">
        <f t="shared" si="136"/>
        <v>-4844</v>
      </c>
      <c r="BG131" s="683">
        <f t="shared" si="137"/>
        <v>-5.1749925216871072E-2</v>
      </c>
      <c r="BH131" s="684"/>
      <c r="BI131" s="684"/>
      <c r="BJ131" s="684"/>
      <c r="BK131" s="684">
        <v>55</v>
      </c>
      <c r="BL131" s="685">
        <f t="shared" si="90"/>
        <v>88815</v>
      </c>
      <c r="BM131" s="685">
        <f t="shared" si="138"/>
        <v>-7157.6946400000015</v>
      </c>
      <c r="BN131" s="685">
        <v>91190</v>
      </c>
      <c r="BO131" s="39">
        <f t="shared" si="86"/>
        <v>2430</v>
      </c>
      <c r="BP131" s="672">
        <f t="shared" si="139"/>
        <v>-7.4580532169582117E-2</v>
      </c>
      <c r="BQ131" s="99">
        <f t="shared" si="87"/>
        <v>2.7377196935556555E-2</v>
      </c>
      <c r="BV131" s="282">
        <f t="shared" si="140"/>
        <v>91190</v>
      </c>
      <c r="BW131" s="39">
        <f t="shared" si="141"/>
        <v>2375</v>
      </c>
      <c r="BX131" s="51">
        <f t="shared" si="142"/>
        <v>2.674097843832686E-2</v>
      </c>
    </row>
    <row r="132" spans="1:76" s="130" customFormat="1" ht="18" customHeight="1" thickBot="1">
      <c r="A132" s="130" t="s">
        <v>184</v>
      </c>
      <c r="B132" s="335" t="s">
        <v>78</v>
      </c>
      <c r="C132" s="335" t="s">
        <v>78</v>
      </c>
      <c r="D132" s="335" t="s">
        <v>78</v>
      </c>
      <c r="E132" s="335" t="s">
        <v>78</v>
      </c>
      <c r="F132" s="335" t="s">
        <v>78</v>
      </c>
      <c r="G132" s="335" t="s">
        <v>78</v>
      </c>
      <c r="H132" s="335" t="s">
        <v>78</v>
      </c>
      <c r="I132" s="335" t="s">
        <v>78</v>
      </c>
      <c r="J132" s="335" t="s">
        <v>78</v>
      </c>
      <c r="K132" s="335" t="s">
        <v>78</v>
      </c>
      <c r="X132" s="177">
        <v>384</v>
      </c>
      <c r="Y132" s="75">
        <f t="shared" si="128"/>
        <v>384</v>
      </c>
      <c r="Z132" s="126"/>
      <c r="AA132" s="206"/>
      <c r="AB132" s="174">
        <f t="shared" si="129"/>
        <v>-384</v>
      </c>
      <c r="AC132" s="128">
        <f>AB132/X132</f>
        <v>-1</v>
      </c>
      <c r="AF132" s="156"/>
      <c r="AG132" s="156">
        <f>AF132-AA132</f>
        <v>0</v>
      </c>
      <c r="AH132" s="249" t="e">
        <f>AG132/AA132</f>
        <v>#DIV/0!</v>
      </c>
      <c r="AJ132" s="130">
        <v>0</v>
      </c>
      <c r="AM132" s="202">
        <f t="shared" si="133"/>
        <v>0</v>
      </c>
      <c r="AO132" s="79"/>
      <c r="AP132" s="546"/>
      <c r="AQ132" s="546"/>
      <c r="AR132" s="78">
        <f t="shared" si="154"/>
        <v>0</v>
      </c>
      <c r="AS132" s="78">
        <f t="shared" si="155"/>
        <v>1380</v>
      </c>
      <c r="AT132" s="317">
        <f t="shared" si="156"/>
        <v>1380</v>
      </c>
      <c r="AU132" s="129" t="e">
        <f t="shared" si="157"/>
        <v>#DIV/0!</v>
      </c>
      <c r="AV132" s="78"/>
      <c r="AW132" s="262"/>
      <c r="AX132" s="156"/>
      <c r="AY132" s="156">
        <f t="shared" si="88"/>
        <v>0</v>
      </c>
      <c r="AZ132" s="249" t="e">
        <f t="shared" si="89"/>
        <v>#DIV/0!</v>
      </c>
      <c r="BA132" s="624">
        <v>1380</v>
      </c>
      <c r="BB132" s="680">
        <v>1380</v>
      </c>
      <c r="BC132" s="680">
        <f t="shared" si="158"/>
        <v>0</v>
      </c>
      <c r="BD132" s="681">
        <f t="shared" si="159"/>
        <v>0</v>
      </c>
      <c r="BE132" s="690"/>
      <c r="BF132" s="690">
        <f t="shared" si="136"/>
        <v>0</v>
      </c>
      <c r="BG132" s="691" t="e">
        <f t="shared" si="137"/>
        <v>#DIV/0!</v>
      </c>
      <c r="BH132" s="692"/>
      <c r="BI132" s="692"/>
      <c r="BJ132" s="692"/>
      <c r="BK132" s="692"/>
      <c r="BL132" s="693">
        <f t="shared" si="90"/>
        <v>0</v>
      </c>
      <c r="BM132" s="693">
        <f t="shared" si="138"/>
        <v>-1380</v>
      </c>
      <c r="BN132" s="693">
        <v>0</v>
      </c>
      <c r="BO132" s="39">
        <f t="shared" si="86"/>
        <v>0</v>
      </c>
      <c r="BP132" s="673">
        <f t="shared" si="139"/>
        <v>-1</v>
      </c>
      <c r="BQ132" s="99" t="e">
        <f t="shared" si="87"/>
        <v>#DIV/0!</v>
      </c>
      <c r="BR132" s="496"/>
      <c r="BV132" s="282">
        <f t="shared" si="140"/>
        <v>0</v>
      </c>
      <c r="BW132" s="39">
        <f t="shared" si="141"/>
        <v>0</v>
      </c>
      <c r="BX132" s="51" t="e">
        <f t="shared" si="142"/>
        <v>#DIV/0!</v>
      </c>
    </row>
    <row r="133" spans="1:76" s="13" customFormat="1" ht="18" customHeight="1">
      <c r="A133" s="64" t="s">
        <v>59</v>
      </c>
      <c r="B133" s="12">
        <f t="shared" ref="B133:I133" si="161">SUM(B120:B132)</f>
        <v>759641</v>
      </c>
      <c r="C133" s="12">
        <f t="shared" si="161"/>
        <v>980005</v>
      </c>
      <c r="D133" s="25">
        <f t="shared" si="143"/>
        <v>220364</v>
      </c>
      <c r="E133" s="363">
        <f t="shared" si="144"/>
        <v>0.29008966077397086</v>
      </c>
      <c r="F133" s="12">
        <f t="shared" si="161"/>
        <v>955185</v>
      </c>
      <c r="G133" s="12">
        <f t="shared" si="145"/>
        <v>-24820</v>
      </c>
      <c r="H133" s="15">
        <f t="shared" si="146"/>
        <v>-2.5326401395911247E-2</v>
      </c>
      <c r="I133" s="12">
        <f t="shared" si="161"/>
        <v>938612</v>
      </c>
      <c r="J133" s="12">
        <f t="shared" si="147"/>
        <v>-16573</v>
      </c>
      <c r="K133" s="15">
        <f t="shared" si="148"/>
        <v>-1.7350565597240325E-2</v>
      </c>
      <c r="L133" s="12">
        <f>SUM(L120:L132)</f>
        <v>1050028</v>
      </c>
      <c r="M133" s="25">
        <v>126895</v>
      </c>
      <c r="N133" s="38">
        <v>0.13872733156373401</v>
      </c>
      <c r="O133" s="12">
        <f>SUM(O120:O132)+34000</f>
        <v>1145955</v>
      </c>
      <c r="P133" s="12">
        <f>O133-L133</f>
        <v>95927</v>
      </c>
      <c r="Q133" s="36">
        <f>P133/L133</f>
        <v>9.1356611442742486E-2</v>
      </c>
      <c r="R133" s="12">
        <f>SUM(R120:R132)</f>
        <v>1225569</v>
      </c>
      <c r="S133" s="12">
        <f t="shared" si="150"/>
        <v>79614</v>
      </c>
      <c r="T133" s="36">
        <f>S133/O133</f>
        <v>6.9473932222469476E-2</v>
      </c>
      <c r="U133" s="12">
        <f>SUM(U120:U132)</f>
        <v>1285587</v>
      </c>
      <c r="V133" s="12">
        <f t="shared" ref="V133" si="162">SUM(V121:V126)</f>
        <v>58737</v>
      </c>
      <c r="W133" s="36">
        <f>V133/R133</f>
        <v>4.7926310146552339E-2</v>
      </c>
      <c r="X133" s="181">
        <f>SUM(X120:X132)</f>
        <v>1447463</v>
      </c>
      <c r="Y133" s="12">
        <f t="shared" si="128"/>
        <v>161876</v>
      </c>
      <c r="Z133" s="98">
        <f>Y133/U133</f>
        <v>0.12591602124165849</v>
      </c>
      <c r="AA133" s="12">
        <f>SUM(AA120:AA132)</f>
        <v>1431098</v>
      </c>
      <c r="AB133" s="165">
        <f t="shared" si="129"/>
        <v>-16365</v>
      </c>
      <c r="AC133" s="97">
        <f>AB133/X133</f>
        <v>-1.1305988477771107E-2</v>
      </c>
      <c r="AD133" s="12">
        <f>SUM(AD120:AD132)</f>
        <v>1359697</v>
      </c>
      <c r="AE133" s="12">
        <f>SUM(AE120:AE132)</f>
        <v>20835</v>
      </c>
      <c r="AF133" s="12">
        <f>SUM(AF120:AF132)</f>
        <v>1406984</v>
      </c>
      <c r="AG133" s="12">
        <f>AF133-AA133</f>
        <v>-24114</v>
      </c>
      <c r="AH133" s="36">
        <f>AG133/AA133</f>
        <v>-1.6849999091606584E-2</v>
      </c>
      <c r="AJ133" s="12">
        <f>SUM(AJ120:AJ132)</f>
        <v>1419588</v>
      </c>
      <c r="AK133" s="12">
        <f>SUM(AK120:AK132)</f>
        <v>1520467</v>
      </c>
      <c r="AM133" s="12">
        <f t="shared" ref="AM133:AR133" si="163">SUM(AM120:AM132)</f>
        <v>1520467</v>
      </c>
      <c r="AN133" s="12">
        <f t="shared" si="163"/>
        <v>1503960</v>
      </c>
      <c r="AO133" s="12">
        <f t="shared" si="163"/>
        <v>1523404</v>
      </c>
      <c r="AP133" s="28">
        <f t="shared" si="163"/>
        <v>4371</v>
      </c>
      <c r="AQ133" s="28">
        <f t="shared" si="163"/>
        <v>111</v>
      </c>
      <c r="AR133" s="342">
        <f t="shared" si="163"/>
        <v>4482</v>
      </c>
      <c r="AS133" s="548">
        <f>BB133+AR133</f>
        <v>1502121.8110200004</v>
      </c>
      <c r="AT133" s="78">
        <f t="shared" si="156"/>
        <v>95137.811020000372</v>
      </c>
      <c r="AU133" s="99">
        <f t="shared" si="157"/>
        <v>6.7618260776242209E-2</v>
      </c>
      <c r="AV133" s="12">
        <f>SUM(AV120:AV132)</f>
        <v>93757.811020000023</v>
      </c>
      <c r="AW133" s="97">
        <f>+AV133/AF133</f>
        <v>6.6637439388081185E-2</v>
      </c>
      <c r="AX133" s="12">
        <f>SUM(AX120:AX132)</f>
        <v>1522792</v>
      </c>
      <c r="AY133" s="52">
        <f t="shared" si="88"/>
        <v>115808</v>
      </c>
      <c r="AZ133" s="58">
        <f t="shared" si="89"/>
        <v>8.2309393710234088E-2</v>
      </c>
      <c r="BA133" s="58"/>
      <c r="BB133" s="65">
        <f>SUM(BB120:BB132)</f>
        <v>1497639.8110200004</v>
      </c>
      <c r="BC133" s="58"/>
      <c r="BD133" s="58"/>
      <c r="BE133" s="12">
        <f>SUM(BE120:BE132)</f>
        <v>1603564</v>
      </c>
      <c r="BF133" s="52">
        <f t="shared" si="136"/>
        <v>80772</v>
      </c>
      <c r="BG133" s="58">
        <f t="shared" si="137"/>
        <v>5.3042043824763983E-2</v>
      </c>
      <c r="BH133" s="65">
        <f>SUM(BH120:BH132)</f>
        <v>3374</v>
      </c>
      <c r="BI133" s="65"/>
      <c r="BJ133" s="65"/>
      <c r="BK133" s="65">
        <f>SUM(BK120:BK132)</f>
        <v>379</v>
      </c>
      <c r="BL133" s="39">
        <f t="shared" si="90"/>
        <v>1607317</v>
      </c>
      <c r="BM133" s="39">
        <f t="shared" si="138"/>
        <v>105195.18897999963</v>
      </c>
      <c r="BN133" s="30">
        <f>SUM(BN120:BN132)</f>
        <v>1661274</v>
      </c>
      <c r="BO133" s="39">
        <f t="shared" si="86"/>
        <v>57710</v>
      </c>
      <c r="BP133" s="51">
        <f t="shared" si="139"/>
        <v>7.0031064197495357E-2</v>
      </c>
      <c r="BQ133" s="99">
        <f t="shared" si="87"/>
        <v>3.5988585425963664E-2</v>
      </c>
      <c r="BR133" s="30"/>
      <c r="BV133" s="668">
        <f>BV120+BV121+BV122+BV123+BV124+BV125+BV126+BV127+BV128+BV129+BV130+BV131+BV132</f>
        <v>1714585.9500000002</v>
      </c>
      <c r="BW133" s="645">
        <f t="shared" si="141"/>
        <v>107268.95000000019</v>
      </c>
      <c r="BX133" s="551">
        <f t="shared" si="142"/>
        <v>6.6737893022969452E-2</v>
      </c>
    </row>
    <row r="134" spans="1:76" s="13" customFormat="1" ht="18" customHeight="1">
      <c r="A134" s="85"/>
      <c r="D134" s="327"/>
      <c r="E134" s="356"/>
      <c r="G134" s="10"/>
      <c r="H134" s="14"/>
      <c r="J134" s="10"/>
      <c r="K134" s="14"/>
      <c r="L134" s="12"/>
      <c r="M134" s="25"/>
      <c r="N134" s="38"/>
      <c r="O134" s="12"/>
      <c r="P134" s="12"/>
      <c r="Q134" s="36"/>
      <c r="R134" s="12"/>
      <c r="S134" s="12"/>
      <c r="T134" s="36"/>
      <c r="U134" s="12"/>
      <c r="V134" s="12"/>
      <c r="W134" s="36"/>
      <c r="X134" s="181"/>
      <c r="Y134" s="12"/>
      <c r="Z134" s="98"/>
      <c r="AA134" s="12"/>
      <c r="AB134" s="165"/>
      <c r="AC134" s="97"/>
      <c r="AD134" s="12">
        <f>+AD136+AD137</f>
        <v>63800</v>
      </c>
      <c r="AE134" s="12"/>
      <c r="AF134" s="12"/>
      <c r="AG134" s="52"/>
      <c r="AH134" s="58"/>
      <c r="AJ134" s="12"/>
      <c r="AK134" s="12"/>
      <c r="AM134" s="258"/>
      <c r="AN134" s="258"/>
      <c r="AO134" s="258"/>
      <c r="AR134" s="12"/>
      <c r="AS134" s="12"/>
      <c r="AT134" s="12"/>
      <c r="AU134" s="36"/>
      <c r="AV134" s="12"/>
      <c r="AW134" s="97"/>
      <c r="AX134" s="12"/>
      <c r="AY134" s="52"/>
      <c r="AZ134" s="58"/>
      <c r="BA134" s="58"/>
      <c r="BB134" s="58"/>
      <c r="BC134" s="58"/>
      <c r="BD134" s="58"/>
      <c r="BE134" s="12"/>
      <c r="BF134" s="52"/>
      <c r="BG134" s="58"/>
      <c r="BH134" s="65"/>
      <c r="BI134" s="65"/>
      <c r="BJ134" s="65"/>
      <c r="BK134" s="65"/>
      <c r="BL134" s="39"/>
      <c r="BM134" s="39"/>
      <c r="BN134" s="39"/>
      <c r="BO134" s="39">
        <f t="shared" si="86"/>
        <v>0</v>
      </c>
      <c r="BP134" s="51"/>
      <c r="BQ134" s="99" t="e">
        <f t="shared" si="87"/>
        <v>#DIV/0!</v>
      </c>
      <c r="BR134" s="30"/>
      <c r="BV134" s="282">
        <f t="shared" ref="BV134:BV144" si="164">BN134+BR134+BS134+BT134+BU134</f>
        <v>0</v>
      </c>
      <c r="BW134" s="39">
        <f t="shared" si="141"/>
        <v>0</v>
      </c>
      <c r="BX134" s="51" t="e">
        <f t="shared" si="142"/>
        <v>#DIV/0!</v>
      </c>
    </row>
    <row r="135" spans="1:76" s="13" customFormat="1" ht="18" customHeight="1">
      <c r="A135" s="64"/>
      <c r="D135" s="327"/>
      <c r="E135" s="356"/>
      <c r="G135" s="10"/>
      <c r="H135" s="14"/>
      <c r="J135" s="10"/>
      <c r="K135" s="14"/>
      <c r="L135" s="12"/>
      <c r="M135" s="25"/>
      <c r="N135" s="38"/>
      <c r="O135" s="12"/>
      <c r="P135" s="12"/>
      <c r="Q135" s="36"/>
      <c r="R135" s="12"/>
      <c r="S135" s="12"/>
      <c r="T135" s="36"/>
      <c r="U135" s="12"/>
      <c r="V135" s="12"/>
      <c r="W135" s="36"/>
      <c r="X135" s="181"/>
      <c r="Y135" s="12"/>
      <c r="Z135" s="98"/>
      <c r="AA135" s="12"/>
      <c r="AB135" s="165"/>
      <c r="AC135" s="97"/>
      <c r="AD135" s="12">
        <f>+AD134+AD133</f>
        <v>1423497</v>
      </c>
      <c r="AE135" s="12"/>
      <c r="AF135" s="12"/>
      <c r="AG135" s="52"/>
      <c r="AH135" s="58"/>
      <c r="AJ135" s="12"/>
      <c r="AK135" s="12"/>
      <c r="AM135" s="258"/>
      <c r="AN135" s="258"/>
      <c r="AO135" s="258"/>
      <c r="AR135" s="12"/>
      <c r="AS135" s="12"/>
      <c r="AT135" s="12"/>
      <c r="AU135" s="36"/>
      <c r="AV135" s="12">
        <f>AS133-AF135</f>
        <v>1502121.8110200004</v>
      </c>
      <c r="AW135" s="97" t="e">
        <f>AV135/AF135</f>
        <v>#DIV/0!</v>
      </c>
      <c r="AX135" s="12"/>
      <c r="AY135" s="52"/>
      <c r="AZ135" s="58"/>
      <c r="BA135" s="58"/>
      <c r="BB135" s="58"/>
      <c r="BC135" s="58"/>
      <c r="BD135" s="58"/>
      <c r="BE135" s="12"/>
      <c r="BF135" s="52"/>
      <c r="BG135" s="58"/>
      <c r="BH135" s="65"/>
      <c r="BI135" s="65"/>
      <c r="BJ135" s="65"/>
      <c r="BK135" s="65"/>
      <c r="BL135" s="39"/>
      <c r="BM135" s="39"/>
      <c r="BN135" s="39"/>
      <c r="BO135" s="39">
        <f t="shared" si="86"/>
        <v>0</v>
      </c>
      <c r="BP135" s="51"/>
      <c r="BQ135" s="99" t="e">
        <f t="shared" si="87"/>
        <v>#DIV/0!</v>
      </c>
      <c r="BR135" s="30"/>
      <c r="BV135" s="282">
        <f t="shared" si="164"/>
        <v>0</v>
      </c>
      <c r="BW135" s="39">
        <f t="shared" si="141"/>
        <v>0</v>
      </c>
      <c r="BX135" s="51" t="e">
        <f t="shared" si="142"/>
        <v>#DIV/0!</v>
      </c>
    </row>
    <row r="136" spans="1:76" s="13" customFormat="1" ht="18" customHeight="1">
      <c r="A136" s="64"/>
      <c r="D136" s="327"/>
      <c r="E136" s="356"/>
      <c r="G136" s="10"/>
      <c r="H136" s="14"/>
      <c r="J136" s="10"/>
      <c r="K136" s="14"/>
      <c r="L136" s="12"/>
      <c r="M136" s="25"/>
      <c r="N136" s="38"/>
      <c r="O136" s="12"/>
      <c r="P136" s="12"/>
      <c r="Q136" s="36"/>
      <c r="R136" s="12"/>
      <c r="S136" s="12"/>
      <c r="T136" s="36"/>
      <c r="U136" s="12"/>
      <c r="V136" s="12"/>
      <c r="W136" s="36"/>
      <c r="X136" s="180"/>
      <c r="Y136" s="163"/>
      <c r="Z136" s="98"/>
      <c r="AA136" s="202"/>
      <c r="AB136" s="172"/>
      <c r="AC136" s="97"/>
      <c r="AD136" s="13">
        <v>39200</v>
      </c>
      <c r="AE136" s="13" t="s">
        <v>247</v>
      </c>
      <c r="AF136" s="12"/>
      <c r="AG136" s="12"/>
      <c r="AX136" s="12"/>
      <c r="AY136" s="52"/>
      <c r="AZ136" s="58"/>
      <c r="BA136" s="58"/>
      <c r="BB136" s="58"/>
      <c r="BC136" s="58"/>
      <c r="BD136" s="58"/>
      <c r="BE136" s="12"/>
      <c r="BF136" s="52"/>
      <c r="BG136" s="58"/>
      <c r="BH136" s="65"/>
      <c r="BI136" s="65"/>
      <c r="BJ136" s="65"/>
      <c r="BK136" s="65"/>
      <c r="BL136" s="39"/>
      <c r="BM136" s="39"/>
      <c r="BN136" s="39"/>
      <c r="BO136" s="39">
        <f t="shared" ref="BO136:BO199" si="165">BN136-BE136</f>
        <v>0</v>
      </c>
      <c r="BP136" s="51"/>
      <c r="BQ136" s="99" t="e">
        <f t="shared" ref="BQ136:BQ199" si="166">BO136/BE136</f>
        <v>#DIV/0!</v>
      </c>
      <c r="BR136" s="30"/>
      <c r="BV136" s="282">
        <f t="shared" si="164"/>
        <v>0</v>
      </c>
      <c r="BW136" s="39">
        <f t="shared" si="141"/>
        <v>0</v>
      </c>
      <c r="BX136" s="51" t="e">
        <f t="shared" si="142"/>
        <v>#DIV/0!</v>
      </c>
    </row>
    <row r="137" spans="1:76" ht="18" customHeight="1">
      <c r="A137" s="73" t="s">
        <v>122</v>
      </c>
      <c r="D137" s="327"/>
      <c r="E137" s="356"/>
      <c r="G137" s="10"/>
      <c r="J137" s="10"/>
      <c r="N137" s="58"/>
      <c r="Q137" s="58"/>
      <c r="R137" s="52"/>
      <c r="S137" s="52"/>
      <c r="T137" s="58"/>
      <c r="U137" s="52"/>
      <c r="V137" s="52"/>
      <c r="W137" s="58"/>
      <c r="AB137" s="172"/>
      <c r="AD137" s="50">
        <v>24600</v>
      </c>
      <c r="AE137" s="220" t="s">
        <v>248</v>
      </c>
      <c r="BH137" s="65"/>
      <c r="BI137" s="65"/>
      <c r="BJ137" s="65"/>
      <c r="BK137" s="65"/>
      <c r="BL137" s="39"/>
      <c r="BM137" s="39"/>
      <c r="BN137" s="39"/>
      <c r="BO137" s="39">
        <f t="shared" si="165"/>
        <v>0</v>
      </c>
      <c r="BP137" s="51"/>
      <c r="BQ137" s="99" t="e">
        <f t="shared" si="166"/>
        <v>#DIV/0!</v>
      </c>
      <c r="BV137" s="282">
        <f t="shared" si="164"/>
        <v>0</v>
      </c>
      <c r="BW137" s="39">
        <f t="shared" si="141"/>
        <v>0</v>
      </c>
      <c r="BX137" s="51" t="e">
        <f t="shared" si="142"/>
        <v>#DIV/0!</v>
      </c>
    </row>
    <row r="138" spans="1:76" ht="18" customHeight="1">
      <c r="A138" s="73" t="s">
        <v>183</v>
      </c>
      <c r="D138" s="327"/>
      <c r="E138" s="356"/>
      <c r="G138" s="10"/>
      <c r="J138" s="10"/>
      <c r="N138" s="58"/>
      <c r="Q138" s="58"/>
      <c r="R138" s="52"/>
      <c r="S138" s="52"/>
      <c r="T138" s="58"/>
      <c r="U138" s="52"/>
      <c r="V138" s="52"/>
      <c r="W138" s="58"/>
      <c r="AB138" s="172"/>
      <c r="BH138" s="65"/>
      <c r="BI138" s="65"/>
      <c r="BJ138" s="65"/>
      <c r="BK138" s="65"/>
      <c r="BL138" s="39"/>
      <c r="BM138" s="39"/>
      <c r="BN138" s="39"/>
      <c r="BO138" s="39">
        <f t="shared" si="165"/>
        <v>0</v>
      </c>
      <c r="BP138" s="51"/>
      <c r="BQ138" s="99" t="e">
        <f t="shared" si="166"/>
        <v>#DIV/0!</v>
      </c>
      <c r="BV138" s="282">
        <f t="shared" si="164"/>
        <v>0</v>
      </c>
      <c r="BW138" s="39">
        <f t="shared" si="141"/>
        <v>0</v>
      </c>
      <c r="BX138" s="51" t="e">
        <f t="shared" si="142"/>
        <v>#DIV/0!</v>
      </c>
    </row>
    <row r="139" spans="1:76" ht="18" customHeight="1">
      <c r="A139" s="73" t="s">
        <v>135</v>
      </c>
      <c r="D139" s="327"/>
      <c r="E139" s="356"/>
      <c r="G139" s="10"/>
      <c r="J139" s="10"/>
      <c r="L139" s="63"/>
      <c r="M139" s="63"/>
      <c r="N139" s="72"/>
      <c r="O139" s="63"/>
      <c r="P139" s="63"/>
      <c r="Q139" s="72"/>
      <c r="R139" s="52"/>
      <c r="S139" s="52"/>
      <c r="T139" s="58"/>
      <c r="U139" s="52"/>
      <c r="V139" s="52"/>
      <c r="W139" s="58"/>
      <c r="AB139" s="172"/>
      <c r="BH139" s="65"/>
      <c r="BI139" s="65"/>
      <c r="BJ139" s="65"/>
      <c r="BK139" s="65"/>
      <c r="BL139" s="39"/>
      <c r="BM139" s="39"/>
      <c r="BN139" s="39"/>
      <c r="BO139" s="39">
        <f t="shared" si="165"/>
        <v>0</v>
      </c>
      <c r="BP139" s="51"/>
      <c r="BQ139" s="99" t="e">
        <f t="shared" si="166"/>
        <v>#DIV/0!</v>
      </c>
      <c r="BV139" s="282">
        <f t="shared" si="164"/>
        <v>0</v>
      </c>
      <c r="BW139" s="39">
        <f t="shared" si="141"/>
        <v>0</v>
      </c>
      <c r="BX139" s="51" t="e">
        <f t="shared" si="142"/>
        <v>#DIV/0!</v>
      </c>
    </row>
    <row r="140" spans="1:76" ht="18" customHeight="1">
      <c r="A140" s="73" t="s">
        <v>179</v>
      </c>
      <c r="D140" s="327"/>
      <c r="E140" s="356"/>
      <c r="G140" s="10"/>
      <c r="J140" s="10"/>
      <c r="L140" s="63"/>
      <c r="M140" s="63"/>
      <c r="N140" s="72"/>
      <c r="O140" s="63"/>
      <c r="P140" s="63"/>
      <c r="Q140" s="72"/>
      <c r="R140" s="52"/>
      <c r="S140" s="52"/>
      <c r="T140" s="58"/>
      <c r="U140" s="52"/>
      <c r="V140" s="52"/>
      <c r="W140" s="58"/>
      <c r="AB140" s="172"/>
      <c r="BH140" s="65"/>
      <c r="BI140" s="65"/>
      <c r="BJ140" s="65"/>
      <c r="BK140" s="65"/>
      <c r="BL140" s="39"/>
      <c r="BM140" s="39"/>
      <c r="BN140" s="39"/>
      <c r="BO140" s="39">
        <f t="shared" si="165"/>
        <v>0</v>
      </c>
      <c r="BP140" s="51"/>
      <c r="BQ140" s="99" t="e">
        <f t="shared" si="166"/>
        <v>#DIV/0!</v>
      </c>
      <c r="BV140" s="282">
        <f t="shared" si="164"/>
        <v>0</v>
      </c>
      <c r="BW140" s="39">
        <f t="shared" si="141"/>
        <v>0</v>
      </c>
      <c r="BX140" s="51" t="e">
        <f t="shared" si="142"/>
        <v>#DIV/0!</v>
      </c>
    </row>
    <row r="141" spans="1:76" ht="18" customHeight="1">
      <c r="A141" s="73" t="s">
        <v>181</v>
      </c>
      <c r="D141" s="327"/>
      <c r="E141" s="356"/>
      <c r="G141" s="10"/>
      <c r="J141" s="10"/>
      <c r="L141" s="63"/>
      <c r="M141" s="63"/>
      <c r="N141" s="72"/>
      <c r="O141" s="63"/>
      <c r="P141" s="63"/>
      <c r="Q141" s="72"/>
      <c r="R141" s="52"/>
      <c r="S141" s="52"/>
      <c r="T141" s="58"/>
      <c r="U141" s="52"/>
      <c r="V141" s="52"/>
      <c r="W141" s="58"/>
      <c r="AB141" s="172"/>
      <c r="BH141" s="65"/>
      <c r="BI141" s="65"/>
      <c r="BJ141" s="65"/>
      <c r="BK141" s="65"/>
      <c r="BL141" s="39"/>
      <c r="BM141" s="39"/>
      <c r="BN141" s="39"/>
      <c r="BO141" s="39">
        <f t="shared" si="165"/>
        <v>0</v>
      </c>
      <c r="BP141" s="51"/>
      <c r="BQ141" s="99" t="e">
        <f t="shared" si="166"/>
        <v>#DIV/0!</v>
      </c>
      <c r="BV141" s="282">
        <f t="shared" si="164"/>
        <v>0</v>
      </c>
      <c r="BW141" s="39">
        <f t="shared" si="141"/>
        <v>0</v>
      </c>
      <c r="BX141" s="51" t="e">
        <f t="shared" si="142"/>
        <v>#DIV/0!</v>
      </c>
    </row>
    <row r="142" spans="1:76" ht="18" customHeight="1">
      <c r="A142" s="73" t="s">
        <v>136</v>
      </c>
      <c r="D142" s="327"/>
      <c r="E142" s="356"/>
      <c r="G142" s="10"/>
      <c r="J142" s="10"/>
      <c r="L142" s="63"/>
      <c r="M142" s="63"/>
      <c r="N142" s="72"/>
      <c r="O142" s="63"/>
      <c r="P142" s="63"/>
      <c r="Q142" s="72"/>
      <c r="R142" s="52"/>
      <c r="S142" s="52"/>
      <c r="T142" s="58"/>
      <c r="U142" s="52"/>
      <c r="V142" s="52"/>
      <c r="W142" s="58"/>
      <c r="AB142" s="172"/>
      <c r="BH142" s="65"/>
      <c r="BI142" s="65"/>
      <c r="BJ142" s="65"/>
      <c r="BK142" s="65"/>
      <c r="BL142" s="39"/>
      <c r="BM142" s="39"/>
      <c r="BN142" s="39"/>
      <c r="BO142" s="39">
        <f t="shared" si="165"/>
        <v>0</v>
      </c>
      <c r="BP142" s="51"/>
      <c r="BQ142" s="99" t="e">
        <f t="shared" si="166"/>
        <v>#DIV/0!</v>
      </c>
      <c r="BV142" s="282">
        <f t="shared" si="164"/>
        <v>0</v>
      </c>
      <c r="BW142" s="39">
        <f t="shared" si="141"/>
        <v>0</v>
      </c>
      <c r="BX142" s="51" t="e">
        <f t="shared" si="142"/>
        <v>#DIV/0!</v>
      </c>
    </row>
    <row r="143" spans="1:76" ht="18" customHeight="1">
      <c r="A143" s="73" t="s">
        <v>185</v>
      </c>
      <c r="D143" s="327"/>
      <c r="E143" s="356"/>
      <c r="G143" s="10"/>
      <c r="J143" s="10"/>
      <c r="L143" s="63"/>
      <c r="M143" s="63"/>
      <c r="N143" s="72"/>
      <c r="O143" s="63"/>
      <c r="P143" s="63"/>
      <c r="Q143" s="72"/>
      <c r="R143" s="52"/>
      <c r="S143" s="52"/>
      <c r="T143" s="58"/>
      <c r="U143" s="52"/>
      <c r="V143" s="52"/>
      <c r="W143" s="58"/>
      <c r="AB143" s="172"/>
      <c r="BH143" s="65"/>
      <c r="BI143" s="65"/>
      <c r="BJ143" s="65"/>
      <c r="BK143" s="65"/>
      <c r="BL143" s="39"/>
      <c r="BM143" s="39"/>
      <c r="BN143" s="39"/>
      <c r="BO143" s="39">
        <f t="shared" si="165"/>
        <v>0</v>
      </c>
      <c r="BP143" s="51"/>
      <c r="BQ143" s="99" t="e">
        <f t="shared" si="166"/>
        <v>#DIV/0!</v>
      </c>
      <c r="BV143" s="282">
        <f t="shared" si="164"/>
        <v>0</v>
      </c>
      <c r="BW143" s="39">
        <f t="shared" si="141"/>
        <v>0</v>
      </c>
      <c r="BX143" s="51" t="e">
        <f t="shared" si="142"/>
        <v>#DIV/0!</v>
      </c>
    </row>
    <row r="144" spans="1:76" ht="18" customHeight="1">
      <c r="A144" s="73"/>
      <c r="D144" s="327"/>
      <c r="E144" s="356"/>
      <c r="G144" s="10"/>
      <c r="J144" s="10"/>
      <c r="L144" s="63"/>
      <c r="M144" s="63"/>
      <c r="N144" s="72"/>
      <c r="O144" s="63"/>
      <c r="P144" s="63"/>
      <c r="Q144" s="72"/>
      <c r="R144" s="52"/>
      <c r="S144" s="52"/>
      <c r="T144" s="58"/>
      <c r="U144" s="52"/>
      <c r="V144" s="52"/>
      <c r="W144" s="58"/>
      <c r="AB144" s="172"/>
      <c r="BH144" s="65"/>
      <c r="BI144" s="65"/>
      <c r="BJ144" s="65"/>
      <c r="BK144" s="65"/>
      <c r="BL144" s="39"/>
      <c r="BM144" s="39"/>
      <c r="BN144" s="39"/>
      <c r="BO144" s="39">
        <f t="shared" si="165"/>
        <v>0</v>
      </c>
      <c r="BP144" s="51"/>
      <c r="BQ144" s="99" t="e">
        <f t="shared" si="166"/>
        <v>#DIV/0!</v>
      </c>
      <c r="BV144" s="282">
        <f t="shared" si="164"/>
        <v>0</v>
      </c>
      <c r="BW144" s="39">
        <f t="shared" si="141"/>
        <v>0</v>
      </c>
      <c r="BX144" s="51" t="e">
        <f t="shared" si="142"/>
        <v>#DIV/0!</v>
      </c>
    </row>
    <row r="145" spans="1:76" s="109" customFormat="1" ht="18" customHeight="1">
      <c r="A145" s="116" t="s">
        <v>68</v>
      </c>
      <c r="D145" s="358"/>
      <c r="E145" s="361"/>
      <c r="G145" s="362"/>
      <c r="H145" s="364"/>
      <c r="J145" s="362"/>
      <c r="K145" s="364"/>
      <c r="L145" s="105"/>
      <c r="M145" s="105"/>
      <c r="N145" s="117"/>
      <c r="O145" s="105"/>
      <c r="P145" s="105"/>
      <c r="Q145" s="117"/>
      <c r="R145" s="107"/>
      <c r="S145" s="107"/>
      <c r="T145" s="125"/>
      <c r="U145" s="107"/>
      <c r="V145" s="107"/>
      <c r="W145" s="125"/>
      <c r="X145" s="175"/>
      <c r="Y145" s="158"/>
      <c r="Z145" s="111"/>
      <c r="AA145" s="201"/>
      <c r="AB145" s="170"/>
      <c r="AC145" s="113"/>
      <c r="AF145" s="107"/>
      <c r="AG145" s="107"/>
      <c r="AX145" s="107"/>
      <c r="AY145" s="107"/>
      <c r="AZ145" s="125"/>
      <c r="BA145" s="125"/>
      <c r="BB145" s="125"/>
      <c r="BC145" s="125"/>
      <c r="BD145" s="125"/>
      <c r="BE145" s="107"/>
      <c r="BF145" s="107"/>
      <c r="BG145" s="125"/>
      <c r="BH145" s="110"/>
      <c r="BI145" s="110"/>
      <c r="BJ145" s="110"/>
      <c r="BK145" s="110"/>
      <c r="BL145" s="562"/>
      <c r="BM145" s="562"/>
      <c r="BN145" s="562"/>
      <c r="BO145" s="39">
        <f t="shared" si="165"/>
        <v>0</v>
      </c>
      <c r="BP145" s="108"/>
      <c r="BQ145" s="99" t="e">
        <f t="shared" si="166"/>
        <v>#DIV/0!</v>
      </c>
      <c r="BR145" s="562"/>
      <c r="BV145" s="302"/>
      <c r="BW145" s="562"/>
      <c r="BX145" s="108"/>
    </row>
    <row r="146" spans="1:76" ht="18" customHeight="1">
      <c r="A146" s="59" t="s">
        <v>70</v>
      </c>
      <c r="B146" s="327">
        <f>(197109+3710)-98846</f>
        <v>101973</v>
      </c>
      <c r="C146" s="327">
        <f>(194168+726)-92765</f>
        <v>102129</v>
      </c>
      <c r="D146" s="327">
        <f t="shared" si="143"/>
        <v>156</v>
      </c>
      <c r="E146" s="356">
        <f t="shared" si="144"/>
        <v>1.5298167161895797E-3</v>
      </c>
      <c r="F146" s="10">
        <f>(205286+5666)-109233</f>
        <v>101719</v>
      </c>
      <c r="G146" s="10">
        <f t="shared" si="145"/>
        <v>-410</v>
      </c>
      <c r="H146" s="14">
        <f t="shared" si="146"/>
        <v>-4.0145306426186489E-3</v>
      </c>
      <c r="I146" s="10">
        <f>(218885+1830)-72706</f>
        <v>148009</v>
      </c>
      <c r="J146" s="10">
        <f t="shared" si="147"/>
        <v>46290</v>
      </c>
      <c r="K146" s="14">
        <f t="shared" si="148"/>
        <v>0.4550772225444607</v>
      </c>
      <c r="L146" s="52">
        <f>240299-87340</f>
        <v>152959</v>
      </c>
      <c r="M146" s="52">
        <v>19584</v>
      </c>
      <c r="N146" s="58">
        <v>8.8729809935890178E-2</v>
      </c>
      <c r="O146" s="52">
        <f>276738-109826</f>
        <v>166912</v>
      </c>
      <c r="P146" s="52">
        <f>O146-L146</f>
        <v>13953</v>
      </c>
      <c r="Q146" s="58">
        <f>P146/L146</f>
        <v>9.1220523146725588E-2</v>
      </c>
      <c r="R146" s="52">
        <f>262333-198311</f>
        <v>64022</v>
      </c>
      <c r="S146" s="52">
        <f t="shared" ref="S146:S166" si="167">R146-O146</f>
        <v>-102890</v>
      </c>
      <c r="T146" s="58">
        <f>S146/O146</f>
        <v>-0.61643261119631898</v>
      </c>
      <c r="U146" s="52">
        <f>275962-127968</f>
        <v>147994</v>
      </c>
      <c r="V146" s="52">
        <f>U146-R146</f>
        <v>83972</v>
      </c>
      <c r="W146" s="58">
        <f>V146/R146</f>
        <v>1.311611633500984</v>
      </c>
      <c r="X146" s="166">
        <v>140649</v>
      </c>
      <c r="Y146" s="52">
        <f>X146-U146</f>
        <v>-7345</v>
      </c>
      <c r="Z146" s="95">
        <f>Y146/U146</f>
        <v>-4.9630390421233295E-2</v>
      </c>
      <c r="AA146" s="202">
        <v>171682</v>
      </c>
      <c r="AB146" s="172">
        <f>AA146-X146</f>
        <v>31033</v>
      </c>
      <c r="AC146" s="100">
        <f>AB146/X146</f>
        <v>0.220641454969463</v>
      </c>
      <c r="AD146" s="65">
        <v>144388</v>
      </c>
      <c r="AE146" s="65">
        <v>2725</v>
      </c>
      <c r="AF146" s="52">
        <v>141715</v>
      </c>
      <c r="AG146" s="52">
        <f t="shared" ref="AG146:AG165" si="168">AF146-AA146</f>
        <v>-29967</v>
      </c>
      <c r="AH146" s="58">
        <f t="shared" ref="AH146:AH165" si="169">AG146/AA146</f>
        <v>-0.17454945771833971</v>
      </c>
      <c r="AI146" s="65">
        <f>AD146-2721</f>
        <v>141667</v>
      </c>
      <c r="AJ146" s="65">
        <f>AF146-2721</f>
        <v>138994</v>
      </c>
      <c r="AK146" s="50">
        <v>137301</v>
      </c>
      <c r="AL146" s="136">
        <v>11399</v>
      </c>
      <c r="AM146" s="258">
        <f t="shared" ref="AM146:AM165" si="170">+AL146+AK146</f>
        <v>148700</v>
      </c>
      <c r="AN146" s="27">
        <v>143133</v>
      </c>
      <c r="AO146" s="27">
        <v>145083</v>
      </c>
      <c r="AP146" s="220"/>
      <c r="AQ146" s="219">
        <v>425</v>
      </c>
      <c r="AR146" s="65">
        <f>AP146+AQ146</f>
        <v>425</v>
      </c>
      <c r="AS146" s="65">
        <f>BB146+AR146</f>
        <v>138580.23599000002</v>
      </c>
      <c r="AT146" s="65">
        <f>AS146-AF146</f>
        <v>-3134.7640099999844</v>
      </c>
      <c r="AU146" s="99">
        <f>AT146/AF146</f>
        <v>-2.2120199061496554E-2</v>
      </c>
      <c r="AV146" s="65">
        <f>AS146-AF146</f>
        <v>-3134.7640099999844</v>
      </c>
      <c r="AW146" s="99">
        <f>AV146/AF146</f>
        <v>-2.2120199061496554E-2</v>
      </c>
      <c r="AX146" s="52">
        <f>142325+14000</f>
        <v>156325</v>
      </c>
      <c r="AY146" s="52">
        <f t="shared" ref="AY146:AY203" si="171">AX146-AF146</f>
        <v>14610</v>
      </c>
      <c r="AZ146" s="58">
        <f t="shared" ref="AZ146:AZ203" si="172">AY146/AF146</f>
        <v>0.10309423843629821</v>
      </c>
      <c r="BA146" s="624">
        <f>140174.77438+4567.032</f>
        <v>144741.80637999999</v>
      </c>
      <c r="BB146" s="624">
        <f>135999.79435+2155.44164</f>
        <v>138155.23599000002</v>
      </c>
      <c r="BC146" s="624">
        <f>BA146-BB146</f>
        <v>6586.5703899999789</v>
      </c>
      <c r="BD146" s="31">
        <f>BC146/BA146</f>
        <v>4.5505652822294004E-2</v>
      </c>
      <c r="BE146" s="52">
        <f>165051</f>
        <v>165051</v>
      </c>
      <c r="BF146" s="52">
        <f t="shared" ref="BF146:BF163" si="173">BE146-AX146</f>
        <v>8726</v>
      </c>
      <c r="BG146" s="58">
        <f t="shared" ref="BG146:BG163" si="174">BF146/AX146</f>
        <v>5.5819606588837355E-2</v>
      </c>
      <c r="BH146" s="65"/>
      <c r="BI146" s="65"/>
      <c r="BJ146" s="65"/>
      <c r="BK146" s="65"/>
      <c r="BL146" s="39">
        <f t="shared" ref="BL146:BL203" si="175">BE146+BH146+BI146+BJ146+BK146</f>
        <v>165051</v>
      </c>
      <c r="BM146" s="39">
        <f t="shared" ref="BM146:BM163" si="176">BL146-AS146</f>
        <v>26470.764009999984</v>
      </c>
      <c r="BN146" s="39">
        <v>167135</v>
      </c>
      <c r="BO146" s="39">
        <f t="shared" si="165"/>
        <v>2084</v>
      </c>
      <c r="BP146" s="51">
        <f t="shared" ref="BP146:BP163" si="177">BM146/AS146</f>
        <v>0.19101399143172279</v>
      </c>
      <c r="BQ146" s="99">
        <f t="shared" si="166"/>
        <v>1.2626400324748108E-2</v>
      </c>
      <c r="BR146" s="39">
        <v>22311</v>
      </c>
      <c r="BU146" s="50">
        <v>110</v>
      </c>
      <c r="BV146" s="282">
        <f t="shared" ref="BV146:BV156" si="178">BN146+BR146+BS146+BT146+BU146</f>
        <v>189556</v>
      </c>
      <c r="BW146" s="39">
        <f t="shared" ref="BW146:BW177" si="179">BV146-BL146</f>
        <v>24505</v>
      </c>
      <c r="BX146" s="51">
        <f t="shared" ref="BX146:BX177" si="180">BW146/BL146</f>
        <v>0.14846926101629193</v>
      </c>
    </row>
    <row r="147" spans="1:76" ht="18" customHeight="1">
      <c r="A147" s="59" t="s">
        <v>97</v>
      </c>
      <c r="B147" s="327">
        <f>74836+1088</f>
        <v>75924</v>
      </c>
      <c r="C147" s="327">
        <f>96069+488</f>
        <v>96557</v>
      </c>
      <c r="D147" s="327">
        <f t="shared" si="143"/>
        <v>20633</v>
      </c>
      <c r="E147" s="356">
        <f t="shared" si="144"/>
        <v>0.27175860070596913</v>
      </c>
      <c r="F147" s="10">
        <f>152504+399</f>
        <v>152903</v>
      </c>
      <c r="G147" s="10">
        <f t="shared" si="145"/>
        <v>56346</v>
      </c>
      <c r="H147" s="14">
        <f t="shared" si="146"/>
        <v>0.58355168449723993</v>
      </c>
      <c r="I147" s="10">
        <f>140432+830</f>
        <v>141262</v>
      </c>
      <c r="J147" s="10">
        <f t="shared" si="147"/>
        <v>-11641</v>
      </c>
      <c r="K147" s="14">
        <f t="shared" si="148"/>
        <v>-7.6133234795916369E-2</v>
      </c>
      <c r="L147" s="52">
        <v>127052</v>
      </c>
      <c r="M147" s="52">
        <v>-14210</v>
      </c>
      <c r="N147" s="58">
        <v>-0.10059322393849726</v>
      </c>
      <c r="O147" s="52">
        <v>159227</v>
      </c>
      <c r="P147" s="52">
        <f t="shared" ref="P147:P165" si="181">O147-L147</f>
        <v>32175</v>
      </c>
      <c r="Q147" s="58">
        <f>P147/L147</f>
        <v>0.25324276674117685</v>
      </c>
      <c r="R147" s="52">
        <v>166624</v>
      </c>
      <c r="S147" s="52">
        <f t="shared" si="167"/>
        <v>7397</v>
      </c>
      <c r="T147" s="58">
        <f>S147/O147</f>
        <v>4.645568904771176E-2</v>
      </c>
      <c r="U147" s="52">
        <v>181976</v>
      </c>
      <c r="V147" s="52">
        <f t="shared" ref="V147:V165" si="182">U147-R147</f>
        <v>15352</v>
      </c>
      <c r="W147" s="58">
        <f t="shared" ref="W147:W163" si="183">V147/R147</f>
        <v>9.2135586710197809E-2</v>
      </c>
      <c r="X147" s="166">
        <v>275453</v>
      </c>
      <c r="Y147" s="52">
        <f>X147-U147</f>
        <v>93477</v>
      </c>
      <c r="Z147" s="95">
        <f>Y147/U147</f>
        <v>0.51367762781905302</v>
      </c>
      <c r="AA147" s="202">
        <v>197575</v>
      </c>
      <c r="AB147" s="172">
        <f>AA147-X147</f>
        <v>-77878</v>
      </c>
      <c r="AC147" s="100">
        <f>AB147/X147</f>
        <v>-0.28272699879834307</v>
      </c>
      <c r="AD147" s="65">
        <v>194161</v>
      </c>
      <c r="AE147" s="65">
        <v>750</v>
      </c>
      <c r="AF147" s="52">
        <v>207368</v>
      </c>
      <c r="AG147" s="52">
        <f t="shared" si="168"/>
        <v>9793</v>
      </c>
      <c r="AH147" s="58">
        <f t="shared" si="169"/>
        <v>4.9565987599645707E-2</v>
      </c>
      <c r="AI147" s="65">
        <f>AD147+11054</f>
        <v>205215</v>
      </c>
      <c r="AJ147" s="65">
        <f>AF147+11054</f>
        <v>218422</v>
      </c>
      <c r="AK147" s="50">
        <v>195699</v>
      </c>
      <c r="AL147" s="136">
        <v>19805</v>
      </c>
      <c r="AM147" s="258">
        <f t="shared" si="170"/>
        <v>215504</v>
      </c>
      <c r="AN147" s="27">
        <v>193830</v>
      </c>
      <c r="AO147" s="27">
        <v>194580</v>
      </c>
      <c r="AP147" s="220"/>
      <c r="AQ147" s="27">
        <v>268</v>
      </c>
      <c r="AR147" s="65">
        <f t="shared" ref="AR147:AR165" si="184">AP147+AQ147</f>
        <v>268</v>
      </c>
      <c r="AS147" s="65">
        <f t="shared" ref="AS147:AS165" si="185">BB147+AR147</f>
        <v>189655.9473</v>
      </c>
      <c r="AT147" s="65">
        <f t="shared" ref="AT147:AT166" si="186">AS147-AF147</f>
        <v>-17712.0527</v>
      </c>
      <c r="AU147" s="99">
        <f t="shared" ref="AU147:AU166" si="187">AT147/AF147</f>
        <v>-8.5413625535280271E-2</v>
      </c>
      <c r="AV147" s="65">
        <f>AS147-AF147</f>
        <v>-17712.0527</v>
      </c>
      <c r="AW147" s="99">
        <f>AV147/AF147</f>
        <v>-8.5413625535280271E-2</v>
      </c>
      <c r="AX147" s="52">
        <v>192346</v>
      </c>
      <c r="AY147" s="52">
        <f t="shared" si="171"/>
        <v>-15022</v>
      </c>
      <c r="AZ147" s="58">
        <f t="shared" si="172"/>
        <v>-7.2441263840129624E-2</v>
      </c>
      <c r="BA147" s="624">
        <f>191596.11706+1000</f>
        <v>192596.11705999999</v>
      </c>
      <c r="BB147" s="624">
        <f>188387.9473+1000</f>
        <v>189387.9473</v>
      </c>
      <c r="BC147" s="624">
        <f t="shared" ref="BC147:BC165" si="188">BA147-BB147</f>
        <v>3208.1697599999898</v>
      </c>
      <c r="BD147" s="31">
        <f t="shared" ref="BD147:BD164" si="189">BC147/BA147</f>
        <v>1.6657499688846479E-2</v>
      </c>
      <c r="BE147" s="52">
        <f>191596+750</f>
        <v>192346</v>
      </c>
      <c r="BF147" s="52">
        <f t="shared" si="173"/>
        <v>0</v>
      </c>
      <c r="BG147" s="58">
        <f t="shared" si="174"/>
        <v>0</v>
      </c>
      <c r="BH147" s="65"/>
      <c r="BI147" s="65"/>
      <c r="BJ147" s="65"/>
      <c r="BK147" s="65"/>
      <c r="BL147" s="39">
        <f t="shared" si="175"/>
        <v>192346</v>
      </c>
      <c r="BM147" s="39">
        <f t="shared" si="176"/>
        <v>2690.0527000000002</v>
      </c>
      <c r="BN147" s="39">
        <v>192439</v>
      </c>
      <c r="BO147" s="39">
        <f t="shared" si="165"/>
        <v>93</v>
      </c>
      <c r="BP147" s="51">
        <f t="shared" si="177"/>
        <v>1.4183856284479407E-2</v>
      </c>
      <c r="BQ147" s="99">
        <f t="shared" si="166"/>
        <v>4.8350368606573573E-4</v>
      </c>
      <c r="BR147" s="39">
        <v>8640</v>
      </c>
      <c r="BU147" s="50">
        <v>3</v>
      </c>
      <c r="BV147" s="282">
        <f t="shared" si="178"/>
        <v>201082</v>
      </c>
      <c r="BW147" s="39">
        <f t="shared" si="179"/>
        <v>8736</v>
      </c>
      <c r="BX147" s="51">
        <f t="shared" si="180"/>
        <v>4.541815270398137E-2</v>
      </c>
    </row>
    <row r="148" spans="1:76" ht="18" customHeight="1">
      <c r="A148" s="59" t="s">
        <v>98</v>
      </c>
      <c r="B148" s="327">
        <f>129177+16</f>
        <v>129193</v>
      </c>
      <c r="C148" s="327">
        <f>217704+0</f>
        <v>217704</v>
      </c>
      <c r="D148" s="327">
        <f t="shared" si="143"/>
        <v>88511</v>
      </c>
      <c r="E148" s="356">
        <f t="shared" si="144"/>
        <v>0.68510677823101873</v>
      </c>
      <c r="F148" s="10">
        <f>178195+1</f>
        <v>178196</v>
      </c>
      <c r="G148" s="10">
        <f t="shared" si="145"/>
        <v>-39508</v>
      </c>
      <c r="H148" s="14">
        <f t="shared" si="146"/>
        <v>-0.1814757652592511</v>
      </c>
      <c r="I148" s="10">
        <f>138142</f>
        <v>138142</v>
      </c>
      <c r="J148" s="10">
        <f t="shared" si="147"/>
        <v>-40054</v>
      </c>
      <c r="K148" s="14">
        <f t="shared" si="148"/>
        <v>-0.22477496689039037</v>
      </c>
      <c r="L148" s="52">
        <v>137771</v>
      </c>
      <c r="M148" s="52">
        <v>-99446</v>
      </c>
      <c r="N148" s="58">
        <v>-0.41921953317005106</v>
      </c>
      <c r="O148" s="52">
        <v>194138</v>
      </c>
      <c r="P148" s="52">
        <f t="shared" si="181"/>
        <v>56367</v>
      </c>
      <c r="Q148" s="58">
        <f>P148/L148</f>
        <v>0.40913544940517232</v>
      </c>
      <c r="R148" s="52">
        <v>199074</v>
      </c>
      <c r="S148" s="52">
        <f t="shared" si="167"/>
        <v>4936</v>
      </c>
      <c r="T148" s="58">
        <f>S148/O148</f>
        <v>2.5425212992819541E-2</v>
      </c>
      <c r="U148" s="52">
        <v>196393</v>
      </c>
      <c r="V148" s="52">
        <f t="shared" si="182"/>
        <v>-2681</v>
      </c>
      <c r="W148" s="58">
        <f t="shared" si="183"/>
        <v>-1.3467353848317711E-2</v>
      </c>
      <c r="X148" s="166">
        <v>210216</v>
      </c>
      <c r="Y148" s="52">
        <f>X148-U148</f>
        <v>13823</v>
      </c>
      <c r="Z148" s="95">
        <f>Y148/U148</f>
        <v>7.0384382335419285E-2</v>
      </c>
      <c r="AA148" s="202">
        <v>213640</v>
      </c>
      <c r="AB148" s="172">
        <f>AA148-X148</f>
        <v>3424</v>
      </c>
      <c r="AC148" s="100">
        <f>AB148/X148</f>
        <v>1.628800852456521E-2</v>
      </c>
      <c r="AD148" s="65">
        <v>191390</v>
      </c>
      <c r="AE148" s="65">
        <v>4424</v>
      </c>
      <c r="AF148" s="52">
        <v>195190</v>
      </c>
      <c r="AG148" s="52">
        <f t="shared" si="168"/>
        <v>-18450</v>
      </c>
      <c r="AH148" s="58">
        <f t="shared" si="169"/>
        <v>-8.6360232166261E-2</v>
      </c>
      <c r="AI148" s="65">
        <f>AD148-850</f>
        <v>190540</v>
      </c>
      <c r="AJ148" s="65">
        <f>AF148+40</f>
        <v>195230</v>
      </c>
      <c r="AK148" s="50">
        <v>189781</v>
      </c>
      <c r="AL148" s="136">
        <v>2420</v>
      </c>
      <c r="AM148" s="258">
        <f t="shared" si="170"/>
        <v>192201</v>
      </c>
      <c r="AN148" s="27">
        <v>167805</v>
      </c>
      <c r="AO148" s="27">
        <v>172432</v>
      </c>
      <c r="AQ148" s="27">
        <v>922</v>
      </c>
      <c r="AR148" s="65">
        <f t="shared" si="184"/>
        <v>922</v>
      </c>
      <c r="AS148" s="65">
        <f t="shared" si="185"/>
        <v>165964.76788000003</v>
      </c>
      <c r="AT148" s="65">
        <f t="shared" si="186"/>
        <v>-29225.232119999971</v>
      </c>
      <c r="AU148" s="99">
        <f t="shared" si="187"/>
        <v>-0.14972709728982003</v>
      </c>
      <c r="AV148" s="65">
        <f>AS148-AF148</f>
        <v>-29225.232119999971</v>
      </c>
      <c r="AW148" s="99">
        <f>AV148/AF148</f>
        <v>-0.14972709728982003</v>
      </c>
      <c r="AX148" s="52">
        <v>167274</v>
      </c>
      <c r="AY148" s="52">
        <f t="shared" si="171"/>
        <v>-27916</v>
      </c>
      <c r="AZ148" s="58">
        <f t="shared" si="172"/>
        <v>-0.14301962190685999</v>
      </c>
      <c r="BA148" s="624">
        <f>162686.85373+5487.64028</f>
        <v>168174.49400999999</v>
      </c>
      <c r="BB148" s="624">
        <f>160970.87212+4071.89576</f>
        <v>165042.76788000003</v>
      </c>
      <c r="BC148" s="624">
        <f t="shared" si="188"/>
        <v>3131.7261299999664</v>
      </c>
      <c r="BD148" s="31">
        <f t="shared" si="189"/>
        <v>1.8621885253383E-2</v>
      </c>
      <c r="BE148" s="52">
        <f>161598</f>
        <v>161598</v>
      </c>
      <c r="BF148" s="52">
        <f t="shared" si="173"/>
        <v>-5676</v>
      </c>
      <c r="BG148" s="58">
        <f t="shared" si="174"/>
        <v>-3.3932350514724346E-2</v>
      </c>
      <c r="BH148" s="65"/>
      <c r="BI148" s="65"/>
      <c r="BJ148" s="65"/>
      <c r="BK148" s="65"/>
      <c r="BL148" s="39">
        <f t="shared" si="175"/>
        <v>161598</v>
      </c>
      <c r="BM148" s="39">
        <f t="shared" si="176"/>
        <v>-4366.7678800000285</v>
      </c>
      <c r="BN148" s="39">
        <v>170917</v>
      </c>
      <c r="BO148" s="39">
        <f t="shared" si="165"/>
        <v>9319</v>
      </c>
      <c r="BP148" s="51">
        <f t="shared" si="177"/>
        <v>-2.631141498150618E-2</v>
      </c>
      <c r="BQ148" s="99">
        <f t="shared" si="166"/>
        <v>5.7667792918229183E-2</v>
      </c>
      <c r="BR148" s="39">
        <v>8486</v>
      </c>
      <c r="BU148" s="50">
        <v>186</v>
      </c>
      <c r="BV148" s="282">
        <f t="shared" si="178"/>
        <v>179589</v>
      </c>
      <c r="BW148" s="39">
        <f t="shared" si="179"/>
        <v>17991</v>
      </c>
      <c r="BX148" s="51">
        <f t="shared" si="180"/>
        <v>0.11133182341365611</v>
      </c>
    </row>
    <row r="149" spans="1:76" ht="18" customHeight="1">
      <c r="A149" s="353" t="s">
        <v>397</v>
      </c>
      <c r="B149" s="329"/>
      <c r="C149" s="329"/>
      <c r="D149" s="329"/>
      <c r="E149" s="329"/>
      <c r="F149" s="329"/>
      <c r="G149" s="329"/>
      <c r="H149" s="329"/>
      <c r="I149" s="329"/>
      <c r="J149" s="329"/>
      <c r="K149" s="329"/>
      <c r="L149" s="66"/>
      <c r="M149" s="258"/>
      <c r="N149" s="520"/>
      <c r="O149" s="328"/>
      <c r="P149" s="258"/>
      <c r="Q149" s="277"/>
      <c r="R149" s="258"/>
      <c r="S149" s="258"/>
      <c r="T149" s="60"/>
      <c r="U149" s="52"/>
      <c r="V149" s="52"/>
      <c r="W149" s="60"/>
      <c r="Y149" s="52"/>
      <c r="AB149" s="172"/>
      <c r="AC149" s="70"/>
      <c r="AG149" s="52">
        <f t="shared" si="168"/>
        <v>0</v>
      </c>
      <c r="AH149" s="58" t="e">
        <f t="shared" si="169"/>
        <v>#DIV/0!</v>
      </c>
      <c r="AJ149" s="50">
        <v>0</v>
      </c>
      <c r="AL149" s="136"/>
      <c r="AM149" s="258">
        <f t="shared" si="170"/>
        <v>0</v>
      </c>
      <c r="AN149" s="263">
        <v>0</v>
      </c>
      <c r="AO149" s="263">
        <v>0</v>
      </c>
      <c r="AQ149" s="65"/>
      <c r="AR149" s="65">
        <f t="shared" si="184"/>
        <v>0</v>
      </c>
      <c r="AS149" s="65">
        <f t="shared" si="185"/>
        <v>0</v>
      </c>
      <c r="AT149" s="65">
        <f t="shared" si="186"/>
        <v>0</v>
      </c>
      <c r="AU149" s="99" t="e">
        <f t="shared" si="187"/>
        <v>#DIV/0!</v>
      </c>
      <c r="AV149" s="65"/>
      <c r="AW149" s="99"/>
      <c r="AY149" s="52">
        <f t="shared" si="171"/>
        <v>0</v>
      </c>
      <c r="AZ149" s="58" t="e">
        <f t="shared" si="172"/>
        <v>#DIV/0!</v>
      </c>
      <c r="BC149" s="624">
        <f t="shared" si="188"/>
        <v>0</v>
      </c>
      <c r="BD149" s="31"/>
      <c r="BE149" s="52">
        <v>698</v>
      </c>
      <c r="BF149" s="52">
        <f t="shared" si="173"/>
        <v>698</v>
      </c>
      <c r="BG149" s="58" t="e">
        <f t="shared" si="174"/>
        <v>#DIV/0!</v>
      </c>
      <c r="BH149" s="65"/>
      <c r="BI149" s="65"/>
      <c r="BJ149" s="65"/>
      <c r="BK149" s="65"/>
      <c r="BL149" s="39">
        <f t="shared" si="175"/>
        <v>698</v>
      </c>
      <c r="BM149" s="39">
        <f t="shared" si="176"/>
        <v>698</v>
      </c>
      <c r="BN149" s="39">
        <v>700</v>
      </c>
      <c r="BO149" s="39">
        <f t="shared" si="165"/>
        <v>2</v>
      </c>
      <c r="BP149" s="51" t="e">
        <f t="shared" si="177"/>
        <v>#DIV/0!</v>
      </c>
      <c r="BQ149" s="99">
        <f t="shared" si="166"/>
        <v>2.8653295128939827E-3</v>
      </c>
      <c r="BV149" s="282">
        <f t="shared" si="178"/>
        <v>700</v>
      </c>
      <c r="BW149" s="39">
        <f t="shared" si="179"/>
        <v>2</v>
      </c>
      <c r="BX149" s="51">
        <f t="shared" si="180"/>
        <v>2.8653295128939827E-3</v>
      </c>
    </row>
    <row r="150" spans="1:76" ht="18" customHeight="1">
      <c r="A150" s="59" t="s">
        <v>188</v>
      </c>
      <c r="B150" s="327">
        <f>(325339+8354)-B163</f>
        <v>75167</v>
      </c>
      <c r="C150" s="327">
        <f>(356499+8900)-C163</f>
        <v>94023</v>
      </c>
      <c r="D150" s="327">
        <f>C150-B150</f>
        <v>18856</v>
      </c>
      <c r="E150" s="356">
        <f t="shared" si="144"/>
        <v>0.25085476339351043</v>
      </c>
      <c r="F150" s="10">
        <f>(422735+9389)-F163</f>
        <v>75000</v>
      </c>
      <c r="G150" s="10">
        <f t="shared" si="145"/>
        <v>-19023</v>
      </c>
      <c r="H150" s="14">
        <f t="shared" si="146"/>
        <v>-0.20232283590185379</v>
      </c>
      <c r="I150" s="10">
        <f>(479853+13696)-I163</f>
        <v>75161</v>
      </c>
      <c r="J150" s="10">
        <f t="shared" si="147"/>
        <v>161</v>
      </c>
      <c r="K150" s="14">
        <f t="shared" si="148"/>
        <v>2.1466666666666665E-3</v>
      </c>
      <c r="L150" s="52">
        <f>472382-L163</f>
        <v>39869</v>
      </c>
      <c r="M150" s="52">
        <v>-21167</v>
      </c>
      <c r="N150" s="58">
        <v>-4.288733236213628E-2</v>
      </c>
      <c r="O150" s="62">
        <f>530404-O163</f>
        <v>85423</v>
      </c>
      <c r="P150" s="52">
        <f t="shared" si="181"/>
        <v>45554</v>
      </c>
      <c r="Q150" s="58">
        <f t="shared" ref="Q150:Q163" si="190">P150/L150</f>
        <v>1.1425919887631995</v>
      </c>
      <c r="R150" s="52">
        <f>582107-R163</f>
        <v>95396</v>
      </c>
      <c r="S150" s="52">
        <f t="shared" si="167"/>
        <v>9973</v>
      </c>
      <c r="T150" s="58">
        <f t="shared" ref="T150:T163" si="191">S150/O150</f>
        <v>0.11674841670276155</v>
      </c>
      <c r="U150" s="52">
        <f>642434-U163</f>
        <v>94997</v>
      </c>
      <c r="V150" s="52">
        <f t="shared" si="182"/>
        <v>-399</v>
      </c>
      <c r="W150" s="58">
        <f t="shared" si="183"/>
        <v>-4.1825653067214556E-3</v>
      </c>
      <c r="X150" s="166">
        <f>676559-X163</f>
        <v>102950</v>
      </c>
      <c r="Y150" s="52">
        <f t="shared" ref="Y150:Y166" si="192">X150-U150</f>
        <v>7953</v>
      </c>
      <c r="Z150" s="95">
        <f t="shared" ref="Z150:Z163" si="193">Y150/U150</f>
        <v>8.3718433213680429E-2</v>
      </c>
      <c r="AA150" s="202">
        <v>109709</v>
      </c>
      <c r="AB150" s="172">
        <f t="shared" ref="AB150:AB163" si="194">AA150-X150</f>
        <v>6759</v>
      </c>
      <c r="AC150" s="100">
        <f t="shared" ref="AC150:AC162" si="195">AB150/X150</f>
        <v>6.565322972316659E-2</v>
      </c>
      <c r="AD150" s="65">
        <v>78190</v>
      </c>
      <c r="AE150" s="65">
        <v>14272</v>
      </c>
      <c r="AF150" s="52">
        <v>96296</v>
      </c>
      <c r="AG150" s="52">
        <f t="shared" si="168"/>
        <v>-13413</v>
      </c>
      <c r="AH150" s="58">
        <f t="shared" si="169"/>
        <v>-0.12225979637039805</v>
      </c>
      <c r="AI150" s="65">
        <f>AD150-2049</f>
        <v>76141</v>
      </c>
      <c r="AJ150" s="65">
        <f>AF150-2326</f>
        <v>93970</v>
      </c>
      <c r="AK150" s="245">
        <v>80559</v>
      </c>
      <c r="AL150" s="136"/>
      <c r="AM150" s="258">
        <f t="shared" si="170"/>
        <v>80559</v>
      </c>
      <c r="AN150" s="27">
        <v>73448</v>
      </c>
      <c r="AO150" s="27">
        <v>88400</v>
      </c>
      <c r="AP150" s="220"/>
      <c r="AQ150" s="219"/>
      <c r="AR150" s="65">
        <f t="shared" si="184"/>
        <v>0</v>
      </c>
      <c r="AS150" s="65">
        <f t="shared" si="185"/>
        <v>86601.127980000005</v>
      </c>
      <c r="AT150" s="65">
        <f t="shared" si="186"/>
        <v>-9694.8720199999952</v>
      </c>
      <c r="AU150" s="99">
        <f t="shared" si="187"/>
        <v>-0.10067782690869813</v>
      </c>
      <c r="AV150" s="65">
        <f t="shared" ref="AV150:AV156" si="196">AS150-AF150</f>
        <v>-9694.8720199999952</v>
      </c>
      <c r="AW150" s="99">
        <f t="shared" ref="AW150:AW156" si="197">AV150/AF150</f>
        <v>-0.10067782690869813</v>
      </c>
      <c r="AX150" s="52">
        <v>87102</v>
      </c>
      <c r="AY150" s="52">
        <f t="shared" si="171"/>
        <v>-9194</v>
      </c>
      <c r="AZ150" s="58">
        <f t="shared" si="172"/>
        <v>-9.5476447619838825E-2</v>
      </c>
      <c r="BA150" s="624">
        <f>74017.80624+16878.62667</f>
        <v>90896.432910000003</v>
      </c>
      <c r="BB150" s="624">
        <f>72814.55601+13786.57197</f>
        <v>86601.127980000005</v>
      </c>
      <c r="BC150" s="624">
        <f t="shared" si="188"/>
        <v>4295.3049299999984</v>
      </c>
      <c r="BD150" s="31">
        <f t="shared" si="189"/>
        <v>4.7254933912015476E-2</v>
      </c>
      <c r="BE150" s="52">
        <f>78172+7761+12500</f>
        <v>98433</v>
      </c>
      <c r="BF150" s="52">
        <f t="shared" si="173"/>
        <v>11331</v>
      </c>
      <c r="BG150" s="58">
        <f t="shared" si="174"/>
        <v>0.13008886133498657</v>
      </c>
      <c r="BH150" s="65"/>
      <c r="BI150" s="65"/>
      <c r="BJ150" s="65"/>
      <c r="BK150" s="65"/>
      <c r="BL150" s="39">
        <f t="shared" si="175"/>
        <v>98433</v>
      </c>
      <c r="BM150" s="39">
        <f t="shared" si="176"/>
        <v>11831.872019999995</v>
      </c>
      <c r="BN150" s="39">
        <v>99377</v>
      </c>
      <c r="BO150" s="39">
        <f t="shared" si="165"/>
        <v>944</v>
      </c>
      <c r="BP150" s="51">
        <f t="shared" si="177"/>
        <v>0.13662491812730768</v>
      </c>
      <c r="BQ150" s="99">
        <f t="shared" si="166"/>
        <v>9.5902796826267608E-3</v>
      </c>
      <c r="BR150" s="39">
        <v>17814</v>
      </c>
      <c r="BU150" s="220">
        <v>7</v>
      </c>
      <c r="BV150" s="282">
        <f t="shared" si="178"/>
        <v>117198</v>
      </c>
      <c r="BW150" s="39">
        <f t="shared" si="179"/>
        <v>18765</v>
      </c>
      <c r="BX150" s="51">
        <f t="shared" si="180"/>
        <v>0.19063728627594403</v>
      </c>
    </row>
    <row r="151" spans="1:76" s="79" customFormat="1" ht="18" customHeight="1">
      <c r="A151" s="59" t="s">
        <v>86</v>
      </c>
      <c r="B151" s="327">
        <f>24577+2155</f>
        <v>26732</v>
      </c>
      <c r="C151" s="327">
        <f>26636+609</f>
        <v>27245</v>
      </c>
      <c r="D151" s="327">
        <f t="shared" si="143"/>
        <v>513</v>
      </c>
      <c r="E151" s="356">
        <f t="shared" si="144"/>
        <v>1.9190483315876104E-2</v>
      </c>
      <c r="F151" s="590">
        <f>29438+975</f>
        <v>30413</v>
      </c>
      <c r="G151" s="590">
        <f t="shared" si="145"/>
        <v>3168</v>
      </c>
      <c r="H151" s="276">
        <f t="shared" si="146"/>
        <v>0.11627821618645623</v>
      </c>
      <c r="I151" s="590">
        <f>31090+1014</f>
        <v>32104</v>
      </c>
      <c r="J151" s="590">
        <f t="shared" si="147"/>
        <v>1691</v>
      </c>
      <c r="K151" s="276">
        <f t="shared" si="148"/>
        <v>5.560122316114819E-2</v>
      </c>
      <c r="L151" s="62">
        <v>32538</v>
      </c>
      <c r="M151" s="62">
        <v>435</v>
      </c>
      <c r="N151" s="241">
        <v>1.3550135501355014E-2</v>
      </c>
      <c r="O151" s="62">
        <v>35352</v>
      </c>
      <c r="P151" s="62">
        <f t="shared" si="181"/>
        <v>2814</v>
      </c>
      <c r="Q151" s="241">
        <f t="shared" si="190"/>
        <v>8.6483496219804543E-2</v>
      </c>
      <c r="R151" s="62">
        <v>43693</v>
      </c>
      <c r="S151" s="62">
        <f t="shared" si="167"/>
        <v>8341</v>
      </c>
      <c r="T151" s="241">
        <f t="shared" si="191"/>
        <v>0.23594138945462775</v>
      </c>
      <c r="U151" s="62">
        <v>47812</v>
      </c>
      <c r="V151" s="62">
        <f t="shared" si="182"/>
        <v>4119</v>
      </c>
      <c r="W151" s="241">
        <f t="shared" si="183"/>
        <v>9.427139358707344E-2</v>
      </c>
      <c r="X151" s="166">
        <v>53024</v>
      </c>
      <c r="Y151" s="62">
        <f t="shared" si="192"/>
        <v>5212</v>
      </c>
      <c r="Z151" s="95">
        <f t="shared" si="193"/>
        <v>0.10901029030368944</v>
      </c>
      <c r="AA151" s="202">
        <v>47312</v>
      </c>
      <c r="AB151" s="591">
        <f t="shared" si="194"/>
        <v>-5712</v>
      </c>
      <c r="AC151" s="592">
        <f t="shared" si="195"/>
        <v>-0.10772480386240194</v>
      </c>
      <c r="AD151" s="78">
        <v>39625</v>
      </c>
      <c r="AE151" s="78">
        <v>2014</v>
      </c>
      <c r="AF151" s="62">
        <v>48510</v>
      </c>
      <c r="AG151" s="62">
        <f t="shared" si="168"/>
        <v>1198</v>
      </c>
      <c r="AH151" s="241">
        <f t="shared" si="169"/>
        <v>2.5321271559012513E-2</v>
      </c>
      <c r="AI151" s="78">
        <f>AD151+3092</f>
        <v>42717</v>
      </c>
      <c r="AJ151" s="78">
        <f>AF151+3092</f>
        <v>51602</v>
      </c>
      <c r="AK151" s="245">
        <v>46325</v>
      </c>
      <c r="AL151" s="136">
        <v>350</v>
      </c>
      <c r="AM151" s="202">
        <f t="shared" si="170"/>
        <v>46675</v>
      </c>
      <c r="AN151" s="527">
        <v>38666</v>
      </c>
      <c r="AO151" s="527">
        <v>40065</v>
      </c>
      <c r="AP151" s="78">
        <v>4663</v>
      </c>
      <c r="AQ151" s="78">
        <v>603</v>
      </c>
      <c r="AR151" s="78">
        <f t="shared" si="184"/>
        <v>5266</v>
      </c>
      <c r="AS151" s="65">
        <f t="shared" si="185"/>
        <v>43667.288260000001</v>
      </c>
      <c r="AT151" s="78">
        <f t="shared" si="186"/>
        <v>-4842.7117399999988</v>
      </c>
      <c r="AU151" s="262">
        <f t="shared" si="187"/>
        <v>-9.982914326942896E-2</v>
      </c>
      <c r="AV151" s="78">
        <f t="shared" si="196"/>
        <v>-4842.7117399999988</v>
      </c>
      <c r="AW151" s="262">
        <f t="shared" si="197"/>
        <v>-9.982914326942896E-2</v>
      </c>
      <c r="AX151" s="62">
        <f>38972+658</f>
        <v>39630</v>
      </c>
      <c r="AY151" s="62">
        <f t="shared" si="171"/>
        <v>-8880</v>
      </c>
      <c r="AZ151" s="241">
        <f t="shared" si="172"/>
        <v>-0.18305504019789734</v>
      </c>
      <c r="BA151" s="624">
        <f>38567.28803+1394.5968</f>
        <v>39961.884830000003</v>
      </c>
      <c r="BB151" s="624">
        <f>37326.16925+1075.11901</f>
        <v>38401.288260000001</v>
      </c>
      <c r="BC151" s="624">
        <f t="shared" si="188"/>
        <v>1560.5965700000015</v>
      </c>
      <c r="BD151" s="31">
        <f t="shared" si="189"/>
        <v>3.9052126210734624E-2</v>
      </c>
      <c r="BE151" s="62">
        <f>33573+9821</f>
        <v>43394</v>
      </c>
      <c r="BF151" s="62">
        <f t="shared" si="173"/>
        <v>3764</v>
      </c>
      <c r="BG151" s="241">
        <f t="shared" si="174"/>
        <v>9.4978551602321479E-2</v>
      </c>
      <c r="BH151" s="78">
        <f>3467+10016</f>
        <v>13483</v>
      </c>
      <c r="BI151" s="78"/>
      <c r="BJ151" s="78"/>
      <c r="BK151" s="78">
        <v>252</v>
      </c>
      <c r="BL151" s="495">
        <f t="shared" si="175"/>
        <v>57129</v>
      </c>
      <c r="BM151" s="495">
        <f t="shared" si="176"/>
        <v>13461.711739999999</v>
      </c>
      <c r="BN151" s="495">
        <f>35866+9794</f>
        <v>45660</v>
      </c>
      <c r="BO151" s="39">
        <f t="shared" si="165"/>
        <v>2266</v>
      </c>
      <c r="BP151" s="587">
        <f t="shared" si="177"/>
        <v>0.30827908662080034</v>
      </c>
      <c r="BQ151" s="99">
        <f t="shared" si="166"/>
        <v>5.2219200811172053E-2</v>
      </c>
      <c r="BR151" s="495">
        <v>5014</v>
      </c>
      <c r="BU151" s="593">
        <v>5</v>
      </c>
      <c r="BV151" s="282">
        <f t="shared" si="178"/>
        <v>50679</v>
      </c>
      <c r="BW151" s="39">
        <f t="shared" si="179"/>
        <v>-6450</v>
      </c>
      <c r="BX151" s="51">
        <f t="shared" si="180"/>
        <v>-0.11290237882686552</v>
      </c>
    </row>
    <row r="152" spans="1:76" s="79" customFormat="1" ht="18" customHeight="1">
      <c r="A152" s="59" t="s">
        <v>23</v>
      </c>
      <c r="B152" s="327">
        <f>13065+108</f>
        <v>13173</v>
      </c>
      <c r="C152" s="327">
        <f>14470+0</f>
        <v>14470</v>
      </c>
      <c r="D152" s="327">
        <f t="shared" si="143"/>
        <v>1297</v>
      </c>
      <c r="E152" s="356">
        <f t="shared" si="144"/>
        <v>9.8458969103469213E-2</v>
      </c>
      <c r="F152" s="590">
        <f>14146</f>
        <v>14146</v>
      </c>
      <c r="G152" s="590">
        <f t="shared" si="145"/>
        <v>-324</v>
      </c>
      <c r="H152" s="276">
        <f t="shared" si="146"/>
        <v>-2.2391154111955771E-2</v>
      </c>
      <c r="I152" s="590">
        <v>14040</v>
      </c>
      <c r="J152" s="590">
        <f t="shared" si="147"/>
        <v>-106</v>
      </c>
      <c r="K152" s="276">
        <f t="shared" si="148"/>
        <v>-7.4932843206560159E-3</v>
      </c>
      <c r="L152" s="62">
        <v>14649</v>
      </c>
      <c r="M152" s="62">
        <v>609</v>
      </c>
      <c r="N152" s="241">
        <v>4.3376068376068375E-2</v>
      </c>
      <c r="O152" s="62">
        <v>13990</v>
      </c>
      <c r="P152" s="62">
        <f t="shared" si="181"/>
        <v>-659</v>
      </c>
      <c r="Q152" s="241">
        <f t="shared" si="190"/>
        <v>-4.4986005870707897E-2</v>
      </c>
      <c r="R152" s="62">
        <v>14681</v>
      </c>
      <c r="S152" s="62">
        <f t="shared" si="167"/>
        <v>691</v>
      </c>
      <c r="T152" s="241">
        <f t="shared" si="191"/>
        <v>4.9392423159399568E-2</v>
      </c>
      <c r="U152" s="62">
        <v>16460</v>
      </c>
      <c r="V152" s="62">
        <f t="shared" si="182"/>
        <v>1779</v>
      </c>
      <c r="W152" s="241">
        <f t="shared" si="183"/>
        <v>0.12117703153736122</v>
      </c>
      <c r="X152" s="166">
        <v>17198</v>
      </c>
      <c r="Y152" s="62">
        <f t="shared" si="192"/>
        <v>738</v>
      </c>
      <c r="Z152" s="95">
        <f t="shared" si="193"/>
        <v>4.4835965978128799E-2</v>
      </c>
      <c r="AA152" s="202">
        <v>17525</v>
      </c>
      <c r="AB152" s="591">
        <f t="shared" si="194"/>
        <v>327</v>
      </c>
      <c r="AC152" s="592">
        <f t="shared" si="195"/>
        <v>1.9013838818467264E-2</v>
      </c>
      <c r="AD152" s="78">
        <v>16218</v>
      </c>
      <c r="AE152" s="78"/>
      <c r="AF152" s="62">
        <v>16638</v>
      </c>
      <c r="AG152" s="62">
        <f t="shared" si="168"/>
        <v>-887</v>
      </c>
      <c r="AH152" s="241">
        <f t="shared" si="169"/>
        <v>-5.0613409415121255E-2</v>
      </c>
      <c r="AI152" s="78">
        <f>AD152+2200</f>
        <v>18418</v>
      </c>
      <c r="AJ152" s="78">
        <f>AF152+2200</f>
        <v>18838</v>
      </c>
      <c r="AK152" s="245">
        <v>16184</v>
      </c>
      <c r="AL152" s="136">
        <v>155</v>
      </c>
      <c r="AM152" s="202">
        <f t="shared" si="170"/>
        <v>16339</v>
      </c>
      <c r="AN152" s="527">
        <v>15758</v>
      </c>
      <c r="AO152" s="527">
        <v>15758</v>
      </c>
      <c r="AP152" s="593">
        <v>349</v>
      </c>
      <c r="AQ152" s="545">
        <v>38</v>
      </c>
      <c r="AR152" s="78">
        <f t="shared" si="184"/>
        <v>387</v>
      </c>
      <c r="AS152" s="65">
        <f t="shared" si="185"/>
        <v>17010.1865</v>
      </c>
      <c r="AT152" s="78">
        <f t="shared" si="186"/>
        <v>372.1864999999998</v>
      </c>
      <c r="AU152" s="262">
        <f t="shared" si="187"/>
        <v>2.2369665825219365E-2</v>
      </c>
      <c r="AV152" s="78">
        <f t="shared" si="196"/>
        <v>372.1864999999998</v>
      </c>
      <c r="AW152" s="262">
        <f t="shared" si="197"/>
        <v>2.2369665825219365E-2</v>
      </c>
      <c r="AX152" s="62">
        <v>16165</v>
      </c>
      <c r="AY152" s="62">
        <f t="shared" si="171"/>
        <v>-473</v>
      </c>
      <c r="AZ152" s="241">
        <f t="shared" si="172"/>
        <v>-2.8428897704050968E-2</v>
      </c>
      <c r="BA152" s="624">
        <v>16678.645189999999</v>
      </c>
      <c r="BB152" s="624">
        <v>16623.1865</v>
      </c>
      <c r="BC152" s="624">
        <f t="shared" si="188"/>
        <v>55.458689999999478</v>
      </c>
      <c r="BD152" s="31">
        <f t="shared" si="189"/>
        <v>3.3251315900197217E-3</v>
      </c>
      <c r="BE152" s="62">
        <v>16068</v>
      </c>
      <c r="BF152" s="62">
        <f t="shared" si="173"/>
        <v>-97</v>
      </c>
      <c r="BG152" s="241">
        <f t="shared" si="174"/>
        <v>-6.0006186204763379E-3</v>
      </c>
      <c r="BH152" s="78">
        <v>347</v>
      </c>
      <c r="BI152" s="78"/>
      <c r="BJ152" s="78"/>
      <c r="BK152" s="78">
        <v>49</v>
      </c>
      <c r="BL152" s="495">
        <f t="shared" si="175"/>
        <v>16464</v>
      </c>
      <c r="BM152" s="495">
        <f t="shared" si="176"/>
        <v>-546.1864999999998</v>
      </c>
      <c r="BN152" s="495">
        <v>16153</v>
      </c>
      <c r="BO152" s="39">
        <f t="shared" si="165"/>
        <v>85</v>
      </c>
      <c r="BP152" s="587">
        <f t="shared" si="177"/>
        <v>-3.2109377519170632E-2</v>
      </c>
      <c r="BQ152" s="99">
        <f t="shared" si="166"/>
        <v>5.2900174259397558E-3</v>
      </c>
      <c r="BR152" s="495">
        <v>2058</v>
      </c>
      <c r="BU152" s="593">
        <v>0</v>
      </c>
      <c r="BV152" s="282">
        <f t="shared" si="178"/>
        <v>18211</v>
      </c>
      <c r="BW152" s="39">
        <f t="shared" si="179"/>
        <v>1747</v>
      </c>
      <c r="BX152" s="51">
        <f t="shared" si="180"/>
        <v>0.10611030126336249</v>
      </c>
    </row>
    <row r="153" spans="1:76" ht="18" customHeight="1">
      <c r="A153" s="57" t="s">
        <v>24</v>
      </c>
      <c r="B153" s="326">
        <v>4133</v>
      </c>
      <c r="C153" s="326">
        <v>3838</v>
      </c>
      <c r="D153" s="327">
        <f t="shared" si="143"/>
        <v>-295</v>
      </c>
      <c r="E153" s="356">
        <f t="shared" si="144"/>
        <v>-7.1376723929349142E-2</v>
      </c>
      <c r="F153" s="10">
        <v>9182</v>
      </c>
      <c r="G153" s="10">
        <f t="shared" si="145"/>
        <v>5344</v>
      </c>
      <c r="H153" s="14">
        <f t="shared" si="146"/>
        <v>1.3923918707660239</v>
      </c>
      <c r="I153" s="10">
        <v>8967</v>
      </c>
      <c r="J153" s="10">
        <f t="shared" si="147"/>
        <v>-215</v>
      </c>
      <c r="K153" s="14">
        <f t="shared" si="148"/>
        <v>-2.3415377913308649E-2</v>
      </c>
      <c r="L153" s="52">
        <v>5498</v>
      </c>
      <c r="M153" s="52">
        <v>-3469</v>
      </c>
      <c r="N153" s="58">
        <v>-0.38686294189807069</v>
      </c>
      <c r="O153" s="52">
        <v>5198</v>
      </c>
      <c r="P153" s="52">
        <f t="shared" si="181"/>
        <v>-300</v>
      </c>
      <c r="Q153" s="58">
        <f t="shared" si="190"/>
        <v>-5.4565296471444161E-2</v>
      </c>
      <c r="R153" s="52">
        <v>5056</v>
      </c>
      <c r="S153" s="52">
        <f t="shared" si="167"/>
        <v>-142</v>
      </c>
      <c r="T153" s="58">
        <f t="shared" si="191"/>
        <v>-2.7318199307425933E-2</v>
      </c>
      <c r="U153" s="52">
        <v>5250</v>
      </c>
      <c r="V153" s="52">
        <f t="shared" si="182"/>
        <v>194</v>
      </c>
      <c r="W153" s="58">
        <f t="shared" si="183"/>
        <v>3.8370253164556965E-2</v>
      </c>
      <c r="X153" s="166">
        <v>6459</v>
      </c>
      <c r="Y153" s="52">
        <f t="shared" si="192"/>
        <v>1209</v>
      </c>
      <c r="Z153" s="95">
        <f t="shared" si="193"/>
        <v>0.23028571428571429</v>
      </c>
      <c r="AA153" s="202">
        <v>5500</v>
      </c>
      <c r="AB153" s="172">
        <f t="shared" si="194"/>
        <v>-959</v>
      </c>
      <c r="AC153" s="100">
        <f t="shared" si="195"/>
        <v>-0.1484749961294318</v>
      </c>
      <c r="AD153" s="65">
        <v>11136</v>
      </c>
      <c r="AE153" s="65"/>
      <c r="AF153" s="52">
        <v>17231</v>
      </c>
      <c r="AG153" s="52">
        <f t="shared" si="168"/>
        <v>11731</v>
      </c>
      <c r="AH153" s="58">
        <f t="shared" si="169"/>
        <v>2.1329090909090911</v>
      </c>
      <c r="AI153" s="65">
        <f>AD153+6900</f>
        <v>18036</v>
      </c>
      <c r="AJ153" s="65">
        <f>AF153+6900</f>
        <v>24131</v>
      </c>
      <c r="AK153" s="245">
        <v>11136</v>
      </c>
      <c r="AL153" s="136"/>
      <c r="AM153" s="258">
        <f t="shared" si="170"/>
        <v>11136</v>
      </c>
      <c r="AN153" s="27">
        <v>18512</v>
      </c>
      <c r="AO153" s="27">
        <v>18512</v>
      </c>
      <c r="AQ153" s="65"/>
      <c r="AR153" s="65">
        <f t="shared" si="184"/>
        <v>0</v>
      </c>
      <c r="AS153" s="65">
        <f t="shared" si="185"/>
        <v>16325.28104</v>
      </c>
      <c r="AT153" s="65">
        <f t="shared" si="186"/>
        <v>-905.71896000000015</v>
      </c>
      <c r="AU153" s="99">
        <f t="shared" si="187"/>
        <v>-5.2563342812373057E-2</v>
      </c>
      <c r="AV153" s="65">
        <f t="shared" si="196"/>
        <v>-905.71896000000015</v>
      </c>
      <c r="AW153" s="99">
        <f t="shared" si="197"/>
        <v>-5.2563342812373057E-2</v>
      </c>
      <c r="AX153" s="52">
        <v>18512</v>
      </c>
      <c r="AY153" s="52">
        <f t="shared" si="171"/>
        <v>1281</v>
      </c>
      <c r="AZ153" s="58">
        <f t="shared" si="172"/>
        <v>7.434275433811155E-2</v>
      </c>
      <c r="BA153" s="624">
        <v>18512</v>
      </c>
      <c r="BB153" s="624">
        <v>16325.28104</v>
      </c>
      <c r="BC153" s="624">
        <f t="shared" si="188"/>
        <v>2186.7189600000002</v>
      </c>
      <c r="BD153" s="31">
        <f t="shared" si="189"/>
        <v>0.1181244036300778</v>
      </c>
      <c r="BE153" s="52">
        <v>6512</v>
      </c>
      <c r="BF153" s="52">
        <f t="shared" si="173"/>
        <v>-12000</v>
      </c>
      <c r="BG153" s="58">
        <f t="shared" si="174"/>
        <v>-0.64822817631806395</v>
      </c>
      <c r="BH153" s="65"/>
      <c r="BI153" s="65"/>
      <c r="BJ153" s="65"/>
      <c r="BK153" s="65"/>
      <c r="BL153" s="39">
        <f t="shared" si="175"/>
        <v>6512</v>
      </c>
      <c r="BM153" s="39">
        <f t="shared" si="176"/>
        <v>-9813.2810399999998</v>
      </c>
      <c r="BN153" s="39">
        <v>6512</v>
      </c>
      <c r="BO153" s="39">
        <f t="shared" si="165"/>
        <v>0</v>
      </c>
      <c r="BP153" s="51">
        <f t="shared" si="177"/>
        <v>-0.60110947039475893</v>
      </c>
      <c r="BQ153" s="99">
        <f t="shared" si="166"/>
        <v>0</v>
      </c>
      <c r="BV153" s="282">
        <f t="shared" si="178"/>
        <v>6512</v>
      </c>
      <c r="BW153" s="39">
        <f t="shared" si="179"/>
        <v>0</v>
      </c>
      <c r="BX153" s="51">
        <f t="shared" si="180"/>
        <v>0</v>
      </c>
    </row>
    <row r="154" spans="1:76" ht="18" customHeight="1">
      <c r="A154" s="57" t="s">
        <v>25</v>
      </c>
      <c r="B154" s="326">
        <v>28993</v>
      </c>
      <c r="C154" s="326">
        <v>27805</v>
      </c>
      <c r="D154" s="327">
        <f t="shared" si="143"/>
        <v>-1188</v>
      </c>
      <c r="E154" s="356">
        <f t="shared" si="144"/>
        <v>-4.0975407857068949E-2</v>
      </c>
      <c r="F154" s="10">
        <v>27701</v>
      </c>
      <c r="G154" s="10">
        <f t="shared" si="145"/>
        <v>-104</v>
      </c>
      <c r="H154" s="14">
        <f t="shared" si="146"/>
        <v>-3.7403344722172272E-3</v>
      </c>
      <c r="I154" s="10">
        <v>29991</v>
      </c>
      <c r="J154" s="10">
        <f t="shared" si="147"/>
        <v>2290</v>
      </c>
      <c r="K154" s="14">
        <f t="shared" si="148"/>
        <v>8.2668495722176091E-2</v>
      </c>
      <c r="L154" s="52">
        <v>30611</v>
      </c>
      <c r="M154" s="52">
        <v>620</v>
      </c>
      <c r="N154" s="58">
        <v>2.0672868527224834E-2</v>
      </c>
      <c r="O154" s="52">
        <v>29013</v>
      </c>
      <c r="P154" s="52">
        <f t="shared" si="181"/>
        <v>-1598</v>
      </c>
      <c r="Q154" s="58">
        <f t="shared" si="190"/>
        <v>-5.220345627388847E-2</v>
      </c>
      <c r="R154" s="52">
        <v>28751</v>
      </c>
      <c r="S154" s="52">
        <f t="shared" si="167"/>
        <v>-262</v>
      </c>
      <c r="T154" s="58">
        <f t="shared" si="191"/>
        <v>-9.0304346327508365E-3</v>
      </c>
      <c r="U154" s="52">
        <v>24851</v>
      </c>
      <c r="V154" s="52">
        <f t="shared" si="182"/>
        <v>-3900</v>
      </c>
      <c r="W154" s="58">
        <f t="shared" si="183"/>
        <v>-0.13564745574066989</v>
      </c>
      <c r="X154" s="166">
        <v>28220</v>
      </c>
      <c r="Y154" s="52">
        <f t="shared" si="192"/>
        <v>3369</v>
      </c>
      <c r="Z154" s="95">
        <f t="shared" si="193"/>
        <v>0.13556798519174279</v>
      </c>
      <c r="AA154" s="202">
        <v>15030</v>
      </c>
      <c r="AB154" s="172">
        <f t="shared" si="194"/>
        <v>-13190</v>
      </c>
      <c r="AC154" s="100">
        <f t="shared" si="195"/>
        <v>-0.46739900779588944</v>
      </c>
      <c r="AD154" s="65">
        <v>25163</v>
      </c>
      <c r="AE154" s="65"/>
      <c r="AF154" s="52">
        <v>38310</v>
      </c>
      <c r="AG154" s="52">
        <f t="shared" si="168"/>
        <v>23280</v>
      </c>
      <c r="AH154" s="58">
        <f t="shared" si="169"/>
        <v>1.5489021956087825</v>
      </c>
      <c r="AI154" s="65">
        <f>AD154+3200</f>
        <v>28363</v>
      </c>
      <c r="AJ154" s="65">
        <f>AF154+3200</f>
        <v>41510</v>
      </c>
      <c r="AK154" s="245">
        <v>30163</v>
      </c>
      <c r="AL154" s="136"/>
      <c r="AM154" s="258">
        <f t="shared" si="170"/>
        <v>30163</v>
      </c>
      <c r="AN154" s="27">
        <v>28169</v>
      </c>
      <c r="AO154" s="27">
        <v>28169</v>
      </c>
      <c r="AQ154" s="65">
        <v>18</v>
      </c>
      <c r="AR154" s="65">
        <f t="shared" si="184"/>
        <v>18</v>
      </c>
      <c r="AS154" s="65">
        <f t="shared" si="185"/>
        <v>29318.698120000001</v>
      </c>
      <c r="AT154" s="65">
        <f t="shared" si="186"/>
        <v>-8991.3018799999991</v>
      </c>
      <c r="AU154" s="99">
        <f t="shared" si="187"/>
        <v>-0.234698561211172</v>
      </c>
      <c r="AV154" s="65">
        <f t="shared" si="196"/>
        <v>-8991.3018799999991</v>
      </c>
      <c r="AW154" s="99">
        <f t="shared" si="197"/>
        <v>-0.234698561211172</v>
      </c>
      <c r="AX154" s="52">
        <v>38169</v>
      </c>
      <c r="AY154" s="52">
        <f t="shared" si="171"/>
        <v>-141</v>
      </c>
      <c r="AZ154" s="58">
        <f t="shared" si="172"/>
        <v>-3.6805011746280343E-3</v>
      </c>
      <c r="BA154" s="624">
        <v>29300.698120000001</v>
      </c>
      <c r="BB154" s="624">
        <v>29300.698120000001</v>
      </c>
      <c r="BC154" s="624">
        <f t="shared" si="188"/>
        <v>0</v>
      </c>
      <c r="BD154" s="31">
        <f t="shared" si="189"/>
        <v>0</v>
      </c>
      <c r="BE154" s="52">
        <v>19658</v>
      </c>
      <c r="BF154" s="52">
        <f t="shared" si="173"/>
        <v>-18511</v>
      </c>
      <c r="BG154" s="58">
        <f t="shared" si="174"/>
        <v>-0.48497471770284784</v>
      </c>
      <c r="BH154" s="65"/>
      <c r="BI154" s="65"/>
      <c r="BJ154" s="65"/>
      <c r="BK154" s="65"/>
      <c r="BL154" s="39">
        <f t="shared" si="175"/>
        <v>19658</v>
      </c>
      <c r="BM154" s="39">
        <f t="shared" si="176"/>
        <v>-9660.6981200000009</v>
      </c>
      <c r="BN154" s="39">
        <v>19822</v>
      </c>
      <c r="BO154" s="39">
        <f t="shared" si="165"/>
        <v>164</v>
      </c>
      <c r="BP154" s="51">
        <f t="shared" si="177"/>
        <v>-0.32950638123354709</v>
      </c>
      <c r="BQ154" s="99">
        <f t="shared" si="166"/>
        <v>8.3426594770576873E-3</v>
      </c>
      <c r="BV154" s="282">
        <f t="shared" si="178"/>
        <v>19822</v>
      </c>
      <c r="BW154" s="39">
        <f t="shared" si="179"/>
        <v>164</v>
      </c>
      <c r="BX154" s="51">
        <f t="shared" si="180"/>
        <v>8.3426594770576873E-3</v>
      </c>
    </row>
    <row r="155" spans="1:76" s="79" customFormat="1" ht="18" customHeight="1">
      <c r="A155" s="59" t="s">
        <v>26</v>
      </c>
      <c r="B155" s="327">
        <v>734</v>
      </c>
      <c r="C155" s="327">
        <v>1153</v>
      </c>
      <c r="D155" s="327">
        <f t="shared" si="143"/>
        <v>419</v>
      </c>
      <c r="E155" s="356">
        <f t="shared" si="144"/>
        <v>0.57084468664850141</v>
      </c>
      <c r="F155" s="590">
        <v>1535</v>
      </c>
      <c r="G155" s="590">
        <f t="shared" si="145"/>
        <v>382</v>
      </c>
      <c r="H155" s="276">
        <f t="shared" si="146"/>
        <v>0.3313096270598439</v>
      </c>
      <c r="I155" s="590">
        <v>1592</v>
      </c>
      <c r="J155" s="590">
        <f t="shared" si="147"/>
        <v>57</v>
      </c>
      <c r="K155" s="276">
        <f t="shared" si="148"/>
        <v>3.713355048859935E-2</v>
      </c>
      <c r="L155" s="62">
        <v>1706</v>
      </c>
      <c r="M155" s="62">
        <v>114</v>
      </c>
      <c r="N155" s="241">
        <v>7.160804020100503E-2</v>
      </c>
      <c r="O155" s="62">
        <v>2215</v>
      </c>
      <c r="P155" s="62">
        <f t="shared" si="181"/>
        <v>509</v>
      </c>
      <c r="Q155" s="241">
        <f t="shared" si="190"/>
        <v>0.29835873388042206</v>
      </c>
      <c r="R155" s="62">
        <v>2322</v>
      </c>
      <c r="S155" s="62">
        <f t="shared" si="167"/>
        <v>107</v>
      </c>
      <c r="T155" s="241">
        <f t="shared" si="191"/>
        <v>4.8306997742663657E-2</v>
      </c>
      <c r="U155" s="62">
        <v>2359</v>
      </c>
      <c r="V155" s="62">
        <f t="shared" si="182"/>
        <v>37</v>
      </c>
      <c r="W155" s="241">
        <f t="shared" si="183"/>
        <v>1.5934539190353144E-2</v>
      </c>
      <c r="X155" s="166">
        <v>2605</v>
      </c>
      <c r="Y155" s="62">
        <f t="shared" si="192"/>
        <v>246</v>
      </c>
      <c r="Z155" s="95">
        <f t="shared" si="193"/>
        <v>0.10428147520135651</v>
      </c>
      <c r="AA155" s="202">
        <v>2757</v>
      </c>
      <c r="AB155" s="591">
        <f t="shared" si="194"/>
        <v>152</v>
      </c>
      <c r="AC155" s="592">
        <f t="shared" si="195"/>
        <v>5.8349328214971206E-2</v>
      </c>
      <c r="AD155" s="78">
        <v>2617</v>
      </c>
      <c r="AE155" s="78"/>
      <c r="AF155" s="62">
        <v>2222</v>
      </c>
      <c r="AG155" s="62">
        <f t="shared" si="168"/>
        <v>-535</v>
      </c>
      <c r="AH155" s="241">
        <f t="shared" si="169"/>
        <v>-0.19405150525933987</v>
      </c>
      <c r="AI155" s="78">
        <f>AD155-312</f>
        <v>2305</v>
      </c>
      <c r="AJ155" s="78">
        <f>AF155-312</f>
        <v>1910</v>
      </c>
      <c r="AK155" s="245">
        <v>2673</v>
      </c>
      <c r="AL155" s="136">
        <v>5</v>
      </c>
      <c r="AM155" s="202">
        <f t="shared" si="170"/>
        <v>2678</v>
      </c>
      <c r="AN155" s="527">
        <v>2200</v>
      </c>
      <c r="AO155" s="527">
        <v>2200</v>
      </c>
      <c r="AP155" s="79">
        <v>103</v>
      </c>
      <c r="AQ155" s="78">
        <v>46</v>
      </c>
      <c r="AR155" s="78">
        <f t="shared" si="184"/>
        <v>149</v>
      </c>
      <c r="AS155" s="65">
        <f t="shared" si="185"/>
        <v>2299.1309999999999</v>
      </c>
      <c r="AT155" s="78">
        <f t="shared" si="186"/>
        <v>77.130999999999858</v>
      </c>
      <c r="AU155" s="262">
        <f t="shared" si="187"/>
        <v>3.4712421242124147E-2</v>
      </c>
      <c r="AV155" s="78">
        <f t="shared" si="196"/>
        <v>77.130999999999858</v>
      </c>
      <c r="AW155" s="262">
        <f t="shared" si="197"/>
        <v>3.4712421242124147E-2</v>
      </c>
      <c r="AX155" s="62">
        <v>2166</v>
      </c>
      <c r="AY155" s="62">
        <f t="shared" si="171"/>
        <v>-56</v>
      </c>
      <c r="AZ155" s="241">
        <f t="shared" si="172"/>
        <v>-2.5202520252025202E-2</v>
      </c>
      <c r="BA155" s="624">
        <v>2166.41345</v>
      </c>
      <c r="BB155" s="624">
        <v>2150.1309999999999</v>
      </c>
      <c r="BC155" s="624">
        <f t="shared" si="188"/>
        <v>16.282450000000154</v>
      </c>
      <c r="BD155" s="31">
        <f t="shared" si="189"/>
        <v>7.515855295303929E-3</v>
      </c>
      <c r="BE155" s="62">
        <v>2148</v>
      </c>
      <c r="BF155" s="62">
        <f t="shared" si="173"/>
        <v>-18</v>
      </c>
      <c r="BG155" s="241">
        <f t="shared" si="174"/>
        <v>-8.3102493074792248E-3</v>
      </c>
      <c r="BH155" s="78">
        <v>80</v>
      </c>
      <c r="BI155" s="78"/>
      <c r="BJ155" s="78"/>
      <c r="BK155" s="78">
        <v>18</v>
      </c>
      <c r="BL155" s="495">
        <f t="shared" si="175"/>
        <v>2246</v>
      </c>
      <c r="BM155" s="495">
        <f t="shared" si="176"/>
        <v>-53.130999999999858</v>
      </c>
      <c r="BN155" s="495">
        <v>2193</v>
      </c>
      <c r="BO155" s="39">
        <f t="shared" si="165"/>
        <v>45</v>
      </c>
      <c r="BP155" s="587">
        <f t="shared" si="177"/>
        <v>-2.3109166028381967E-2</v>
      </c>
      <c r="BQ155" s="99">
        <f t="shared" si="166"/>
        <v>2.094972067039106E-2</v>
      </c>
      <c r="BR155" s="495">
        <v>99</v>
      </c>
      <c r="BU155" s="593">
        <v>1</v>
      </c>
      <c r="BV155" s="282">
        <f t="shared" si="178"/>
        <v>2293</v>
      </c>
      <c r="BW155" s="39">
        <f t="shared" si="179"/>
        <v>47</v>
      </c>
      <c r="BX155" s="51">
        <f t="shared" si="180"/>
        <v>2.0926090828138913E-2</v>
      </c>
    </row>
    <row r="156" spans="1:76" s="79" customFormat="1" ht="18" customHeight="1">
      <c r="A156" s="59" t="s">
        <v>27</v>
      </c>
      <c r="B156" s="327">
        <v>889</v>
      </c>
      <c r="C156" s="327">
        <v>2307</v>
      </c>
      <c r="D156" s="327">
        <f t="shared" si="143"/>
        <v>1418</v>
      </c>
      <c r="E156" s="356">
        <f t="shared" si="144"/>
        <v>1.5950506186726658</v>
      </c>
      <c r="F156" s="590">
        <v>2808</v>
      </c>
      <c r="G156" s="590">
        <f t="shared" si="145"/>
        <v>501</v>
      </c>
      <c r="H156" s="276">
        <f t="shared" si="146"/>
        <v>0.21716514954486346</v>
      </c>
      <c r="I156" s="590">
        <v>2962</v>
      </c>
      <c r="J156" s="590">
        <f t="shared" si="147"/>
        <v>154</v>
      </c>
      <c r="K156" s="276">
        <f t="shared" si="148"/>
        <v>5.4843304843304845E-2</v>
      </c>
      <c r="L156" s="62">
        <v>3040</v>
      </c>
      <c r="M156" s="62">
        <v>78</v>
      </c>
      <c r="N156" s="241">
        <v>2.6333558406482108E-2</v>
      </c>
      <c r="O156" s="62">
        <v>3874</v>
      </c>
      <c r="P156" s="62">
        <f t="shared" si="181"/>
        <v>834</v>
      </c>
      <c r="Q156" s="241">
        <f t="shared" si="190"/>
        <v>0.27434210526315789</v>
      </c>
      <c r="R156" s="62">
        <v>3652</v>
      </c>
      <c r="S156" s="62">
        <f t="shared" si="167"/>
        <v>-222</v>
      </c>
      <c r="T156" s="241">
        <f t="shared" si="191"/>
        <v>-5.7305110996386167E-2</v>
      </c>
      <c r="U156" s="62">
        <v>4130</v>
      </c>
      <c r="V156" s="62">
        <f t="shared" si="182"/>
        <v>478</v>
      </c>
      <c r="W156" s="241">
        <f t="shared" si="183"/>
        <v>0.13088718510405256</v>
      </c>
      <c r="X156" s="166">
        <v>4120</v>
      </c>
      <c r="Y156" s="62">
        <f t="shared" si="192"/>
        <v>-10</v>
      </c>
      <c r="Z156" s="95">
        <f t="shared" si="193"/>
        <v>-2.4213075060532689E-3</v>
      </c>
      <c r="AA156" s="202">
        <v>4587</v>
      </c>
      <c r="AB156" s="591">
        <f t="shared" si="194"/>
        <v>467</v>
      </c>
      <c r="AC156" s="592">
        <f t="shared" si="195"/>
        <v>0.1133495145631068</v>
      </c>
      <c r="AD156" s="78">
        <v>3821</v>
      </c>
      <c r="AE156" s="78"/>
      <c r="AF156" s="62">
        <v>3712</v>
      </c>
      <c r="AG156" s="62">
        <f t="shared" si="168"/>
        <v>-875</v>
      </c>
      <c r="AH156" s="241">
        <f t="shared" si="169"/>
        <v>-0.19075648572051448</v>
      </c>
      <c r="AI156" s="78">
        <f>AD156-45</f>
        <v>3776</v>
      </c>
      <c r="AJ156" s="78">
        <f>AF156-45</f>
        <v>3667</v>
      </c>
      <c r="AK156" s="245">
        <v>3867</v>
      </c>
      <c r="AL156" s="136"/>
      <c r="AM156" s="202">
        <f t="shared" si="170"/>
        <v>3867</v>
      </c>
      <c r="AN156" s="527">
        <v>2100</v>
      </c>
      <c r="AO156" s="527">
        <v>2100</v>
      </c>
      <c r="AP156" s="593">
        <v>78</v>
      </c>
      <c r="AQ156" s="78">
        <v>5</v>
      </c>
      <c r="AR156" s="78">
        <f t="shared" si="184"/>
        <v>83</v>
      </c>
      <c r="AS156" s="65">
        <f t="shared" si="185"/>
        <v>2614.3733400000001</v>
      </c>
      <c r="AT156" s="78">
        <f t="shared" si="186"/>
        <v>-1097.6266599999999</v>
      </c>
      <c r="AU156" s="262">
        <f t="shared" si="187"/>
        <v>-0.29569683728448271</v>
      </c>
      <c r="AV156" s="78">
        <f t="shared" si="196"/>
        <v>-1097.6266599999999</v>
      </c>
      <c r="AW156" s="262">
        <f t="shared" si="197"/>
        <v>-0.29569683728448271</v>
      </c>
      <c r="AX156" s="62">
        <v>2664</v>
      </c>
      <c r="AY156" s="62">
        <f t="shared" si="171"/>
        <v>-1048</v>
      </c>
      <c r="AZ156" s="241">
        <f t="shared" si="172"/>
        <v>-0.28232758620689657</v>
      </c>
      <c r="BA156" s="624">
        <v>2603.8374399999998</v>
      </c>
      <c r="BB156" s="624">
        <v>2531.3733400000001</v>
      </c>
      <c r="BC156" s="624">
        <f t="shared" si="188"/>
        <v>72.464099999999689</v>
      </c>
      <c r="BD156" s="31">
        <f t="shared" si="189"/>
        <v>2.7829732719412657E-2</v>
      </c>
      <c r="BE156" s="62">
        <v>2666</v>
      </c>
      <c r="BF156" s="62">
        <f t="shared" si="173"/>
        <v>2</v>
      </c>
      <c r="BG156" s="241">
        <f t="shared" si="174"/>
        <v>7.5075075075075074E-4</v>
      </c>
      <c r="BH156" s="78">
        <v>73</v>
      </c>
      <c r="BI156" s="78"/>
      <c r="BJ156" s="78"/>
      <c r="BK156" s="78">
        <v>7</v>
      </c>
      <c r="BL156" s="495">
        <f t="shared" si="175"/>
        <v>2746</v>
      </c>
      <c r="BM156" s="495">
        <f t="shared" si="176"/>
        <v>131.6266599999999</v>
      </c>
      <c r="BN156" s="495">
        <v>2685</v>
      </c>
      <c r="BO156" s="39">
        <f t="shared" si="165"/>
        <v>19</v>
      </c>
      <c r="BP156" s="587">
        <f t="shared" si="177"/>
        <v>5.0347308085692113E-2</v>
      </c>
      <c r="BQ156" s="99">
        <f t="shared" si="166"/>
        <v>7.1267816954238561E-3</v>
      </c>
      <c r="BR156" s="495">
        <v>74</v>
      </c>
      <c r="BU156" s="593">
        <v>0</v>
      </c>
      <c r="BV156" s="282">
        <f t="shared" si="178"/>
        <v>2759</v>
      </c>
      <c r="BW156" s="39">
        <f t="shared" si="179"/>
        <v>13</v>
      </c>
      <c r="BX156" s="51">
        <f t="shared" si="180"/>
        <v>4.7341587764020395E-3</v>
      </c>
    </row>
    <row r="157" spans="1:76" ht="18" customHeight="1">
      <c r="A157" s="59" t="s">
        <v>190</v>
      </c>
      <c r="B157" s="327">
        <v>304</v>
      </c>
      <c r="C157" s="327">
        <v>389</v>
      </c>
      <c r="D157" s="327">
        <f t="shared" si="143"/>
        <v>85</v>
      </c>
      <c r="E157" s="356">
        <f t="shared" si="144"/>
        <v>0.27960526315789475</v>
      </c>
      <c r="F157" s="10">
        <f>197+2510</f>
        <v>2707</v>
      </c>
      <c r="G157" s="10">
        <f t="shared" si="145"/>
        <v>2318</v>
      </c>
      <c r="H157" s="14">
        <f t="shared" si="146"/>
        <v>5.958868894601542</v>
      </c>
      <c r="I157" s="10">
        <f>416+2452</f>
        <v>2868</v>
      </c>
      <c r="J157" s="10">
        <f t="shared" si="147"/>
        <v>161</v>
      </c>
      <c r="K157" s="14">
        <f t="shared" si="148"/>
        <v>5.9475434059844845E-2</v>
      </c>
      <c r="L157" s="52">
        <v>1977</v>
      </c>
      <c r="M157" s="52">
        <v>-891</v>
      </c>
      <c r="N157" s="58">
        <v>-0.31066945606694563</v>
      </c>
      <c r="O157" s="52">
        <v>4306</v>
      </c>
      <c r="P157" s="52">
        <f t="shared" si="181"/>
        <v>2329</v>
      </c>
      <c r="Q157" s="58">
        <f t="shared" si="190"/>
        <v>1.1780475467880627</v>
      </c>
      <c r="R157" s="52">
        <v>3004</v>
      </c>
      <c r="S157" s="52">
        <f t="shared" si="167"/>
        <v>-1302</v>
      </c>
      <c r="T157" s="58">
        <f t="shared" si="191"/>
        <v>-0.30236878773803993</v>
      </c>
      <c r="U157" s="52">
        <v>-2</v>
      </c>
      <c r="V157" s="52">
        <f t="shared" si="182"/>
        <v>-3006</v>
      </c>
      <c r="W157" s="58">
        <f t="shared" si="183"/>
        <v>-1.0006657789613849</v>
      </c>
      <c r="X157" s="166">
        <v>-34</v>
      </c>
      <c r="Y157" s="52">
        <f t="shared" si="192"/>
        <v>-32</v>
      </c>
      <c r="Z157" s="95">
        <f t="shared" si="193"/>
        <v>16</v>
      </c>
      <c r="AB157" s="172">
        <f t="shared" si="194"/>
        <v>34</v>
      </c>
      <c r="AC157" s="100">
        <f t="shared" si="195"/>
        <v>-1</v>
      </c>
      <c r="AG157" s="52">
        <f t="shared" si="168"/>
        <v>0</v>
      </c>
      <c r="AH157" s="58" t="e">
        <f t="shared" si="169"/>
        <v>#DIV/0!</v>
      </c>
      <c r="AK157" s="220"/>
      <c r="AL157" s="136"/>
      <c r="AM157" s="258">
        <f t="shared" si="170"/>
        <v>0</v>
      </c>
      <c r="AN157" s="219">
        <v>0</v>
      </c>
      <c r="AO157" s="219">
        <v>0</v>
      </c>
      <c r="AQ157" s="65"/>
      <c r="AR157" s="65">
        <f t="shared" si="184"/>
        <v>0</v>
      </c>
      <c r="AS157" s="65">
        <f t="shared" si="185"/>
        <v>0</v>
      </c>
      <c r="AT157" s="65">
        <f t="shared" si="186"/>
        <v>0</v>
      </c>
      <c r="AU157" s="99" t="e">
        <f t="shared" si="187"/>
        <v>#DIV/0!</v>
      </c>
      <c r="AV157" s="65"/>
      <c r="AW157" s="99"/>
      <c r="AY157" s="52">
        <f t="shared" si="171"/>
        <v>0</v>
      </c>
      <c r="AZ157" s="58" t="e">
        <f t="shared" si="172"/>
        <v>#DIV/0!</v>
      </c>
      <c r="BC157" s="624">
        <f t="shared" si="188"/>
        <v>0</v>
      </c>
      <c r="BD157" s="31"/>
      <c r="BF157" s="52">
        <f t="shared" si="173"/>
        <v>0</v>
      </c>
      <c r="BG157" s="58" t="e">
        <f t="shared" si="174"/>
        <v>#DIV/0!</v>
      </c>
      <c r="BH157" s="65"/>
      <c r="BI157" s="65"/>
      <c r="BJ157" s="65"/>
      <c r="BK157" s="65"/>
      <c r="BL157" s="39">
        <f t="shared" si="175"/>
        <v>0</v>
      </c>
      <c r="BM157" s="39">
        <f t="shared" si="176"/>
        <v>0</v>
      </c>
      <c r="BN157" s="39"/>
      <c r="BO157" s="39">
        <f t="shared" si="165"/>
        <v>0</v>
      </c>
      <c r="BP157" s="51" t="e">
        <f t="shared" si="177"/>
        <v>#DIV/0!</v>
      </c>
      <c r="BQ157" s="99" t="e">
        <f t="shared" si="166"/>
        <v>#DIV/0!</v>
      </c>
      <c r="BV157" s="282">
        <f>BN158+BR157+BS157+BT157+BU157</f>
        <v>3000</v>
      </c>
      <c r="BW157" s="39">
        <f t="shared" si="179"/>
        <v>3000</v>
      </c>
      <c r="BX157" s="51" t="e">
        <f t="shared" si="180"/>
        <v>#DIV/0!</v>
      </c>
    </row>
    <row r="158" spans="1:76" ht="18" customHeight="1">
      <c r="A158" s="57" t="s">
        <v>74</v>
      </c>
      <c r="B158" s="326"/>
      <c r="C158" s="326">
        <v>5000</v>
      </c>
      <c r="D158" s="327">
        <f>C158-B158</f>
        <v>5000</v>
      </c>
      <c r="E158" s="329" t="s">
        <v>78</v>
      </c>
      <c r="F158" s="10">
        <v>5831</v>
      </c>
      <c r="G158" s="10">
        <f t="shared" si="145"/>
        <v>831</v>
      </c>
      <c r="H158" s="14">
        <f t="shared" si="146"/>
        <v>0.16619999999999999</v>
      </c>
      <c r="I158" s="10">
        <v>2868</v>
      </c>
      <c r="J158" s="10">
        <f t="shared" si="147"/>
        <v>-2963</v>
      </c>
      <c r="K158" s="14">
        <f t="shared" si="148"/>
        <v>-0.50814611558909273</v>
      </c>
      <c r="L158" s="52">
        <v>4868</v>
      </c>
      <c r="M158" s="52">
        <v>2000</v>
      </c>
      <c r="N158" s="58">
        <v>0.69735006973500702</v>
      </c>
      <c r="O158" s="52">
        <v>5068</v>
      </c>
      <c r="P158" s="52">
        <f t="shared" si="181"/>
        <v>200</v>
      </c>
      <c r="Q158" s="58">
        <f t="shared" si="190"/>
        <v>4.1084634346754315E-2</v>
      </c>
      <c r="R158" s="52">
        <v>9249</v>
      </c>
      <c r="S158" s="52">
        <f t="shared" si="167"/>
        <v>4181</v>
      </c>
      <c r="T158" s="58">
        <f t="shared" si="191"/>
        <v>0.82498026835043414</v>
      </c>
      <c r="U158" s="52">
        <v>13092</v>
      </c>
      <c r="V158" s="52">
        <f t="shared" si="182"/>
        <v>3843</v>
      </c>
      <c r="W158" s="58">
        <f t="shared" si="183"/>
        <v>0.41550437885176777</v>
      </c>
      <c r="X158" s="166">
        <v>20811</v>
      </c>
      <c r="Y158" s="52">
        <f t="shared" si="192"/>
        <v>7719</v>
      </c>
      <c r="Z158" s="95">
        <f t="shared" si="193"/>
        <v>0.58959670027497713</v>
      </c>
      <c r="AA158" s="202">
        <v>18460</v>
      </c>
      <c r="AB158" s="172">
        <f t="shared" si="194"/>
        <v>-2351</v>
      </c>
      <c r="AC158" s="100">
        <f t="shared" si="195"/>
        <v>-0.11296910287828552</v>
      </c>
      <c r="AD158" s="65">
        <v>10602</v>
      </c>
      <c r="AE158" s="65"/>
      <c r="AF158" s="52">
        <v>10602</v>
      </c>
      <c r="AG158" s="52">
        <f t="shared" si="168"/>
        <v>-7858</v>
      </c>
      <c r="AH158" s="58">
        <f t="shared" si="169"/>
        <v>-0.42567713976164678</v>
      </c>
      <c r="AI158" s="50">
        <v>10602</v>
      </c>
      <c r="AJ158" s="50">
        <v>10602</v>
      </c>
      <c r="AK158" s="220"/>
      <c r="AL158" s="136">
        <v>10602</v>
      </c>
      <c r="AM158" s="258">
        <f t="shared" si="170"/>
        <v>10602</v>
      </c>
      <c r="AN158" s="27">
        <v>7200</v>
      </c>
      <c r="AO158" s="27">
        <v>7200</v>
      </c>
      <c r="AQ158" s="219"/>
      <c r="AR158" s="65">
        <f t="shared" si="184"/>
        <v>0</v>
      </c>
      <c r="AS158" s="65">
        <f t="shared" si="185"/>
        <v>5120</v>
      </c>
      <c r="AT158" s="65">
        <f t="shared" si="186"/>
        <v>-5482</v>
      </c>
      <c r="AU158" s="99">
        <f t="shared" si="187"/>
        <v>-0.51707225051877004</v>
      </c>
      <c r="AV158" s="65">
        <f t="shared" ref="AV158:AV163" si="198">AS158-AF158</f>
        <v>-5482</v>
      </c>
      <c r="AW158" s="99">
        <f t="shared" ref="AW158:AW163" si="199">AV158/AF158</f>
        <v>-0.51707225051877004</v>
      </c>
      <c r="AX158" s="52">
        <v>4625</v>
      </c>
      <c r="AY158" s="52">
        <f t="shared" si="171"/>
        <v>-5977</v>
      </c>
      <c r="AZ158" s="58">
        <f t="shared" si="172"/>
        <v>-0.56376155442369369</v>
      </c>
      <c r="BA158" s="625">
        <v>5120</v>
      </c>
      <c r="BB158" s="625">
        <v>5120</v>
      </c>
      <c r="BC158" s="624">
        <f t="shared" si="188"/>
        <v>0</v>
      </c>
      <c r="BD158" s="31">
        <f t="shared" si="189"/>
        <v>0</v>
      </c>
      <c r="BE158" s="52">
        <v>3000</v>
      </c>
      <c r="BF158" s="52">
        <f t="shared" si="173"/>
        <v>-1625</v>
      </c>
      <c r="BG158" s="58">
        <f t="shared" si="174"/>
        <v>-0.35135135135135137</v>
      </c>
      <c r="BH158" s="65"/>
      <c r="BI158" s="65"/>
      <c r="BJ158" s="65"/>
      <c r="BK158" s="65"/>
      <c r="BL158" s="39">
        <f t="shared" si="175"/>
        <v>3000</v>
      </c>
      <c r="BM158" s="39">
        <f t="shared" si="176"/>
        <v>-2120</v>
      </c>
      <c r="BN158" s="39">
        <v>3000</v>
      </c>
      <c r="BO158" s="39">
        <f t="shared" si="165"/>
        <v>0</v>
      </c>
      <c r="BP158" s="51">
        <f t="shared" si="177"/>
        <v>-0.4140625</v>
      </c>
      <c r="BQ158" s="99">
        <f t="shared" si="166"/>
        <v>0</v>
      </c>
      <c r="BV158" s="300">
        <v>3000</v>
      </c>
      <c r="BW158" s="39">
        <f t="shared" si="179"/>
        <v>0</v>
      </c>
      <c r="BX158" s="51">
        <f t="shared" si="180"/>
        <v>0</v>
      </c>
    </row>
    <row r="159" spans="1:76" s="79" customFormat="1" ht="18" customHeight="1">
      <c r="A159" s="59" t="s">
        <v>28</v>
      </c>
      <c r="B159" s="327">
        <v>0</v>
      </c>
      <c r="C159" s="327">
        <v>0</v>
      </c>
      <c r="D159" s="327">
        <f t="shared" si="143"/>
        <v>0</v>
      </c>
      <c r="E159" s="601" t="s">
        <v>78</v>
      </c>
      <c r="F159" s="590">
        <v>198</v>
      </c>
      <c r="G159" s="590">
        <f t="shared" si="145"/>
        <v>198</v>
      </c>
      <c r="H159" s="344" t="s">
        <v>78</v>
      </c>
      <c r="I159" s="590">
        <v>203</v>
      </c>
      <c r="J159" s="590">
        <f t="shared" si="147"/>
        <v>5</v>
      </c>
      <c r="K159" s="276">
        <f t="shared" si="148"/>
        <v>2.5252525252525252E-2</v>
      </c>
      <c r="L159" s="62">
        <v>319</v>
      </c>
      <c r="M159" s="62">
        <v>116</v>
      </c>
      <c r="N159" s="241">
        <v>0.5714285714285714</v>
      </c>
      <c r="O159" s="62">
        <v>351</v>
      </c>
      <c r="P159" s="62">
        <f t="shared" si="181"/>
        <v>32</v>
      </c>
      <c r="Q159" s="241">
        <f t="shared" si="190"/>
        <v>0.10031347962382445</v>
      </c>
      <c r="R159" s="62">
        <v>606</v>
      </c>
      <c r="S159" s="62">
        <f t="shared" si="167"/>
        <v>255</v>
      </c>
      <c r="T159" s="241">
        <f t="shared" si="191"/>
        <v>0.72649572649572647</v>
      </c>
      <c r="U159" s="62">
        <v>814</v>
      </c>
      <c r="V159" s="62">
        <f t="shared" si="182"/>
        <v>208</v>
      </c>
      <c r="W159" s="241">
        <f t="shared" si="183"/>
        <v>0.34323432343234322</v>
      </c>
      <c r="X159" s="166">
        <v>930</v>
      </c>
      <c r="Y159" s="62">
        <f t="shared" si="192"/>
        <v>116</v>
      </c>
      <c r="Z159" s="95">
        <f t="shared" si="193"/>
        <v>0.14250614250614252</v>
      </c>
      <c r="AA159" s="202">
        <v>965</v>
      </c>
      <c r="AB159" s="591">
        <f t="shared" si="194"/>
        <v>35</v>
      </c>
      <c r="AC159" s="592">
        <f t="shared" si="195"/>
        <v>3.7634408602150539E-2</v>
      </c>
      <c r="AD159" s="78">
        <v>965</v>
      </c>
      <c r="AE159" s="78"/>
      <c r="AF159" s="62">
        <v>869</v>
      </c>
      <c r="AG159" s="62">
        <f t="shared" si="168"/>
        <v>-96</v>
      </c>
      <c r="AH159" s="241">
        <f t="shared" si="169"/>
        <v>-9.9481865284974089E-2</v>
      </c>
      <c r="AI159" s="79">
        <v>965</v>
      </c>
      <c r="AJ159" s="79">
        <v>965</v>
      </c>
      <c r="AK159" s="593">
        <v>993</v>
      </c>
      <c r="AL159" s="136"/>
      <c r="AM159" s="202">
        <f t="shared" si="170"/>
        <v>993</v>
      </c>
      <c r="AN159" s="5">
        <v>815</v>
      </c>
      <c r="AO159" s="5">
        <v>815</v>
      </c>
      <c r="AP159" s="79">
        <v>36</v>
      </c>
      <c r="AQ159" s="78">
        <v>12</v>
      </c>
      <c r="AR159" s="78">
        <f t="shared" si="184"/>
        <v>48</v>
      </c>
      <c r="AS159" s="65">
        <f t="shared" si="185"/>
        <v>829.48931000000005</v>
      </c>
      <c r="AT159" s="78">
        <f t="shared" si="186"/>
        <v>-39.510689999999954</v>
      </c>
      <c r="AU159" s="262">
        <f t="shared" si="187"/>
        <v>-4.5466846950517781E-2</v>
      </c>
      <c r="AV159" s="78">
        <f t="shared" si="198"/>
        <v>-39.510689999999954</v>
      </c>
      <c r="AW159" s="262">
        <f t="shared" si="199"/>
        <v>-4.5466846950517781E-2</v>
      </c>
      <c r="AX159" s="62">
        <v>776</v>
      </c>
      <c r="AY159" s="62">
        <f t="shared" si="171"/>
        <v>-93</v>
      </c>
      <c r="AZ159" s="241">
        <f t="shared" si="172"/>
        <v>-0.10701956271576525</v>
      </c>
      <c r="BA159" s="624">
        <v>784.70020999999997</v>
      </c>
      <c r="BB159" s="624">
        <v>781.48931000000005</v>
      </c>
      <c r="BC159" s="624">
        <f t="shared" si="188"/>
        <v>3.2108999999999241</v>
      </c>
      <c r="BD159" s="31">
        <f t="shared" si="189"/>
        <v>4.0918811529309061E-3</v>
      </c>
      <c r="BE159" s="62">
        <v>768</v>
      </c>
      <c r="BF159" s="62">
        <f t="shared" si="173"/>
        <v>-8</v>
      </c>
      <c r="BG159" s="241">
        <f t="shared" si="174"/>
        <v>-1.0309278350515464E-2</v>
      </c>
      <c r="BH159" s="78">
        <v>28</v>
      </c>
      <c r="BI159" s="78"/>
      <c r="BJ159" s="78"/>
      <c r="BK159" s="78">
        <v>8</v>
      </c>
      <c r="BL159" s="495">
        <f t="shared" si="175"/>
        <v>804</v>
      </c>
      <c r="BM159" s="495">
        <f t="shared" si="176"/>
        <v>-25.489310000000046</v>
      </c>
      <c r="BN159" s="495">
        <v>780</v>
      </c>
      <c r="BO159" s="39">
        <f t="shared" si="165"/>
        <v>12</v>
      </c>
      <c r="BP159" s="587">
        <f t="shared" si="177"/>
        <v>-3.0728919218983117E-2</v>
      </c>
      <c r="BQ159" s="99">
        <f t="shared" si="166"/>
        <v>1.5625E-2</v>
      </c>
      <c r="BR159" s="495">
        <v>35</v>
      </c>
      <c r="BU159" s="79">
        <v>0</v>
      </c>
      <c r="BV159" s="282">
        <f t="shared" ref="BV159:BV165" si="200">BN159+BR159+BS159+BT159+BU159</f>
        <v>815</v>
      </c>
      <c r="BW159" s="39">
        <f t="shared" si="179"/>
        <v>11</v>
      </c>
      <c r="BX159" s="51">
        <f t="shared" si="180"/>
        <v>1.3681592039800995E-2</v>
      </c>
    </row>
    <row r="160" spans="1:76" s="79" customFormat="1" ht="18" customHeight="1">
      <c r="A160" s="59" t="s">
        <v>29</v>
      </c>
      <c r="B160" s="327">
        <v>0</v>
      </c>
      <c r="C160" s="327">
        <v>0</v>
      </c>
      <c r="D160" s="327">
        <f t="shared" si="143"/>
        <v>0</v>
      </c>
      <c r="E160" s="601" t="s">
        <v>78</v>
      </c>
      <c r="F160" s="590">
        <v>172</v>
      </c>
      <c r="G160" s="590">
        <f t="shared" si="145"/>
        <v>172</v>
      </c>
      <c r="H160" s="344" t="s">
        <v>78</v>
      </c>
      <c r="I160" s="590">
        <v>234</v>
      </c>
      <c r="J160" s="590">
        <f t="shared" si="147"/>
        <v>62</v>
      </c>
      <c r="K160" s="276">
        <f t="shared" si="148"/>
        <v>0.36046511627906974</v>
      </c>
      <c r="L160" s="62">
        <v>232</v>
      </c>
      <c r="M160" s="62">
        <v>-2</v>
      </c>
      <c r="N160" s="241">
        <v>-8.5470085470085479E-3</v>
      </c>
      <c r="O160" s="62">
        <v>233</v>
      </c>
      <c r="P160" s="62">
        <f t="shared" si="181"/>
        <v>1</v>
      </c>
      <c r="Q160" s="241">
        <f t="shared" si="190"/>
        <v>4.3103448275862068E-3</v>
      </c>
      <c r="R160" s="62">
        <v>266</v>
      </c>
      <c r="S160" s="62">
        <f t="shared" si="167"/>
        <v>33</v>
      </c>
      <c r="T160" s="241">
        <f t="shared" si="191"/>
        <v>0.14163090128755365</v>
      </c>
      <c r="U160" s="62">
        <v>306</v>
      </c>
      <c r="V160" s="62">
        <f t="shared" si="182"/>
        <v>40</v>
      </c>
      <c r="W160" s="241">
        <f t="shared" si="183"/>
        <v>0.15037593984962405</v>
      </c>
      <c r="X160" s="166">
        <v>295</v>
      </c>
      <c r="Y160" s="62">
        <f t="shared" si="192"/>
        <v>-11</v>
      </c>
      <c r="Z160" s="95">
        <f t="shared" si="193"/>
        <v>-3.5947712418300651E-2</v>
      </c>
      <c r="AA160" s="202">
        <v>462</v>
      </c>
      <c r="AB160" s="591">
        <f t="shared" si="194"/>
        <v>167</v>
      </c>
      <c r="AC160" s="592">
        <f t="shared" si="195"/>
        <v>0.56610169491525419</v>
      </c>
      <c r="AD160" s="545">
        <v>463</v>
      </c>
      <c r="AE160" s="545"/>
      <c r="AF160" s="62">
        <v>423</v>
      </c>
      <c r="AG160" s="62">
        <f t="shared" si="168"/>
        <v>-39</v>
      </c>
      <c r="AH160" s="241">
        <f t="shared" si="169"/>
        <v>-8.4415584415584416E-2</v>
      </c>
      <c r="AI160" s="79">
        <v>463</v>
      </c>
      <c r="AJ160" s="79">
        <v>463</v>
      </c>
      <c r="AK160" s="593">
        <v>480</v>
      </c>
      <c r="AL160" s="136"/>
      <c r="AM160" s="202">
        <f t="shared" si="170"/>
        <v>480</v>
      </c>
      <c r="AN160" s="5">
        <v>392</v>
      </c>
      <c r="AO160" s="5">
        <v>392</v>
      </c>
      <c r="AP160" s="593">
        <v>20</v>
      </c>
      <c r="AQ160" s="78">
        <v>9</v>
      </c>
      <c r="AR160" s="78">
        <f t="shared" si="184"/>
        <v>29</v>
      </c>
      <c r="AS160" s="65">
        <f t="shared" si="185"/>
        <v>395.33764000000002</v>
      </c>
      <c r="AT160" s="78">
        <f t="shared" si="186"/>
        <v>-27.662359999999978</v>
      </c>
      <c r="AU160" s="262">
        <f t="shared" si="187"/>
        <v>-6.5395650118203252E-2</v>
      </c>
      <c r="AV160" s="78">
        <f t="shared" si="198"/>
        <v>-27.662359999999978</v>
      </c>
      <c r="AW160" s="262">
        <f t="shared" si="199"/>
        <v>-6.5395650118203252E-2</v>
      </c>
      <c r="AX160" s="62">
        <v>379</v>
      </c>
      <c r="AY160" s="62">
        <f t="shared" si="171"/>
        <v>-44</v>
      </c>
      <c r="AZ160" s="241">
        <f t="shared" si="172"/>
        <v>-0.10401891252955082</v>
      </c>
      <c r="BA160" s="624">
        <v>378.85183000000001</v>
      </c>
      <c r="BB160" s="624">
        <v>366.33764000000002</v>
      </c>
      <c r="BC160" s="624">
        <f t="shared" si="188"/>
        <v>12.514189999999985</v>
      </c>
      <c r="BD160" s="31">
        <f t="shared" si="189"/>
        <v>3.3031884787253066E-2</v>
      </c>
      <c r="BE160" s="62">
        <v>373</v>
      </c>
      <c r="BF160" s="62">
        <f t="shared" si="173"/>
        <v>-6</v>
      </c>
      <c r="BG160" s="241">
        <f t="shared" si="174"/>
        <v>-1.5831134564643801E-2</v>
      </c>
      <c r="BH160" s="78">
        <v>16</v>
      </c>
      <c r="BI160" s="78"/>
      <c r="BJ160" s="78"/>
      <c r="BK160" s="78">
        <v>6</v>
      </c>
      <c r="BL160" s="495">
        <f t="shared" si="175"/>
        <v>395</v>
      </c>
      <c r="BM160" s="495">
        <f t="shared" si="176"/>
        <v>-0.3376400000000217</v>
      </c>
      <c r="BN160" s="495">
        <v>394</v>
      </c>
      <c r="BO160" s="39">
        <f t="shared" si="165"/>
        <v>21</v>
      </c>
      <c r="BP160" s="587">
        <f t="shared" si="177"/>
        <v>-8.5405477707617644E-4</v>
      </c>
      <c r="BQ160" s="99">
        <f t="shared" si="166"/>
        <v>5.6300268096514748E-2</v>
      </c>
      <c r="BR160" s="495">
        <v>19</v>
      </c>
      <c r="BU160" s="79">
        <v>0</v>
      </c>
      <c r="BV160" s="282">
        <f t="shared" si="200"/>
        <v>413</v>
      </c>
      <c r="BW160" s="39">
        <f t="shared" si="179"/>
        <v>18</v>
      </c>
      <c r="BX160" s="51">
        <f t="shared" si="180"/>
        <v>4.5569620253164557E-2</v>
      </c>
    </row>
    <row r="161" spans="1:76" s="79" customFormat="1" ht="18" customHeight="1">
      <c r="A161" s="53" t="s">
        <v>191</v>
      </c>
      <c r="B161" s="344">
        <v>43651</v>
      </c>
      <c r="C161" s="601">
        <v>35934</v>
      </c>
      <c r="D161" s="601">
        <f>C161-B161</f>
        <v>-7717</v>
      </c>
      <c r="E161" s="609">
        <f>D161/B161</f>
        <v>-0.17678861881743832</v>
      </c>
      <c r="F161" s="344">
        <v>40644</v>
      </c>
      <c r="G161" s="344">
        <f>F161-C161</f>
        <v>4710</v>
      </c>
      <c r="H161" s="611">
        <f>G161/C161</f>
        <v>0.13107363499749541</v>
      </c>
      <c r="I161" s="612">
        <v>31233</v>
      </c>
      <c r="J161" s="590">
        <f>I161-F161</f>
        <v>-9411</v>
      </c>
      <c r="K161" s="276">
        <f>J161/F161</f>
        <v>-0.2315470918216711</v>
      </c>
      <c r="L161" s="24">
        <v>38462</v>
      </c>
      <c r="M161" s="62">
        <f>L161-I161</f>
        <v>7229</v>
      </c>
      <c r="N161" s="241">
        <f>M161/I161</f>
        <v>0.23145391092754458</v>
      </c>
      <c r="O161" s="155">
        <v>50693</v>
      </c>
      <c r="P161" s="62">
        <f t="shared" si="181"/>
        <v>12231</v>
      </c>
      <c r="Q161" s="241">
        <f t="shared" si="190"/>
        <v>0.31800218397379232</v>
      </c>
      <c r="R161" s="62">
        <v>68157</v>
      </c>
      <c r="S161" s="155">
        <f t="shared" si="167"/>
        <v>17464</v>
      </c>
      <c r="T161" s="241">
        <f t="shared" si="191"/>
        <v>0.34450515850314639</v>
      </c>
      <c r="U161" s="62">
        <v>73936</v>
      </c>
      <c r="V161" s="62">
        <f t="shared" si="182"/>
        <v>5779</v>
      </c>
      <c r="W161" s="241">
        <f t="shared" si="183"/>
        <v>8.478953005560691E-2</v>
      </c>
      <c r="X161" s="166">
        <v>84463</v>
      </c>
      <c r="Y161" s="62">
        <f t="shared" si="192"/>
        <v>10527</v>
      </c>
      <c r="Z161" s="95">
        <f t="shared" si="193"/>
        <v>0.14237989612637958</v>
      </c>
      <c r="AA161" s="202">
        <v>81143</v>
      </c>
      <c r="AB161" s="591">
        <f t="shared" si="194"/>
        <v>-3320</v>
      </c>
      <c r="AC161" s="592">
        <f t="shared" si="195"/>
        <v>-3.9307152244177926E-2</v>
      </c>
      <c r="AD161" s="78">
        <v>85016</v>
      </c>
      <c r="AE161" s="78"/>
      <c r="AF161" s="62">
        <v>97016</v>
      </c>
      <c r="AG161" s="62">
        <f t="shared" si="168"/>
        <v>15873</v>
      </c>
      <c r="AH161" s="241">
        <f t="shared" si="169"/>
        <v>0.19561761334927227</v>
      </c>
      <c r="AI161" s="78">
        <f>AD161+12468</f>
        <v>97484</v>
      </c>
      <c r="AJ161" s="78">
        <f>AF161+12468</f>
        <v>109484</v>
      </c>
      <c r="AK161" s="593">
        <v>97865</v>
      </c>
      <c r="AL161" s="136"/>
      <c r="AM161" s="202">
        <f t="shared" si="170"/>
        <v>97865</v>
      </c>
      <c r="AN161" s="527">
        <v>90553</v>
      </c>
      <c r="AO161" s="527">
        <v>90553</v>
      </c>
      <c r="AP161" s="593">
        <v>2402</v>
      </c>
      <c r="AQ161" s="78">
        <v>460</v>
      </c>
      <c r="AR161" s="78">
        <f t="shared" si="184"/>
        <v>2862</v>
      </c>
      <c r="AS161" s="65">
        <f t="shared" si="185"/>
        <v>99926.359840000005</v>
      </c>
      <c r="AT161" s="78">
        <f t="shared" si="186"/>
        <v>2910.3598400000046</v>
      </c>
      <c r="AU161" s="262">
        <f t="shared" si="187"/>
        <v>2.9998761441411774E-2</v>
      </c>
      <c r="AV161" s="78">
        <f t="shared" si="198"/>
        <v>2910.3598400000046</v>
      </c>
      <c r="AW161" s="262">
        <f t="shared" si="199"/>
        <v>2.9998761441411774E-2</v>
      </c>
      <c r="AX161" s="62">
        <f>90311+8400</f>
        <v>98711</v>
      </c>
      <c r="AY161" s="62">
        <f t="shared" si="171"/>
        <v>1695</v>
      </c>
      <c r="AZ161" s="241">
        <f t="shared" si="172"/>
        <v>1.7471344932794591E-2</v>
      </c>
      <c r="BA161" s="624">
        <v>98710.513139999995</v>
      </c>
      <c r="BB161" s="624">
        <v>97064.359840000005</v>
      </c>
      <c r="BC161" s="624">
        <f t="shared" si="188"/>
        <v>1646.1532999999908</v>
      </c>
      <c r="BD161" s="31">
        <f t="shared" si="189"/>
        <v>1.6676575246501558E-2</v>
      </c>
      <c r="BE161" s="62">
        <v>106899</v>
      </c>
      <c r="BF161" s="62">
        <f t="shared" si="173"/>
        <v>8188</v>
      </c>
      <c r="BG161" s="241">
        <f t="shared" si="174"/>
        <v>8.2949215386329794E-2</v>
      </c>
      <c r="BH161" s="78">
        <v>2253</v>
      </c>
      <c r="BI161" s="78"/>
      <c r="BJ161" s="78"/>
      <c r="BK161" s="78">
        <v>86</v>
      </c>
      <c r="BL161" s="495">
        <f t="shared" si="175"/>
        <v>109238</v>
      </c>
      <c r="BM161" s="495">
        <f t="shared" si="176"/>
        <v>9311.6401599999954</v>
      </c>
      <c r="BN161" s="495">
        <v>106384</v>
      </c>
      <c r="BO161" s="39">
        <f t="shared" si="165"/>
        <v>-515</v>
      </c>
      <c r="BP161" s="587">
        <f t="shared" si="177"/>
        <v>9.31850232001806E-2</v>
      </c>
      <c r="BQ161" s="99">
        <f t="shared" si="166"/>
        <v>-4.8176315961795712E-3</v>
      </c>
      <c r="BR161" s="495">
        <v>2580</v>
      </c>
      <c r="BU161" s="79">
        <v>5</v>
      </c>
      <c r="BV161" s="282">
        <f t="shared" si="200"/>
        <v>108969</v>
      </c>
      <c r="BW161" s="39">
        <f t="shared" si="179"/>
        <v>-269</v>
      </c>
      <c r="BX161" s="51">
        <f t="shared" si="180"/>
        <v>-2.4625130449111117E-3</v>
      </c>
    </row>
    <row r="162" spans="1:76" ht="18" customHeight="1">
      <c r="A162" s="63" t="s">
        <v>192</v>
      </c>
      <c r="B162" s="334">
        <v>31598</v>
      </c>
      <c r="C162" s="329">
        <v>33719</v>
      </c>
      <c r="D162" s="329">
        <f>C162-B162</f>
        <v>2121</v>
      </c>
      <c r="E162" s="330">
        <f>D162/B162</f>
        <v>6.7124501550731061E-2</v>
      </c>
      <c r="F162" s="334">
        <v>43645</v>
      </c>
      <c r="G162" s="334">
        <f>F162-C162</f>
        <v>9926</v>
      </c>
      <c r="H162" s="492">
        <f>G162/C162</f>
        <v>0.29437409175835583</v>
      </c>
      <c r="I162" s="539">
        <v>16718</v>
      </c>
      <c r="J162" s="10">
        <f>I162-F162</f>
        <v>-26927</v>
      </c>
      <c r="K162" s="14">
        <f>J162/F162</f>
        <v>-0.61695497766067131</v>
      </c>
      <c r="L162" s="81">
        <v>23708</v>
      </c>
      <c r="M162" s="52">
        <f>L162-I162</f>
        <v>6990</v>
      </c>
      <c r="N162" s="58">
        <f>M162/I162</f>
        <v>0.41811221437971047</v>
      </c>
      <c r="O162" s="69">
        <v>20914</v>
      </c>
      <c r="P162" s="52">
        <f t="shared" si="181"/>
        <v>-2794</v>
      </c>
      <c r="Q162" s="58">
        <f t="shared" si="190"/>
        <v>-0.11785051459422979</v>
      </c>
      <c r="R162" s="69">
        <v>72284</v>
      </c>
      <c r="S162" s="69">
        <f t="shared" si="167"/>
        <v>51370</v>
      </c>
      <c r="T162" s="58">
        <f t="shared" si="191"/>
        <v>2.4562494023142394</v>
      </c>
      <c r="U162" s="52">
        <v>83057</v>
      </c>
      <c r="V162" s="52">
        <f t="shared" si="182"/>
        <v>10773</v>
      </c>
      <c r="W162" s="58">
        <f t="shared" si="183"/>
        <v>0.14903713131536717</v>
      </c>
      <c r="X162" s="166">
        <v>86010</v>
      </c>
      <c r="Y162" s="52">
        <f t="shared" si="192"/>
        <v>2953</v>
      </c>
      <c r="Z162" s="95">
        <f>Y162/U162</f>
        <v>3.5553896721528588E-2</v>
      </c>
      <c r="AA162" s="202">
        <v>94871</v>
      </c>
      <c r="AB162" s="172">
        <f t="shared" si="194"/>
        <v>8861</v>
      </c>
      <c r="AC162" s="100">
        <f t="shared" si="195"/>
        <v>0.10302290431345193</v>
      </c>
      <c r="AD162" s="65">
        <v>62007</v>
      </c>
      <c r="AE162" s="65">
        <v>6200</v>
      </c>
      <c r="AF162" s="52">
        <v>64902</v>
      </c>
      <c r="AG162" s="52">
        <f t="shared" si="168"/>
        <v>-29969</v>
      </c>
      <c r="AH162" s="58">
        <f t="shared" si="169"/>
        <v>-0.3158921061230513</v>
      </c>
      <c r="AI162" s="65">
        <f>AD162-373</f>
        <v>61634</v>
      </c>
      <c r="AJ162" s="65">
        <f>AF162-373</f>
        <v>64529</v>
      </c>
      <c r="AK162" s="220">
        <v>64937</v>
      </c>
      <c r="AL162" s="136">
        <v>100</v>
      </c>
      <c r="AM162" s="258">
        <f t="shared" si="170"/>
        <v>65037</v>
      </c>
      <c r="AN162" s="27">
        <v>56715</v>
      </c>
      <c r="AO162" s="27">
        <v>62915</v>
      </c>
      <c r="AQ162" s="65">
        <v>179</v>
      </c>
      <c r="AR162" s="65">
        <f t="shared" si="184"/>
        <v>179</v>
      </c>
      <c r="AS162" s="65">
        <f t="shared" si="185"/>
        <v>58890.613149999997</v>
      </c>
      <c r="AT162" s="65">
        <f t="shared" si="186"/>
        <v>-6011.3868500000026</v>
      </c>
      <c r="AU162" s="99">
        <f t="shared" si="187"/>
        <v>-9.2622520877630926E-2</v>
      </c>
      <c r="AV162" s="65">
        <f t="shared" si="198"/>
        <v>-6011.3868500000026</v>
      </c>
      <c r="AW162" s="99">
        <f t="shared" si="199"/>
        <v>-9.2622520877630926E-2</v>
      </c>
      <c r="AX162" s="52">
        <v>59544</v>
      </c>
      <c r="AY162" s="52">
        <f t="shared" si="171"/>
        <v>-5358</v>
      </c>
      <c r="AZ162" s="58">
        <f t="shared" si="172"/>
        <v>-8.2555237126744938E-2</v>
      </c>
      <c r="BA162" s="624">
        <f>53343.66569+7913.545</f>
        <v>61257.21069</v>
      </c>
      <c r="BB162" s="624">
        <f>53084.05282+5627.56033</f>
        <v>58711.613149999997</v>
      </c>
      <c r="BC162" s="624">
        <f t="shared" si="188"/>
        <v>2545.5975400000025</v>
      </c>
      <c r="BD162" s="31">
        <f t="shared" si="189"/>
        <v>4.1555883973926379E-2</v>
      </c>
      <c r="BE162" s="52">
        <f>53344+6900</f>
        <v>60244</v>
      </c>
      <c r="BF162" s="52">
        <f t="shared" si="173"/>
        <v>700</v>
      </c>
      <c r="BG162" s="58">
        <f t="shared" si="174"/>
        <v>1.1756012360607282E-2</v>
      </c>
      <c r="BH162" s="65"/>
      <c r="BI162" s="65"/>
      <c r="BJ162" s="65"/>
      <c r="BK162" s="65"/>
      <c r="BL162" s="39">
        <f t="shared" si="175"/>
        <v>60244</v>
      </c>
      <c r="BM162" s="39">
        <f t="shared" si="176"/>
        <v>1353.3868500000026</v>
      </c>
      <c r="BN162" s="39">
        <v>61276</v>
      </c>
      <c r="BO162" s="39">
        <f t="shared" si="165"/>
        <v>1032</v>
      </c>
      <c r="BP162" s="51">
        <f t="shared" si="177"/>
        <v>2.2981367956770929E-2</v>
      </c>
      <c r="BQ162" s="99">
        <f t="shared" si="166"/>
        <v>1.7130336631033798E-2</v>
      </c>
      <c r="BR162" s="39">
        <v>6403</v>
      </c>
      <c r="BU162" s="50">
        <v>1</v>
      </c>
      <c r="BV162" s="282">
        <f t="shared" si="200"/>
        <v>67680</v>
      </c>
      <c r="BW162" s="39">
        <f t="shared" si="179"/>
        <v>7436</v>
      </c>
      <c r="BX162" s="51">
        <f t="shared" si="180"/>
        <v>0.12343137905849545</v>
      </c>
    </row>
    <row r="163" spans="1:76" ht="18" customHeight="1">
      <c r="A163" s="63" t="s">
        <v>194</v>
      </c>
      <c r="B163" s="334">
        <v>258526</v>
      </c>
      <c r="C163" s="329">
        <v>271376</v>
      </c>
      <c r="D163" s="329">
        <f>C163-B163</f>
        <v>12850</v>
      </c>
      <c r="E163" s="330">
        <f>D163/B163</f>
        <v>4.9704865274672563E-2</v>
      </c>
      <c r="F163" s="334">
        <v>357124</v>
      </c>
      <c r="G163" s="334">
        <f>F163-C163</f>
        <v>85748</v>
      </c>
      <c r="H163" s="492">
        <f>G163/C163</f>
        <v>0.31597488355639408</v>
      </c>
      <c r="I163" s="539">
        <v>418388</v>
      </c>
      <c r="J163" s="10">
        <f t="shared" si="147"/>
        <v>61264</v>
      </c>
      <c r="K163" s="14">
        <f t="shared" si="148"/>
        <v>0.17154825774800911</v>
      </c>
      <c r="L163" s="81">
        <v>432513</v>
      </c>
      <c r="M163" s="52">
        <f>L163-I163</f>
        <v>14125</v>
      </c>
      <c r="N163" s="58">
        <f>M163/I163</f>
        <v>3.3760528504641625E-2</v>
      </c>
      <c r="O163" s="69">
        <v>444981</v>
      </c>
      <c r="P163" s="52">
        <f t="shared" si="181"/>
        <v>12468</v>
      </c>
      <c r="Q163" s="58">
        <f t="shared" si="190"/>
        <v>2.8826879192070526E-2</v>
      </c>
      <c r="R163" s="69">
        <v>486711</v>
      </c>
      <c r="S163" s="69">
        <f t="shared" si="167"/>
        <v>41730</v>
      </c>
      <c r="T163" s="58">
        <f t="shared" si="191"/>
        <v>9.3779284958234177E-2</v>
      </c>
      <c r="U163" s="52">
        <v>547437</v>
      </c>
      <c r="V163" s="52">
        <f t="shared" si="182"/>
        <v>60726</v>
      </c>
      <c r="W163" s="58">
        <f t="shared" si="183"/>
        <v>0.12476808619488773</v>
      </c>
      <c r="X163" s="166">
        <v>573609</v>
      </c>
      <c r="Y163" s="52">
        <f t="shared" si="192"/>
        <v>26172</v>
      </c>
      <c r="Z163" s="95">
        <f t="shared" si="193"/>
        <v>4.7808240948273503E-2</v>
      </c>
      <c r="AA163" s="202">
        <f>464159</f>
        <v>464159</v>
      </c>
      <c r="AB163" s="172">
        <f t="shared" si="194"/>
        <v>-109450</v>
      </c>
      <c r="AC163" s="100">
        <f>AB163/X163</f>
        <v>-0.19080941895960488</v>
      </c>
      <c r="AD163" s="65">
        <v>486691</v>
      </c>
      <c r="AE163" s="65">
        <f>25764+1823</f>
        <v>27587</v>
      </c>
      <c r="AF163" s="52">
        <f>530124</f>
        <v>530124</v>
      </c>
      <c r="AG163" s="52">
        <f t="shared" si="168"/>
        <v>65965</v>
      </c>
      <c r="AH163" s="58">
        <f t="shared" si="169"/>
        <v>0.14211724861523745</v>
      </c>
      <c r="AI163" s="65">
        <f>AD163+149</f>
        <v>486840</v>
      </c>
      <c r="AJ163" s="65">
        <f>AF163+20214</f>
        <v>550338</v>
      </c>
      <c r="AK163" s="220">
        <v>700069</v>
      </c>
      <c r="AL163" s="136"/>
      <c r="AM163" s="258">
        <f t="shared" si="170"/>
        <v>700069</v>
      </c>
      <c r="AN163" s="27">
        <f>509039</f>
        <v>509039</v>
      </c>
      <c r="AO163" s="27">
        <f>580186</f>
        <v>580186</v>
      </c>
      <c r="AQ163" s="219">
        <v>10</v>
      </c>
      <c r="AR163" s="65">
        <f t="shared" si="184"/>
        <v>10</v>
      </c>
      <c r="AS163" s="65">
        <f t="shared" si="185"/>
        <v>608886.04353999998</v>
      </c>
      <c r="AT163" s="65">
        <f t="shared" si="186"/>
        <v>78762.043539999984</v>
      </c>
      <c r="AU163" s="99">
        <f t="shared" si="187"/>
        <v>0.14857286887596108</v>
      </c>
      <c r="AV163" s="65">
        <f t="shared" si="198"/>
        <v>78762.043539999984</v>
      </c>
      <c r="AW163" s="99">
        <f t="shared" si="199"/>
        <v>0.14857286887596108</v>
      </c>
      <c r="AX163" s="52">
        <f>591800+80700+26397</f>
        <v>698897</v>
      </c>
      <c r="AY163" s="52">
        <f>AX163-AF163</f>
        <v>168773</v>
      </c>
      <c r="AZ163" s="58">
        <f t="shared" si="172"/>
        <v>0.31836513721318033</v>
      </c>
      <c r="BA163" s="624">
        <f>557713.53049+58465.71093+1267.74466</f>
        <v>617446.98608000006</v>
      </c>
      <c r="BB163" s="624">
        <f>557237.35858+50578.72291+1059.96205</f>
        <v>608876.04353999998</v>
      </c>
      <c r="BC163" s="624">
        <f t="shared" si="188"/>
        <v>8570.9425400000764</v>
      </c>
      <c r="BD163" s="31">
        <f t="shared" si="189"/>
        <v>1.3881260631644859E-2</v>
      </c>
      <c r="BE163" s="52">
        <f>706660</f>
        <v>706660</v>
      </c>
      <c r="BF163" s="52">
        <f t="shared" si="173"/>
        <v>7763</v>
      </c>
      <c r="BG163" s="58">
        <f t="shared" si="174"/>
        <v>1.1107502249973887E-2</v>
      </c>
      <c r="BH163" s="65"/>
      <c r="BI163" s="65"/>
      <c r="BJ163" s="65"/>
      <c r="BK163" s="65"/>
      <c r="BL163" s="39">
        <f>BE163+BH163+BI163+BJ163+BK163</f>
        <v>706660</v>
      </c>
      <c r="BM163" s="39">
        <f t="shared" si="176"/>
        <v>97773.956460000016</v>
      </c>
      <c r="BN163" s="39">
        <v>750612</v>
      </c>
      <c r="BO163" s="39">
        <f t="shared" si="165"/>
        <v>43952</v>
      </c>
      <c r="BP163" s="51">
        <f t="shared" si="177"/>
        <v>0.16057841610484686</v>
      </c>
      <c r="BQ163" s="99">
        <f t="shared" si="166"/>
        <v>6.219681317748281E-2</v>
      </c>
      <c r="BR163" s="39">
        <v>1160</v>
      </c>
      <c r="BU163" s="50">
        <v>3</v>
      </c>
      <c r="BV163" s="282">
        <f t="shared" si="200"/>
        <v>751775</v>
      </c>
      <c r="BW163" s="39">
        <f t="shared" si="179"/>
        <v>45115</v>
      </c>
      <c r="BX163" s="51">
        <f t="shared" si="180"/>
        <v>6.3842583420598301E-2</v>
      </c>
    </row>
    <row r="164" spans="1:76" ht="18" customHeight="1">
      <c r="A164" s="627" t="s">
        <v>419</v>
      </c>
      <c r="B164" s="334"/>
      <c r="C164" s="329"/>
      <c r="D164" s="329"/>
      <c r="E164" s="330"/>
      <c r="F164" s="334"/>
      <c r="G164" s="334"/>
      <c r="H164" s="492"/>
      <c r="I164" s="539"/>
      <c r="J164" s="10"/>
      <c r="L164" s="81"/>
      <c r="M164" s="52"/>
      <c r="N164" s="58"/>
      <c r="O164" s="69"/>
      <c r="P164" s="52"/>
      <c r="Q164" s="58"/>
      <c r="R164" s="69"/>
      <c r="S164" s="69"/>
      <c r="T164" s="58"/>
      <c r="U164" s="52"/>
      <c r="V164" s="52"/>
      <c r="W164" s="58"/>
      <c r="Y164" s="52"/>
      <c r="AB164" s="172"/>
      <c r="AD164" s="65"/>
      <c r="AE164" s="65"/>
      <c r="AH164" s="58"/>
      <c r="AI164" s="65"/>
      <c r="AJ164" s="65"/>
      <c r="AK164" s="220"/>
      <c r="AL164" s="136"/>
      <c r="AM164" s="258"/>
      <c r="AN164" s="27"/>
      <c r="AO164" s="27"/>
      <c r="AQ164" s="219"/>
      <c r="AR164" s="65"/>
      <c r="AS164" s="65">
        <f t="shared" si="185"/>
        <v>11200</v>
      </c>
      <c r="AT164" s="65"/>
      <c r="AU164" s="99"/>
      <c r="AV164" s="65"/>
      <c r="AW164" s="99"/>
      <c r="BA164" s="625">
        <v>11200</v>
      </c>
      <c r="BB164" s="625">
        <v>11200</v>
      </c>
      <c r="BC164" s="624">
        <f t="shared" si="188"/>
        <v>0</v>
      </c>
      <c r="BD164" s="31">
        <f t="shared" si="189"/>
        <v>0</v>
      </c>
      <c r="BH164" s="65"/>
      <c r="BI164" s="65"/>
      <c r="BJ164" s="65"/>
      <c r="BK164" s="65"/>
      <c r="BL164" s="39"/>
      <c r="BM164" s="39"/>
      <c r="BN164" s="39"/>
      <c r="BO164" s="39">
        <f t="shared" si="165"/>
        <v>0</v>
      </c>
      <c r="BP164" s="51"/>
      <c r="BQ164" s="99" t="e">
        <f t="shared" si="166"/>
        <v>#DIV/0!</v>
      </c>
      <c r="BV164" s="282">
        <f t="shared" si="200"/>
        <v>0</v>
      </c>
      <c r="BW164" s="39">
        <f t="shared" si="179"/>
        <v>0</v>
      </c>
      <c r="BX164" s="51" t="e">
        <f t="shared" si="180"/>
        <v>#DIV/0!</v>
      </c>
    </row>
    <row r="165" spans="1:76" s="54" customFormat="1" ht="18" customHeight="1" thickBot="1">
      <c r="A165" s="54" t="s">
        <v>80</v>
      </c>
      <c r="B165" s="334" t="s">
        <v>78</v>
      </c>
      <c r="C165" s="329" t="s">
        <v>78</v>
      </c>
      <c r="D165" s="333" t="s">
        <v>78</v>
      </c>
      <c r="E165" s="333" t="s">
        <v>78</v>
      </c>
      <c r="F165" s="333" t="s">
        <v>78</v>
      </c>
      <c r="G165" s="333" t="s">
        <v>78</v>
      </c>
      <c r="H165" s="333" t="s">
        <v>78</v>
      </c>
      <c r="I165" s="336" t="s">
        <v>78</v>
      </c>
      <c r="J165" s="10"/>
      <c r="K165" s="14"/>
      <c r="L165" s="75">
        <v>44096</v>
      </c>
      <c r="M165" s="75">
        <v>-30042</v>
      </c>
      <c r="N165" s="77">
        <v>-0.40521729747228141</v>
      </c>
      <c r="O165" s="75">
        <v>0</v>
      </c>
      <c r="P165" s="75">
        <f t="shared" si="181"/>
        <v>-44096</v>
      </c>
      <c r="Q165" s="77">
        <f>P165/L165</f>
        <v>-1</v>
      </c>
      <c r="R165" s="75">
        <v>0</v>
      </c>
      <c r="S165" s="75">
        <f t="shared" si="167"/>
        <v>0</v>
      </c>
      <c r="T165" s="76" t="s">
        <v>78</v>
      </c>
      <c r="U165" s="74">
        <v>26927</v>
      </c>
      <c r="V165" s="75">
        <f t="shared" si="182"/>
        <v>26927</v>
      </c>
      <c r="W165" s="76" t="s">
        <v>78</v>
      </c>
      <c r="X165" s="177">
        <v>0</v>
      </c>
      <c r="Y165" s="75">
        <f t="shared" si="192"/>
        <v>-26927</v>
      </c>
      <c r="Z165" s="126">
        <f>Y165/U165</f>
        <v>-1</v>
      </c>
      <c r="AA165" s="206"/>
      <c r="AB165" s="174"/>
      <c r="AC165" s="128"/>
      <c r="AF165" s="75"/>
      <c r="AG165" s="75">
        <f t="shared" si="168"/>
        <v>0</v>
      </c>
      <c r="AH165" s="77" t="e">
        <f t="shared" si="169"/>
        <v>#DIV/0!</v>
      </c>
      <c r="AL165" s="136"/>
      <c r="AM165" s="258">
        <f t="shared" si="170"/>
        <v>0</v>
      </c>
      <c r="AO165" s="50"/>
      <c r="AQ165" s="94"/>
      <c r="AR165" s="94">
        <f t="shared" si="184"/>
        <v>0</v>
      </c>
      <c r="AS165" s="65">
        <f t="shared" si="185"/>
        <v>0</v>
      </c>
      <c r="AT165" s="65">
        <f t="shared" si="186"/>
        <v>0</v>
      </c>
      <c r="AU165" s="129" t="e">
        <f t="shared" si="187"/>
        <v>#DIV/0!</v>
      </c>
      <c r="AV165" s="265"/>
      <c r="AW165" s="265"/>
      <c r="AX165" s="75"/>
      <c r="AY165" s="75">
        <f t="shared" si="171"/>
        <v>0</v>
      </c>
      <c r="AZ165" s="77" t="e">
        <f t="shared" si="172"/>
        <v>#DIV/0!</v>
      </c>
      <c r="BA165" s="77"/>
      <c r="BB165" s="77"/>
      <c r="BC165" s="624">
        <f t="shared" si="188"/>
        <v>0</v>
      </c>
      <c r="BD165" s="31"/>
      <c r="BE165" s="75"/>
      <c r="BF165" s="75">
        <f>BE165-AX165</f>
        <v>0</v>
      </c>
      <c r="BG165" s="77" t="e">
        <f>BF165/AX165</f>
        <v>#DIV/0!</v>
      </c>
      <c r="BH165" s="94"/>
      <c r="BI165" s="94"/>
      <c r="BJ165" s="94"/>
      <c r="BK165" s="94"/>
      <c r="BL165" s="102">
        <f t="shared" si="175"/>
        <v>0</v>
      </c>
      <c r="BM165" s="102">
        <f>BL165-AS165</f>
        <v>0</v>
      </c>
      <c r="BN165" s="102"/>
      <c r="BO165" s="39">
        <f t="shared" si="165"/>
        <v>0</v>
      </c>
      <c r="BP165" s="55" t="e">
        <f>BM165/AS165</f>
        <v>#DIV/0!</v>
      </c>
      <c r="BQ165" s="99" t="e">
        <f t="shared" si="166"/>
        <v>#DIV/0!</v>
      </c>
      <c r="BR165" s="102"/>
      <c r="BV165" s="282">
        <f t="shared" si="200"/>
        <v>0</v>
      </c>
      <c r="BW165" s="39">
        <f t="shared" si="179"/>
        <v>0</v>
      </c>
      <c r="BX165" s="51" t="e">
        <f t="shared" si="180"/>
        <v>#DIV/0!</v>
      </c>
    </row>
    <row r="166" spans="1:76" s="13" customFormat="1" ht="18" customHeight="1">
      <c r="A166" s="64" t="s">
        <v>60</v>
      </c>
      <c r="B166" s="340">
        <f t="shared" ref="B166:I166" si="201">SUM(B146:B165)</f>
        <v>790990</v>
      </c>
      <c r="C166" s="340">
        <f t="shared" si="201"/>
        <v>933649</v>
      </c>
      <c r="D166" s="25">
        <f t="shared" si="143"/>
        <v>142659</v>
      </c>
      <c r="E166" s="363">
        <f t="shared" si="144"/>
        <v>0.18035499816685419</v>
      </c>
      <c r="F166" s="46">
        <f t="shared" si="201"/>
        <v>1043924</v>
      </c>
      <c r="G166" s="12">
        <f t="shared" si="145"/>
        <v>110275</v>
      </c>
      <c r="H166" s="15">
        <f t="shared" si="146"/>
        <v>0.11811183860315815</v>
      </c>
      <c r="I166" s="340">
        <f t="shared" si="201"/>
        <v>1064742</v>
      </c>
      <c r="J166" s="12">
        <f t="shared" si="147"/>
        <v>20818</v>
      </c>
      <c r="K166" s="15">
        <f t="shared" si="148"/>
        <v>1.9942064748008477E-2</v>
      </c>
      <c r="L166" s="12">
        <f>SUM(L146:L165)</f>
        <v>1091868</v>
      </c>
      <c r="M166" s="12">
        <v>-244746</v>
      </c>
      <c r="N166" s="36">
        <v>-0.17972453781216405</v>
      </c>
      <c r="O166" s="12">
        <f>SUM(O146:O165)-4306-34000</f>
        <v>1183582</v>
      </c>
      <c r="P166" s="12">
        <f>O166-L166</f>
        <v>91714</v>
      </c>
      <c r="Q166" s="36">
        <f>P166/L166</f>
        <v>8.399733301095004E-2</v>
      </c>
      <c r="R166" s="12">
        <f>SUM(R146:R165)</f>
        <v>1263548</v>
      </c>
      <c r="S166" s="12">
        <f t="shared" si="167"/>
        <v>79966</v>
      </c>
      <c r="T166" s="36">
        <f>S166/O166</f>
        <v>6.756270372479474E-2</v>
      </c>
      <c r="U166" s="12">
        <f>SUM(U146:U165)</f>
        <v>1467789</v>
      </c>
      <c r="V166" s="12">
        <f t="shared" ref="V166:W166" si="202">SUM(V146:V165)</f>
        <v>204241</v>
      </c>
      <c r="W166" s="36">
        <f t="shared" si="202"/>
        <v>1.9181338586370817</v>
      </c>
      <c r="X166" s="178">
        <f>SUM(X146:X165)</f>
        <v>1606978</v>
      </c>
      <c r="Y166" s="12">
        <f t="shared" si="192"/>
        <v>139189</v>
      </c>
      <c r="Z166" s="98">
        <f>Y166/U166</f>
        <v>9.4829025152797841E-2</v>
      </c>
      <c r="AA166" s="12">
        <f>SUM(AA146:AA165)</f>
        <v>1445377</v>
      </c>
      <c r="AB166" s="165">
        <f>AA166-X166</f>
        <v>-161601</v>
      </c>
      <c r="AC166" s="97">
        <f>AB166/X166</f>
        <v>-0.10056204876482441</v>
      </c>
      <c r="AD166" s="12">
        <f>SUM(AD146:AD165)</f>
        <v>1352453</v>
      </c>
      <c r="AE166" s="28">
        <f>SUM(AE146:AE165)</f>
        <v>57972</v>
      </c>
      <c r="AF166" s="12">
        <f>SUM(AF146:AF165)</f>
        <v>1471128</v>
      </c>
      <c r="AG166" s="12">
        <f t="shared" ref="AG166" si="203">AF166-AA166</f>
        <v>25751</v>
      </c>
      <c r="AH166" s="36">
        <f t="shared" ref="AH166" si="204">AG166/AA166</f>
        <v>1.7816113027950494E-2</v>
      </c>
      <c r="AI166" s="28">
        <f t="shared" ref="AI166:AO166" si="205">SUM(AI146:AI165)</f>
        <v>1385166</v>
      </c>
      <c r="AJ166" s="28">
        <f t="shared" si="205"/>
        <v>1524655</v>
      </c>
      <c r="AK166" s="28">
        <f t="shared" si="205"/>
        <v>1578032</v>
      </c>
      <c r="AL166" s="28">
        <f t="shared" si="205"/>
        <v>44836</v>
      </c>
      <c r="AM166" s="12">
        <f t="shared" si="205"/>
        <v>1622868</v>
      </c>
      <c r="AN166" s="12">
        <f t="shared" si="205"/>
        <v>1348335</v>
      </c>
      <c r="AO166" s="28">
        <f t="shared" si="205"/>
        <v>1449360</v>
      </c>
      <c r="AP166" s="13">
        <f>SUM(AP146:AP165)</f>
        <v>7651</v>
      </c>
      <c r="AQ166" s="28">
        <f t="shared" ref="AQ166:AR166" si="206">SUM(AQ146:AQ165)</f>
        <v>2995</v>
      </c>
      <c r="AR166" s="28">
        <f t="shared" si="206"/>
        <v>10646</v>
      </c>
      <c r="AS166" s="65">
        <f>BB166+AR166</f>
        <v>1477284.8808900001</v>
      </c>
      <c r="AT166" s="547">
        <f t="shared" si="186"/>
        <v>6156.8808900001459</v>
      </c>
      <c r="AU166" s="99">
        <f t="shared" si="187"/>
        <v>4.1851428903536235E-3</v>
      </c>
      <c r="AV166" s="28">
        <f>SUM(AV146:AV165)</f>
        <v>-5043.1191099999705</v>
      </c>
      <c r="AW166" s="97">
        <f>AV166/AF166</f>
        <v>-3.4280627586450469E-3</v>
      </c>
      <c r="AX166" s="12">
        <f>SUM(AX146:AX165)</f>
        <v>1583285</v>
      </c>
      <c r="AY166" s="52">
        <f t="shared" si="171"/>
        <v>112157</v>
      </c>
      <c r="AZ166" s="58">
        <f t="shared" si="172"/>
        <v>7.6238777319172765E-2</v>
      </c>
      <c r="BA166" s="58"/>
      <c r="BB166" s="65">
        <f>SUM(BB146:BB165)</f>
        <v>1466638.8808900001</v>
      </c>
      <c r="BC166" s="58"/>
      <c r="BD166" s="58"/>
      <c r="BE166" s="12">
        <f>SUM(BE146:BE165)</f>
        <v>1586516</v>
      </c>
      <c r="BF166" s="52">
        <f>BE166-AX166</f>
        <v>3231</v>
      </c>
      <c r="BG166" s="58">
        <f>BF166/AX166</f>
        <v>2.04069387381299E-3</v>
      </c>
      <c r="BH166" s="65">
        <f>SUM(BH146:BH165)</f>
        <v>16280</v>
      </c>
      <c r="BI166" s="65"/>
      <c r="BJ166" s="65"/>
      <c r="BK166" s="65">
        <f>SUM(BK146:BK165)</f>
        <v>426</v>
      </c>
      <c r="BL166" s="39">
        <f t="shared" si="175"/>
        <v>1603222</v>
      </c>
      <c r="BM166" s="39">
        <f>BL166-AS166</f>
        <v>125937.11910999985</v>
      </c>
      <c r="BN166" s="30">
        <f>SUM(BN146:BN165)</f>
        <v>1646039</v>
      </c>
      <c r="BO166" s="39">
        <f>BN167-BE166</f>
        <v>60443</v>
      </c>
      <c r="BP166" s="51">
        <f>BM166/AS166</f>
        <v>8.524904081745438E-2</v>
      </c>
      <c r="BQ166" s="99">
        <f t="shared" si="166"/>
        <v>3.8097945435154768E-2</v>
      </c>
      <c r="BR166" s="30"/>
      <c r="BV166" s="668">
        <f>BV146+BV147+BV148+BV149+BV150+BV151+BV152+BV153+BV154+BV155+BV156+BV157+BV158+BV159+BV160+BV161+BV162+BV163+BV164+BV165</f>
        <v>1724053</v>
      </c>
      <c r="BW166" s="645">
        <f t="shared" si="179"/>
        <v>120831</v>
      </c>
      <c r="BX166" s="551">
        <f t="shared" si="180"/>
        <v>7.5367603488475085E-2</v>
      </c>
    </row>
    <row r="167" spans="1:76" s="13" customFormat="1" ht="18" customHeight="1">
      <c r="A167" s="64" t="s">
        <v>456</v>
      </c>
      <c r="D167" s="327"/>
      <c r="E167" s="356"/>
      <c r="G167" s="10"/>
      <c r="H167" s="14"/>
      <c r="J167" s="10"/>
      <c r="K167" s="14"/>
      <c r="L167" s="12"/>
      <c r="M167" s="12"/>
      <c r="N167" s="36"/>
      <c r="O167" s="12"/>
      <c r="P167" s="12"/>
      <c r="Q167" s="36"/>
      <c r="R167" s="12"/>
      <c r="S167" s="12"/>
      <c r="T167" s="36"/>
      <c r="U167" s="12"/>
      <c r="V167" s="12"/>
      <c r="W167" s="36"/>
      <c r="X167" s="178"/>
      <c r="Y167" s="12"/>
      <c r="Z167" s="98"/>
      <c r="AA167" s="12"/>
      <c r="AB167" s="165"/>
      <c r="AC167" s="97"/>
      <c r="AD167" s="258">
        <v>37920</v>
      </c>
      <c r="AF167" s="258"/>
      <c r="AG167" s="52"/>
      <c r="AH167" s="58"/>
      <c r="AI167" s="28"/>
      <c r="AJ167" s="28"/>
      <c r="AK167" s="28"/>
      <c r="AL167" s="28"/>
      <c r="AM167" s="258"/>
      <c r="AR167" s="28"/>
      <c r="AS167" s="28"/>
      <c r="AT167" s="28"/>
      <c r="AU167" s="264"/>
      <c r="AV167" s="28"/>
      <c r="AW167" s="264"/>
      <c r="AX167" s="12"/>
      <c r="AY167" s="52"/>
      <c r="AZ167" s="58"/>
      <c r="BA167" s="58"/>
      <c r="BB167" s="58"/>
      <c r="BC167" s="58"/>
      <c r="BD167" s="58"/>
      <c r="BE167" s="12"/>
      <c r="BF167" s="52"/>
      <c r="BG167" s="58"/>
      <c r="BH167" s="65"/>
      <c r="BI167" s="65"/>
      <c r="BJ167" s="65"/>
      <c r="BK167" s="65"/>
      <c r="BL167" s="39"/>
      <c r="BM167" s="39"/>
      <c r="BN167" s="39">
        <f>+BN166+920</f>
        <v>1646959</v>
      </c>
      <c r="BO167" s="39">
        <f t="shared" si="165"/>
        <v>1646959</v>
      </c>
      <c r="BP167" s="51"/>
      <c r="BQ167" s="99" t="e">
        <f t="shared" si="166"/>
        <v>#DIV/0!</v>
      </c>
      <c r="BR167" s="30"/>
      <c r="BV167" s="282">
        <f t="shared" ref="BV167:BV177" si="207">BN167+BR167+BS167+BT167+BU167</f>
        <v>1646959</v>
      </c>
      <c r="BW167" s="39">
        <f t="shared" si="179"/>
        <v>1646959</v>
      </c>
      <c r="BX167" s="51" t="e">
        <f t="shared" si="180"/>
        <v>#DIV/0!</v>
      </c>
    </row>
    <row r="168" spans="1:76" s="13" customFormat="1" ht="18" customHeight="1">
      <c r="A168" s="64" t="s">
        <v>457</v>
      </c>
      <c r="D168" s="327"/>
      <c r="E168" s="356"/>
      <c r="G168" s="10"/>
      <c r="H168" s="14"/>
      <c r="J168" s="10"/>
      <c r="K168" s="14"/>
      <c r="L168" s="12"/>
      <c r="M168" s="12"/>
      <c r="N168" s="36"/>
      <c r="O168" s="12"/>
      <c r="P168" s="12"/>
      <c r="Q168" s="36"/>
      <c r="R168" s="12"/>
      <c r="S168" s="12"/>
      <c r="T168" s="36"/>
      <c r="U168" s="12"/>
      <c r="V168" s="12"/>
      <c r="W168" s="36"/>
      <c r="X168" s="178"/>
      <c r="Y168" s="12"/>
      <c r="Z168" s="98"/>
      <c r="AA168" s="12"/>
      <c r="AB168" s="165"/>
      <c r="AC168" s="97"/>
      <c r="AD168" s="258">
        <f>+AD167+AD166</f>
        <v>1390373</v>
      </c>
      <c r="AE168" s="28"/>
      <c r="AF168" s="258"/>
      <c r="AG168" s="52"/>
      <c r="AH168" s="58"/>
      <c r="AI168" s="28"/>
      <c r="AJ168" s="28"/>
      <c r="AK168" s="28"/>
      <c r="AL168" s="28"/>
      <c r="AM168" s="258"/>
      <c r="AR168" s="28"/>
      <c r="AS168" s="28"/>
      <c r="AT168" s="28"/>
      <c r="AU168" s="264"/>
      <c r="AV168" s="28">
        <f>AS166-AF168</f>
        <v>1477284.8808900001</v>
      </c>
      <c r="AW168" s="264" t="e">
        <f>AV168/AF168</f>
        <v>#DIV/0!</v>
      </c>
      <c r="AX168" s="12"/>
      <c r="AY168" s="52"/>
      <c r="AZ168" s="58"/>
      <c r="BA168" s="58"/>
      <c r="BB168" s="58"/>
      <c r="BC168" s="58"/>
      <c r="BD168" s="58"/>
      <c r="BE168" s="12"/>
      <c r="BF168" s="52"/>
      <c r="BG168" s="58"/>
      <c r="BH168" s="65"/>
      <c r="BI168" s="65"/>
      <c r="BJ168" s="65"/>
      <c r="BK168" s="65"/>
      <c r="BL168" s="39"/>
      <c r="BM168" s="39"/>
      <c r="BN168" s="39">
        <f>+BN166+920</f>
        <v>1646959</v>
      </c>
      <c r="BO168" s="39">
        <f t="shared" si="165"/>
        <v>1646959</v>
      </c>
      <c r="BP168" s="51"/>
      <c r="BQ168" s="99" t="e">
        <f t="shared" si="166"/>
        <v>#DIV/0!</v>
      </c>
      <c r="BR168" s="30"/>
      <c r="BV168" s="282">
        <f t="shared" si="207"/>
        <v>1646959</v>
      </c>
      <c r="BW168" s="39">
        <f t="shared" si="179"/>
        <v>1646959</v>
      </c>
      <c r="BX168" s="51" t="e">
        <f t="shared" si="180"/>
        <v>#DIV/0!</v>
      </c>
    </row>
    <row r="169" spans="1:76" s="13" customFormat="1" ht="18" customHeight="1">
      <c r="A169" s="64"/>
      <c r="D169" s="327"/>
      <c r="E169" s="356"/>
      <c r="G169" s="10"/>
      <c r="H169" s="14"/>
      <c r="J169" s="10"/>
      <c r="K169" s="14"/>
      <c r="L169" s="12"/>
      <c r="M169" s="12"/>
      <c r="N169" s="36"/>
      <c r="O169" s="12"/>
      <c r="P169" s="12"/>
      <c r="Q169" s="36"/>
      <c r="R169" s="12"/>
      <c r="S169" s="52"/>
      <c r="T169" s="58"/>
      <c r="U169" s="52"/>
      <c r="V169" s="52"/>
      <c r="W169" s="58"/>
      <c r="X169" s="180"/>
      <c r="Y169" s="163"/>
      <c r="Z169" s="98"/>
      <c r="AA169" s="202"/>
      <c r="AB169" s="172"/>
      <c r="AC169" s="97"/>
      <c r="AD169" s="13">
        <v>37920</v>
      </c>
      <c r="AE169" s="13" t="s">
        <v>249</v>
      </c>
      <c r="AF169" s="12"/>
      <c r="AG169" s="12"/>
      <c r="AX169" s="12"/>
      <c r="AY169" s="52"/>
      <c r="AZ169" s="58"/>
      <c r="BA169" s="58"/>
      <c r="BB169" s="58"/>
      <c r="BC169" s="58"/>
      <c r="BD169" s="58"/>
      <c r="BE169" s="97"/>
      <c r="BF169" s="52"/>
      <c r="BG169" s="58"/>
      <c r="BH169" s="65"/>
      <c r="BI169" s="65"/>
      <c r="BJ169" s="65"/>
      <c r="BK169" s="65"/>
      <c r="BL169" s="39"/>
      <c r="BM169" s="39"/>
      <c r="BN169" s="39"/>
      <c r="BO169" s="39">
        <f t="shared" si="165"/>
        <v>0</v>
      </c>
      <c r="BP169" s="51"/>
      <c r="BQ169" s="99" t="e">
        <f t="shared" si="166"/>
        <v>#DIV/0!</v>
      </c>
      <c r="BR169" s="30"/>
      <c r="BV169" s="282">
        <f t="shared" si="207"/>
        <v>0</v>
      </c>
      <c r="BW169" s="39">
        <f t="shared" si="179"/>
        <v>0</v>
      </c>
      <c r="BX169" s="51" t="e">
        <f t="shared" si="180"/>
        <v>#DIV/0!</v>
      </c>
    </row>
    <row r="170" spans="1:76" s="13" customFormat="1" ht="18" customHeight="1">
      <c r="A170" s="73" t="s">
        <v>85</v>
      </c>
      <c r="D170" s="327"/>
      <c r="E170" s="356"/>
      <c r="G170" s="10"/>
      <c r="H170" s="14"/>
      <c r="J170" s="10"/>
      <c r="K170" s="14"/>
      <c r="L170" s="12"/>
      <c r="M170" s="12"/>
      <c r="N170" s="36"/>
      <c r="O170" s="12"/>
      <c r="P170" s="12"/>
      <c r="Q170" s="36"/>
      <c r="R170" s="12"/>
      <c r="S170" s="52"/>
      <c r="T170" s="58"/>
      <c r="U170" s="52"/>
      <c r="V170" s="52"/>
      <c r="W170" s="58"/>
      <c r="X170" s="180"/>
      <c r="Y170" s="163"/>
      <c r="Z170" s="98"/>
      <c r="AA170" s="202"/>
      <c r="AB170" s="172"/>
      <c r="AC170" s="97"/>
      <c r="AF170" s="12"/>
      <c r="AG170" s="12"/>
      <c r="AX170" s="12"/>
      <c r="AY170" s="52"/>
      <c r="AZ170" s="58"/>
      <c r="BA170" s="58"/>
      <c r="BB170" s="58"/>
      <c r="BC170" s="58"/>
      <c r="BD170" s="58"/>
      <c r="BE170" s="12"/>
      <c r="BF170" s="52"/>
      <c r="BG170" s="58"/>
      <c r="BH170" s="65"/>
      <c r="BI170" s="65"/>
      <c r="BJ170" s="65"/>
      <c r="BK170" s="65"/>
      <c r="BL170" s="39"/>
      <c r="BM170" s="39"/>
      <c r="BN170" s="39"/>
      <c r="BO170" s="39">
        <f t="shared" si="165"/>
        <v>0</v>
      </c>
      <c r="BP170" s="51"/>
      <c r="BQ170" s="99" t="e">
        <f t="shared" si="166"/>
        <v>#DIV/0!</v>
      </c>
      <c r="BR170" s="30"/>
      <c r="BV170" s="282">
        <f t="shared" si="207"/>
        <v>0</v>
      </c>
      <c r="BW170" s="39">
        <f t="shared" si="179"/>
        <v>0</v>
      </c>
      <c r="BX170" s="51" t="e">
        <f t="shared" si="180"/>
        <v>#DIV/0!</v>
      </c>
    </row>
    <row r="171" spans="1:76" s="13" customFormat="1" ht="18" customHeight="1">
      <c r="A171" s="73"/>
      <c r="D171" s="327"/>
      <c r="E171" s="356"/>
      <c r="G171" s="10"/>
      <c r="H171" s="14"/>
      <c r="J171" s="10"/>
      <c r="K171" s="14"/>
      <c r="L171" s="12"/>
      <c r="M171" s="12"/>
      <c r="N171" s="36"/>
      <c r="O171" s="12"/>
      <c r="P171" s="12"/>
      <c r="Q171" s="36"/>
      <c r="R171" s="12"/>
      <c r="S171" s="52"/>
      <c r="T171" s="58"/>
      <c r="U171" s="52"/>
      <c r="V171" s="52"/>
      <c r="W171" s="58"/>
      <c r="X171" s="180"/>
      <c r="Y171" s="163"/>
      <c r="Z171" s="98"/>
      <c r="AA171" s="202"/>
      <c r="AB171" s="172"/>
      <c r="AC171" s="97"/>
      <c r="AF171" s="12"/>
      <c r="AG171" s="12"/>
      <c r="AX171" s="12"/>
      <c r="AY171" s="52"/>
      <c r="AZ171" s="58"/>
      <c r="BA171" s="58"/>
      <c r="BB171" s="58"/>
      <c r="BC171" s="58"/>
      <c r="BD171" s="58"/>
      <c r="BE171" s="12"/>
      <c r="BF171" s="52"/>
      <c r="BG171" s="58"/>
      <c r="BH171" s="65"/>
      <c r="BI171" s="65"/>
      <c r="BJ171" s="65"/>
      <c r="BK171" s="65"/>
      <c r="BL171" s="39"/>
      <c r="BM171" s="39"/>
      <c r="BN171" s="39"/>
      <c r="BO171" s="39">
        <f t="shared" si="165"/>
        <v>0</v>
      </c>
      <c r="BP171" s="51"/>
      <c r="BQ171" s="99" t="e">
        <f t="shared" si="166"/>
        <v>#DIV/0!</v>
      </c>
      <c r="BR171" s="30"/>
      <c r="BV171" s="282">
        <f t="shared" si="207"/>
        <v>0</v>
      </c>
      <c r="BW171" s="39">
        <f t="shared" si="179"/>
        <v>0</v>
      </c>
      <c r="BX171" s="51" t="e">
        <f t="shared" si="180"/>
        <v>#DIV/0!</v>
      </c>
    </row>
    <row r="172" spans="1:76" s="13" customFormat="1" ht="18" customHeight="1">
      <c r="A172" s="13" t="s">
        <v>398</v>
      </c>
      <c r="D172" s="327"/>
      <c r="E172" s="356"/>
      <c r="G172" s="10"/>
      <c r="H172" s="14"/>
      <c r="J172" s="10"/>
      <c r="K172" s="14"/>
      <c r="L172" s="12"/>
      <c r="M172" s="12"/>
      <c r="N172" s="36"/>
      <c r="O172" s="12"/>
      <c r="P172" s="12"/>
      <c r="Q172" s="36"/>
      <c r="R172" s="12"/>
      <c r="S172" s="52"/>
      <c r="T172" s="58"/>
      <c r="U172" s="52"/>
      <c r="V172" s="52"/>
      <c r="W172" s="58"/>
      <c r="X172" s="180"/>
      <c r="Y172" s="163"/>
      <c r="Z172" s="98"/>
      <c r="AA172" s="202"/>
      <c r="AB172" s="172"/>
      <c r="AC172" s="97"/>
      <c r="AF172" s="12"/>
      <c r="AG172" s="12"/>
      <c r="AX172" s="12"/>
      <c r="AY172" s="52"/>
      <c r="AZ172" s="58"/>
      <c r="BA172" s="58"/>
      <c r="BB172" s="58"/>
      <c r="BC172" s="58"/>
      <c r="BD172" s="58"/>
      <c r="BE172" s="12"/>
      <c r="BF172" s="52"/>
      <c r="BG172" s="58"/>
      <c r="BH172" s="65"/>
      <c r="BI172" s="65"/>
      <c r="BJ172" s="65"/>
      <c r="BK172" s="65"/>
      <c r="BL172" s="39"/>
      <c r="BM172" s="39"/>
      <c r="BN172" s="39"/>
      <c r="BO172" s="39">
        <f t="shared" si="165"/>
        <v>0</v>
      </c>
      <c r="BP172" s="51"/>
      <c r="BQ172" s="99" t="e">
        <f t="shared" si="166"/>
        <v>#DIV/0!</v>
      </c>
      <c r="BR172" s="30"/>
      <c r="BV172" s="282">
        <f t="shared" si="207"/>
        <v>0</v>
      </c>
      <c r="BW172" s="39">
        <f t="shared" si="179"/>
        <v>0</v>
      </c>
      <c r="BX172" s="51" t="e">
        <f t="shared" si="180"/>
        <v>#DIV/0!</v>
      </c>
    </row>
    <row r="173" spans="1:76" s="13" customFormat="1" ht="18" customHeight="1">
      <c r="A173" s="73" t="s">
        <v>189</v>
      </c>
      <c r="D173" s="327"/>
      <c r="E173" s="356"/>
      <c r="G173" s="10"/>
      <c r="H173" s="14"/>
      <c r="J173" s="10"/>
      <c r="K173" s="14"/>
      <c r="L173" s="12"/>
      <c r="M173" s="12"/>
      <c r="N173" s="36"/>
      <c r="O173" s="12"/>
      <c r="P173" s="12"/>
      <c r="Q173" s="36"/>
      <c r="R173" s="12"/>
      <c r="S173" s="52"/>
      <c r="T173" s="58"/>
      <c r="U173" s="52"/>
      <c r="V173" s="52"/>
      <c r="W173" s="58"/>
      <c r="X173" s="180"/>
      <c r="Y173" s="163"/>
      <c r="Z173" s="98"/>
      <c r="AA173" s="202"/>
      <c r="AB173" s="172"/>
      <c r="AC173" s="97"/>
      <c r="AF173" s="12"/>
      <c r="AG173" s="12"/>
      <c r="AX173" s="12"/>
      <c r="AY173" s="52"/>
      <c r="AZ173" s="58"/>
      <c r="BA173" s="58"/>
      <c r="BB173" s="58"/>
      <c r="BC173" s="58"/>
      <c r="BD173" s="58"/>
      <c r="BE173" s="12"/>
      <c r="BF173" s="52"/>
      <c r="BG173" s="58"/>
      <c r="BH173" s="65"/>
      <c r="BI173" s="65"/>
      <c r="BJ173" s="65"/>
      <c r="BK173" s="65"/>
      <c r="BL173" s="39"/>
      <c r="BM173" s="39"/>
      <c r="BN173" s="39"/>
      <c r="BO173" s="39">
        <f t="shared" si="165"/>
        <v>0</v>
      </c>
      <c r="BP173" s="51"/>
      <c r="BQ173" s="99" t="e">
        <f t="shared" si="166"/>
        <v>#DIV/0!</v>
      </c>
      <c r="BR173" s="30"/>
      <c r="BV173" s="282">
        <f t="shared" si="207"/>
        <v>0</v>
      </c>
      <c r="BW173" s="39">
        <f t="shared" si="179"/>
        <v>0</v>
      </c>
      <c r="BX173" s="51" t="e">
        <f t="shared" si="180"/>
        <v>#DIV/0!</v>
      </c>
    </row>
    <row r="174" spans="1:76" s="13" customFormat="1" ht="18" customHeight="1">
      <c r="A174" s="73" t="s">
        <v>193</v>
      </c>
      <c r="D174" s="327"/>
      <c r="E174" s="356"/>
      <c r="G174" s="10"/>
      <c r="H174" s="14"/>
      <c r="J174" s="10"/>
      <c r="K174" s="14"/>
      <c r="L174" s="12"/>
      <c r="M174" s="12"/>
      <c r="N174" s="36"/>
      <c r="O174" s="12"/>
      <c r="P174" s="12"/>
      <c r="Q174" s="36"/>
      <c r="R174" s="12"/>
      <c r="S174" s="52"/>
      <c r="T174" s="58"/>
      <c r="U174" s="52"/>
      <c r="V174" s="52"/>
      <c r="W174" s="58"/>
      <c r="X174" s="180"/>
      <c r="Y174" s="163"/>
      <c r="Z174" s="98"/>
      <c r="AA174" s="202"/>
      <c r="AB174" s="172"/>
      <c r="AC174" s="97"/>
      <c r="AF174" s="12"/>
      <c r="AG174" s="12"/>
      <c r="AX174" s="12"/>
      <c r="AY174" s="52"/>
      <c r="AZ174" s="58"/>
      <c r="BA174" s="58"/>
      <c r="BB174" s="58"/>
      <c r="BC174" s="58"/>
      <c r="BD174" s="58"/>
      <c r="BE174" s="12"/>
      <c r="BF174" s="52"/>
      <c r="BG174" s="58"/>
      <c r="BH174" s="65"/>
      <c r="BI174" s="65"/>
      <c r="BJ174" s="65"/>
      <c r="BK174" s="65"/>
      <c r="BL174" s="39"/>
      <c r="BM174" s="39"/>
      <c r="BN174" s="39"/>
      <c r="BO174" s="39">
        <f t="shared" si="165"/>
        <v>0</v>
      </c>
      <c r="BP174" s="51"/>
      <c r="BQ174" s="99" t="e">
        <f t="shared" si="166"/>
        <v>#DIV/0!</v>
      </c>
      <c r="BR174" s="30"/>
      <c r="BV174" s="282">
        <f t="shared" si="207"/>
        <v>0</v>
      </c>
      <c r="BW174" s="39">
        <f t="shared" si="179"/>
        <v>0</v>
      </c>
      <c r="BX174" s="51" t="e">
        <f t="shared" si="180"/>
        <v>#DIV/0!</v>
      </c>
    </row>
    <row r="175" spans="1:76" s="13" customFormat="1" ht="18" customHeight="1">
      <c r="A175" s="73" t="s">
        <v>195</v>
      </c>
      <c r="D175" s="327"/>
      <c r="E175" s="356"/>
      <c r="G175" s="10"/>
      <c r="H175" s="14"/>
      <c r="J175" s="10"/>
      <c r="K175" s="14"/>
      <c r="L175" s="12"/>
      <c r="M175" s="12"/>
      <c r="N175" s="36"/>
      <c r="O175" s="12"/>
      <c r="P175" s="12"/>
      <c r="Q175" s="36"/>
      <c r="R175" s="12"/>
      <c r="S175" s="52"/>
      <c r="T175" s="58"/>
      <c r="U175" s="52"/>
      <c r="V175" s="52"/>
      <c r="W175" s="58"/>
      <c r="X175" s="180"/>
      <c r="Y175" s="163"/>
      <c r="Z175" s="98"/>
      <c r="AA175" s="202"/>
      <c r="AB175" s="172"/>
      <c r="AC175" s="97"/>
      <c r="AF175" s="12"/>
      <c r="AG175" s="12"/>
      <c r="AX175" s="12"/>
      <c r="AY175" s="52"/>
      <c r="AZ175" s="58"/>
      <c r="BA175" s="58"/>
      <c r="BB175" s="58"/>
      <c r="BC175" s="58"/>
      <c r="BD175" s="58"/>
      <c r="BE175" s="12"/>
      <c r="BF175" s="52"/>
      <c r="BG175" s="58"/>
      <c r="BH175" s="65"/>
      <c r="BI175" s="65"/>
      <c r="BJ175" s="65"/>
      <c r="BK175" s="65"/>
      <c r="BL175" s="39"/>
      <c r="BM175" s="39"/>
      <c r="BN175" s="39"/>
      <c r="BO175" s="39">
        <f t="shared" si="165"/>
        <v>0</v>
      </c>
      <c r="BP175" s="51"/>
      <c r="BQ175" s="99" t="e">
        <f t="shared" si="166"/>
        <v>#DIV/0!</v>
      </c>
      <c r="BR175" s="30"/>
      <c r="BV175" s="282">
        <f t="shared" si="207"/>
        <v>0</v>
      </c>
      <c r="BW175" s="39">
        <f t="shared" si="179"/>
        <v>0</v>
      </c>
      <c r="BX175" s="51" t="e">
        <f t="shared" si="180"/>
        <v>#DIV/0!</v>
      </c>
    </row>
    <row r="176" spans="1:76" ht="18" customHeight="1">
      <c r="A176" s="73" t="s">
        <v>196</v>
      </c>
      <c r="D176" s="327"/>
      <c r="E176" s="356"/>
      <c r="G176" s="10"/>
      <c r="J176" s="10"/>
      <c r="L176" s="63"/>
      <c r="M176" s="63"/>
      <c r="N176" s="72"/>
      <c r="O176" s="63"/>
      <c r="P176" s="63"/>
      <c r="Q176" s="72"/>
      <c r="R176" s="52"/>
      <c r="S176" s="52"/>
      <c r="T176" s="58"/>
      <c r="U176" s="52"/>
      <c r="V176" s="52"/>
      <c r="W176" s="58"/>
      <c r="AB176" s="172"/>
      <c r="BH176" s="65"/>
      <c r="BI176" s="65"/>
      <c r="BJ176" s="65"/>
      <c r="BK176" s="65"/>
      <c r="BL176" s="39"/>
      <c r="BM176" s="39"/>
      <c r="BN176" s="39"/>
      <c r="BO176" s="39">
        <f t="shared" si="165"/>
        <v>0</v>
      </c>
      <c r="BP176" s="51"/>
      <c r="BQ176" s="99" t="e">
        <f t="shared" si="166"/>
        <v>#DIV/0!</v>
      </c>
      <c r="BV176" s="282">
        <f t="shared" si="207"/>
        <v>0</v>
      </c>
      <c r="BW176" s="39">
        <f t="shared" si="179"/>
        <v>0</v>
      </c>
      <c r="BX176" s="51" t="e">
        <f t="shared" si="180"/>
        <v>#DIV/0!</v>
      </c>
    </row>
    <row r="177" spans="1:76" ht="18" customHeight="1">
      <c r="A177" s="73"/>
      <c r="D177" s="327"/>
      <c r="E177" s="356"/>
      <c r="G177" s="10"/>
      <c r="J177" s="10"/>
      <c r="L177" s="63"/>
      <c r="M177" s="63"/>
      <c r="N177" s="72"/>
      <c r="O177" s="63"/>
      <c r="P177" s="63"/>
      <c r="Q177" s="72"/>
      <c r="R177" s="52"/>
      <c r="S177" s="52"/>
      <c r="T177" s="58"/>
      <c r="U177" s="52"/>
      <c r="V177" s="52"/>
      <c r="W177" s="58"/>
      <c r="AB177" s="172"/>
      <c r="BH177" s="65"/>
      <c r="BI177" s="65"/>
      <c r="BJ177" s="65"/>
      <c r="BK177" s="65"/>
      <c r="BL177" s="39"/>
      <c r="BM177" s="39"/>
      <c r="BN177" s="39"/>
      <c r="BO177" s="39">
        <f t="shared" si="165"/>
        <v>0</v>
      </c>
      <c r="BP177" s="51"/>
      <c r="BQ177" s="99" t="e">
        <f t="shared" si="166"/>
        <v>#DIV/0!</v>
      </c>
      <c r="BV177" s="282">
        <f t="shared" si="207"/>
        <v>0</v>
      </c>
      <c r="BW177" s="39">
        <f t="shared" si="179"/>
        <v>0</v>
      </c>
      <c r="BX177" s="51" t="e">
        <f t="shared" si="180"/>
        <v>#DIV/0!</v>
      </c>
    </row>
    <row r="178" spans="1:76" s="109" customFormat="1" ht="18" customHeight="1">
      <c r="A178" s="116" t="s">
        <v>30</v>
      </c>
      <c r="D178" s="358"/>
      <c r="E178" s="361"/>
      <c r="G178" s="362"/>
      <c r="H178" s="364"/>
      <c r="J178" s="362"/>
      <c r="K178" s="364"/>
      <c r="L178" s="105"/>
      <c r="M178" s="105"/>
      <c r="N178" s="117"/>
      <c r="O178" s="105"/>
      <c r="P178" s="105"/>
      <c r="Q178" s="117"/>
      <c r="R178" s="107"/>
      <c r="S178" s="107"/>
      <c r="T178" s="125"/>
      <c r="U178" s="107"/>
      <c r="V178" s="107"/>
      <c r="W178" s="125"/>
      <c r="X178" s="175"/>
      <c r="Y178" s="158"/>
      <c r="Z178" s="111"/>
      <c r="AA178" s="201"/>
      <c r="AB178" s="170"/>
      <c r="AC178" s="113"/>
      <c r="AF178" s="107"/>
      <c r="AG178" s="107"/>
      <c r="AX178" s="107"/>
      <c r="AY178" s="107"/>
      <c r="AZ178" s="125"/>
      <c r="BA178" s="125"/>
      <c r="BB178" s="125"/>
      <c r="BC178" s="125"/>
      <c r="BD178" s="125"/>
      <c r="BE178" s="107"/>
      <c r="BF178" s="107"/>
      <c r="BG178" s="125"/>
      <c r="BH178" s="110"/>
      <c r="BI178" s="110"/>
      <c r="BJ178" s="110"/>
      <c r="BK178" s="110"/>
      <c r="BL178" s="562"/>
      <c r="BM178" s="562"/>
      <c r="BN178" s="562"/>
      <c r="BO178" s="39">
        <f t="shared" si="165"/>
        <v>0</v>
      </c>
      <c r="BP178" s="108"/>
      <c r="BQ178" s="99" t="e">
        <f t="shared" si="166"/>
        <v>#DIV/0!</v>
      </c>
      <c r="BR178" s="562"/>
      <c r="BV178" s="302"/>
      <c r="BW178" s="562"/>
      <c r="BX178" s="108"/>
    </row>
    <row r="179" spans="1:76" s="79" customFormat="1" ht="17.25" customHeight="1">
      <c r="A179" s="59" t="s">
        <v>71</v>
      </c>
      <c r="B179" s="327">
        <v>0</v>
      </c>
      <c r="C179" s="327">
        <v>0</v>
      </c>
      <c r="D179" s="327">
        <f t="shared" si="143"/>
        <v>0</v>
      </c>
      <c r="E179" s="601" t="s">
        <v>78</v>
      </c>
      <c r="F179" s="590">
        <v>0</v>
      </c>
      <c r="G179" s="590">
        <f t="shared" si="145"/>
        <v>0</v>
      </c>
      <c r="H179" s="601" t="s">
        <v>78</v>
      </c>
      <c r="I179" s="590">
        <f>82134+6002</f>
        <v>88136</v>
      </c>
      <c r="J179" s="590">
        <f t="shared" si="147"/>
        <v>88136</v>
      </c>
      <c r="K179" s="601" t="s">
        <v>78</v>
      </c>
      <c r="L179" s="62">
        <v>96104</v>
      </c>
      <c r="M179" s="62">
        <v>7968</v>
      </c>
      <c r="N179" s="241">
        <v>9.0405736588908048E-2</v>
      </c>
      <c r="O179" s="62">
        <v>92175</v>
      </c>
      <c r="P179" s="62">
        <f>O179-L179</f>
        <v>-3929</v>
      </c>
      <c r="Q179" s="241">
        <f>P179/L179</f>
        <v>-4.088279364022309E-2</v>
      </c>
      <c r="R179" s="62">
        <v>100633</v>
      </c>
      <c r="S179" s="62">
        <f t="shared" ref="S179:S188" si="208">R179-O179</f>
        <v>8458</v>
      </c>
      <c r="T179" s="241">
        <f>S179/O179</f>
        <v>9.1760238676430697E-2</v>
      </c>
      <c r="U179" s="62">
        <v>113659</v>
      </c>
      <c r="V179" s="62">
        <f>U179-R179</f>
        <v>13026</v>
      </c>
      <c r="W179" s="241">
        <f>V179/R179</f>
        <v>0.12944064074408992</v>
      </c>
      <c r="X179" s="166">
        <v>129293</v>
      </c>
      <c r="Y179" s="62">
        <f t="shared" ref="Y179:Y188" si="209">X179-U179</f>
        <v>15634</v>
      </c>
      <c r="Z179" s="95">
        <f t="shared" ref="Z179:Z188" si="210">Y179/U179</f>
        <v>0.13755179968150344</v>
      </c>
      <c r="AA179" s="202">
        <v>137128</v>
      </c>
      <c r="AB179" s="591">
        <f t="shared" ref="AB179:AB188" si="211">AA179-X179</f>
        <v>7835</v>
      </c>
      <c r="AC179" s="592">
        <f t="shared" ref="AC179:AC188" si="212">AB179/X179</f>
        <v>6.0598794985033989E-2</v>
      </c>
      <c r="AD179" s="78">
        <v>116021</v>
      </c>
      <c r="AE179" s="78">
        <v>9101</v>
      </c>
      <c r="AF179" s="62">
        <v>119211</v>
      </c>
      <c r="AG179" s="62">
        <f t="shared" ref="AG179:AG188" si="213">AF179-AA179</f>
        <v>-17917</v>
      </c>
      <c r="AH179" s="241">
        <f t="shared" ref="AH179:AH188" si="214">AG179/AA179</f>
        <v>-0.13065894638585845</v>
      </c>
      <c r="AI179" s="78">
        <f>AF179-4322</f>
        <v>114889</v>
      </c>
      <c r="AJ179" s="78">
        <f>AF179-4322</f>
        <v>114889</v>
      </c>
      <c r="AK179" s="79">
        <v>125408</v>
      </c>
      <c r="AL179" s="136">
        <v>1000</v>
      </c>
      <c r="AM179" s="202">
        <f t="shared" ref="AM179:AM187" si="215">+AL179+AK179</f>
        <v>126408</v>
      </c>
      <c r="AN179" s="79">
        <v>94636</v>
      </c>
      <c r="AO179" s="79">
        <v>100123</v>
      </c>
      <c r="AP179" s="78"/>
      <c r="AQ179" s="545"/>
      <c r="AR179" s="78"/>
      <c r="AS179" s="62">
        <f>BB179+AR179</f>
        <v>103877.78606999999</v>
      </c>
      <c r="AT179" s="78">
        <f>AS179-AF179</f>
        <v>-15333.213930000013</v>
      </c>
      <c r="AU179" s="587">
        <f>AT179/AF179</f>
        <v>-0.12862247552658743</v>
      </c>
      <c r="AV179" s="78">
        <f t="shared" ref="AV179:AV188" si="216">+AS179-AF179</f>
        <v>-15333.213930000013</v>
      </c>
      <c r="AW179" s="587">
        <f t="shared" ref="AW179:AW188" si="217">+AV179/AF179</f>
        <v>-0.12862247552658743</v>
      </c>
      <c r="AX179" s="62">
        <f>101911</f>
        <v>101911</v>
      </c>
      <c r="AY179" s="62">
        <f t="shared" si="171"/>
        <v>-17300</v>
      </c>
      <c r="AZ179" s="241">
        <f t="shared" si="172"/>
        <v>-0.1451208361644479</v>
      </c>
      <c r="BA179" s="624">
        <f>96441.32886+7440.14456</f>
        <v>103881.47341999999</v>
      </c>
      <c r="BB179" s="624">
        <f>96441.32886+7436.45721</f>
        <v>103877.78606999999</v>
      </c>
      <c r="BC179" s="624">
        <f>BA179-BB179</f>
        <v>3.6873500000074273</v>
      </c>
      <c r="BD179" s="31">
        <f>BC179/BA179</f>
        <v>3.5495742201299129E-5</v>
      </c>
      <c r="BE179" s="62">
        <f>97219+5862</f>
        <v>103081</v>
      </c>
      <c r="BF179" s="62">
        <f t="shared" ref="BF179:BF185" si="218">BE179-AX179</f>
        <v>1170</v>
      </c>
      <c r="BG179" s="241">
        <f t="shared" ref="BG179:BG185" si="219">BF179/AX179</f>
        <v>1.1480605626478005E-2</v>
      </c>
      <c r="BH179" s="78"/>
      <c r="BI179" s="78"/>
      <c r="BJ179" s="78"/>
      <c r="BK179" s="78"/>
      <c r="BL179" s="495">
        <f>BE179+BH179+BI179+BJ179+BK179</f>
        <v>103081</v>
      </c>
      <c r="BM179" s="495">
        <f t="shared" ref="BM179:BM185" si="220">BL179-AS179</f>
        <v>-796.78606999998738</v>
      </c>
      <c r="BN179" s="495">
        <v>111153</v>
      </c>
      <c r="BO179" s="39">
        <f t="shared" si="165"/>
        <v>8072</v>
      </c>
      <c r="BP179" s="587">
        <f t="shared" ref="BP179:BP185" si="221">BM179/AS179</f>
        <v>-7.6704182881127073E-3</v>
      </c>
      <c r="BQ179" s="99">
        <f t="shared" si="166"/>
        <v>7.8307350530165604E-2</v>
      </c>
      <c r="BR179" s="495"/>
      <c r="BS179" s="78"/>
      <c r="BT179" s="78"/>
      <c r="BU179" s="78"/>
      <c r="BV179" s="65">
        <f t="shared" ref="BV179:BV187" si="222">BN179+BR179+BS179+BT179+BU179</f>
        <v>111153</v>
      </c>
      <c r="BW179" s="39">
        <f t="shared" ref="BW179:BW196" si="223">BV179-BL179</f>
        <v>8072</v>
      </c>
      <c r="BX179" s="51">
        <f t="shared" ref="BX179:BX196" si="224">BW179/BL179</f>
        <v>7.8307350530165604E-2</v>
      </c>
    </row>
    <row r="180" spans="1:76" s="79" customFormat="1" ht="17.25" customHeight="1">
      <c r="A180" s="59" t="s">
        <v>117</v>
      </c>
      <c r="B180" s="327">
        <f>99624+5667</f>
        <v>105291</v>
      </c>
      <c r="C180" s="327">
        <f>96950+4814</f>
        <v>101764</v>
      </c>
      <c r="D180" s="327">
        <f t="shared" si="143"/>
        <v>-3527</v>
      </c>
      <c r="E180" s="356">
        <f t="shared" si="144"/>
        <v>-3.3497639874253263E-2</v>
      </c>
      <c r="F180" s="590">
        <f>117021+3342</f>
        <v>120363</v>
      </c>
      <c r="G180" s="590">
        <f t="shared" si="145"/>
        <v>18599</v>
      </c>
      <c r="H180" s="276">
        <f t="shared" si="146"/>
        <v>0.18276600762548642</v>
      </c>
      <c r="I180" s="590">
        <f>22890+811</f>
        <v>23701</v>
      </c>
      <c r="J180" s="590">
        <f t="shared" si="147"/>
        <v>-96662</v>
      </c>
      <c r="K180" s="276">
        <f t="shared" si="148"/>
        <v>-0.80308732750097622</v>
      </c>
      <c r="L180" s="62">
        <v>20788</v>
      </c>
      <c r="M180" s="62">
        <v>-2913</v>
      </c>
      <c r="N180" s="241">
        <v>-0.12290620648917767</v>
      </c>
      <c r="O180" s="62">
        <v>27768</v>
      </c>
      <c r="P180" s="62">
        <f t="shared" ref="P180:P187" si="225">O180-L180</f>
        <v>6980</v>
      </c>
      <c r="Q180" s="241">
        <f>P180/L180</f>
        <v>0.33577063690590725</v>
      </c>
      <c r="R180" s="62">
        <v>31703</v>
      </c>
      <c r="S180" s="62">
        <f t="shared" si="208"/>
        <v>3935</v>
      </c>
      <c r="T180" s="241">
        <f>S180/O180</f>
        <v>0.14170988187842121</v>
      </c>
      <c r="U180" s="62">
        <v>46818</v>
      </c>
      <c r="V180" s="62">
        <f t="shared" ref="V180:V188" si="226">U180-R180</f>
        <v>15115</v>
      </c>
      <c r="W180" s="596" t="s">
        <v>78</v>
      </c>
      <c r="X180" s="166">
        <v>136292</v>
      </c>
      <c r="Y180" s="62">
        <f t="shared" si="209"/>
        <v>89474</v>
      </c>
      <c r="Z180" s="95">
        <f t="shared" si="210"/>
        <v>1.9111025673886113</v>
      </c>
      <c r="AA180" s="202">
        <v>124067</v>
      </c>
      <c r="AB180" s="591">
        <f t="shared" si="211"/>
        <v>-12225</v>
      </c>
      <c r="AC180" s="592">
        <f t="shared" si="212"/>
        <v>-8.969712088750624E-2</v>
      </c>
      <c r="AD180" s="79">
        <v>43</v>
      </c>
      <c r="AE180" s="79">
        <f>13000+89889</f>
        <v>102889</v>
      </c>
      <c r="AF180" s="62">
        <v>106669</v>
      </c>
      <c r="AG180" s="62">
        <f t="shared" si="213"/>
        <v>-17398</v>
      </c>
      <c r="AH180" s="241">
        <f t="shared" si="214"/>
        <v>-0.14023068180902254</v>
      </c>
      <c r="AI180" s="78">
        <f>AF180+181</f>
        <v>106850</v>
      </c>
      <c r="AJ180" s="78">
        <f>AF180+6167</f>
        <v>112836</v>
      </c>
      <c r="AK180" s="79">
        <v>15</v>
      </c>
      <c r="AL180" s="136">
        <v>28</v>
      </c>
      <c r="AM180" s="202">
        <f t="shared" si="215"/>
        <v>43</v>
      </c>
      <c r="AN180" s="593">
        <v>0</v>
      </c>
      <c r="AO180" s="79">
        <v>95490</v>
      </c>
      <c r="AP180" s="78"/>
      <c r="AQ180" s="545"/>
      <c r="AR180" s="78"/>
      <c r="AS180" s="62">
        <f t="shared" ref="AS180:AS187" si="227">BB180+AR180</f>
        <v>97436.505439999994</v>
      </c>
      <c r="AT180" s="78">
        <f t="shared" ref="AT180:AT188" si="228">AS180-AF180</f>
        <v>-9232.4945600000065</v>
      </c>
      <c r="AU180" s="587">
        <f t="shared" ref="AU180:AU188" si="229">AT180/AF180</f>
        <v>-8.6552743158743464E-2</v>
      </c>
      <c r="AV180" s="78">
        <f t="shared" si="216"/>
        <v>-9232.4945600000065</v>
      </c>
      <c r="AW180" s="587">
        <f t="shared" si="217"/>
        <v>-8.6552743158743464E-2</v>
      </c>
      <c r="AX180" s="62">
        <f>93020+5795+2525</f>
        <v>101340</v>
      </c>
      <c r="AY180" s="62">
        <f t="shared" si="171"/>
        <v>-5329</v>
      </c>
      <c r="AZ180" s="241">
        <f t="shared" si="172"/>
        <v>-4.9958282162577694E-2</v>
      </c>
      <c r="BA180" s="624">
        <f>2940.21083+15000+79985.8562</f>
        <v>97926.067029999991</v>
      </c>
      <c r="BB180" s="624">
        <f>2936.64317+15000+79499.86227</f>
        <v>97436.505439999994</v>
      </c>
      <c r="BC180" s="624">
        <f t="shared" ref="BC180:BC187" si="230">BA180-BB180</f>
        <v>489.56158999999752</v>
      </c>
      <c r="BD180" s="31">
        <f t="shared" ref="BD180:BD187" si="231">BC180/BA180</f>
        <v>4.9992979892679512E-3</v>
      </c>
      <c r="BE180" s="62">
        <f>123994</f>
        <v>123994</v>
      </c>
      <c r="BF180" s="62">
        <f t="shared" si="218"/>
        <v>22654</v>
      </c>
      <c r="BG180" s="241">
        <f t="shared" si="219"/>
        <v>0.22354450365107559</v>
      </c>
      <c r="BH180" s="78"/>
      <c r="BI180" s="78"/>
      <c r="BJ180" s="78"/>
      <c r="BK180" s="78"/>
      <c r="BL180" s="495">
        <f t="shared" si="175"/>
        <v>123994</v>
      </c>
      <c r="BM180" s="495">
        <f t="shared" si="220"/>
        <v>26557.494560000006</v>
      </c>
      <c r="BN180" s="495">
        <f>70684+1360+50600</f>
        <v>122644</v>
      </c>
      <c r="BO180" s="39">
        <f t="shared" si="165"/>
        <v>-1350</v>
      </c>
      <c r="BP180" s="587">
        <f t="shared" si="221"/>
        <v>0.27256205915916937</v>
      </c>
      <c r="BQ180" s="99">
        <f t="shared" si="166"/>
        <v>-1.0887623594690065E-2</v>
      </c>
      <c r="BR180" s="495"/>
      <c r="BS180" s="78"/>
      <c r="BT180" s="78"/>
      <c r="BU180" s="78"/>
      <c r="BV180" s="65">
        <f t="shared" si="222"/>
        <v>122644</v>
      </c>
      <c r="BW180" s="39">
        <f t="shared" si="223"/>
        <v>-1350</v>
      </c>
      <c r="BX180" s="51">
        <f t="shared" si="224"/>
        <v>-1.0887623594690065E-2</v>
      </c>
    </row>
    <row r="181" spans="1:76" s="79" customFormat="1" ht="17.25" customHeight="1">
      <c r="A181" s="59" t="s">
        <v>31</v>
      </c>
      <c r="B181" s="327">
        <f>19357+4979</f>
        <v>24336</v>
      </c>
      <c r="C181" s="327">
        <f>23967+3237</f>
        <v>27204</v>
      </c>
      <c r="D181" s="327">
        <f t="shared" si="143"/>
        <v>2868</v>
      </c>
      <c r="E181" s="356">
        <f t="shared" si="144"/>
        <v>0.11785009861932939</v>
      </c>
      <c r="F181" s="590">
        <f>28309+4263</f>
        <v>32572</v>
      </c>
      <c r="G181" s="590">
        <f t="shared" si="145"/>
        <v>5368</v>
      </c>
      <c r="H181" s="276">
        <f t="shared" si="146"/>
        <v>0.19732392295250697</v>
      </c>
      <c r="I181" s="590">
        <f>29789+5531</f>
        <v>35320</v>
      </c>
      <c r="J181" s="590">
        <f t="shared" si="147"/>
        <v>2748</v>
      </c>
      <c r="K181" s="276">
        <f t="shared" si="148"/>
        <v>8.4366940930860862E-2</v>
      </c>
      <c r="L181" s="62">
        <v>32984</v>
      </c>
      <c r="M181" s="62">
        <v>-2336</v>
      </c>
      <c r="N181" s="241">
        <v>-6.6138165345413363E-2</v>
      </c>
      <c r="O181" s="62">
        <v>37796</v>
      </c>
      <c r="P181" s="62">
        <f t="shared" si="225"/>
        <v>4812</v>
      </c>
      <c r="Q181" s="241">
        <f>P181/L181</f>
        <v>0.14588891583798205</v>
      </c>
      <c r="R181" s="62">
        <v>37418</v>
      </c>
      <c r="S181" s="62">
        <f t="shared" si="208"/>
        <v>-378</v>
      </c>
      <c r="T181" s="241">
        <f>S181/O181</f>
        <v>-1.0001058313049E-2</v>
      </c>
      <c r="U181" s="62">
        <v>37550</v>
      </c>
      <c r="V181" s="62">
        <f t="shared" si="226"/>
        <v>132</v>
      </c>
      <c r="W181" s="241">
        <f t="shared" ref="W181:W188" si="232">V181/R181</f>
        <v>3.5277139344700413E-3</v>
      </c>
      <c r="X181" s="166">
        <v>38668</v>
      </c>
      <c r="Y181" s="62">
        <f t="shared" si="209"/>
        <v>1118</v>
      </c>
      <c r="Z181" s="95">
        <f t="shared" si="210"/>
        <v>2.9773635153129162E-2</v>
      </c>
      <c r="AA181" s="202">
        <v>42952</v>
      </c>
      <c r="AB181" s="591">
        <f t="shared" si="211"/>
        <v>4284</v>
      </c>
      <c r="AC181" s="592">
        <f t="shared" si="212"/>
        <v>0.11078928312816799</v>
      </c>
      <c r="AD181" s="78">
        <v>26524</v>
      </c>
      <c r="AE181" s="78">
        <v>13762</v>
      </c>
      <c r="AF181" s="62">
        <v>36235</v>
      </c>
      <c r="AG181" s="62">
        <f t="shared" si="213"/>
        <v>-6717</v>
      </c>
      <c r="AH181" s="241">
        <f t="shared" si="214"/>
        <v>-0.15638387036692122</v>
      </c>
      <c r="AI181" s="78">
        <f>AF181-20</f>
        <v>36215</v>
      </c>
      <c r="AJ181" s="78">
        <f>AF181-1062</f>
        <v>35173</v>
      </c>
      <c r="AK181" s="79">
        <v>27794</v>
      </c>
      <c r="AL181" s="136"/>
      <c r="AM181" s="202">
        <f t="shared" si="215"/>
        <v>27794</v>
      </c>
      <c r="AN181" s="79">
        <v>24182</v>
      </c>
      <c r="AO181" s="79">
        <v>36476</v>
      </c>
      <c r="AP181" s="78"/>
      <c r="AQ181" s="78"/>
      <c r="AR181" s="78"/>
      <c r="AS181" s="62">
        <f t="shared" si="227"/>
        <v>34866.127999999997</v>
      </c>
      <c r="AT181" s="78">
        <f t="shared" si="228"/>
        <v>-1368.872000000003</v>
      </c>
      <c r="AU181" s="587">
        <f t="shared" si="229"/>
        <v>-3.7777618324824146E-2</v>
      </c>
      <c r="AV181" s="78">
        <f t="shared" si="216"/>
        <v>-1368.872000000003</v>
      </c>
      <c r="AW181" s="587">
        <f t="shared" si="217"/>
        <v>-3.7777618324824146E-2</v>
      </c>
      <c r="AX181" s="62">
        <f>35689+1500</f>
        <v>37189</v>
      </c>
      <c r="AY181" s="62">
        <f t="shared" si="171"/>
        <v>954</v>
      </c>
      <c r="AZ181" s="241">
        <f t="shared" si="172"/>
        <v>2.6328135780322892E-2</v>
      </c>
      <c r="BA181" s="624">
        <f>25801.49595+11820.53466</f>
        <v>37622.030610000002</v>
      </c>
      <c r="BB181" s="624">
        <f>23830.99093+11035.13707</f>
        <v>34866.127999999997</v>
      </c>
      <c r="BC181" s="624">
        <f t="shared" si="230"/>
        <v>2755.9026100000046</v>
      </c>
      <c r="BD181" s="31">
        <f t="shared" si="231"/>
        <v>7.3252362121769179E-2</v>
      </c>
      <c r="BE181" s="62">
        <f>24786+8280</f>
        <v>33066</v>
      </c>
      <c r="BF181" s="62">
        <f t="shared" si="218"/>
        <v>-4123</v>
      </c>
      <c r="BG181" s="241">
        <f t="shared" si="219"/>
        <v>-0.11086611632471967</v>
      </c>
      <c r="BH181" s="78"/>
      <c r="BI181" s="78"/>
      <c r="BJ181" s="78"/>
      <c r="BK181" s="78"/>
      <c r="BL181" s="495">
        <f t="shared" si="175"/>
        <v>33066</v>
      </c>
      <c r="BM181" s="495">
        <f t="shared" si="220"/>
        <v>-1800.127999999997</v>
      </c>
      <c r="BN181" s="495">
        <f>34060+2200</f>
        <v>36260</v>
      </c>
      <c r="BO181" s="39">
        <f t="shared" si="165"/>
        <v>3194</v>
      </c>
      <c r="BP181" s="587">
        <f t="shared" si="221"/>
        <v>-5.1629707778276877E-2</v>
      </c>
      <c r="BQ181" s="99">
        <f t="shared" si="166"/>
        <v>9.6594689409060672E-2</v>
      </c>
      <c r="BR181" s="495"/>
      <c r="BS181" s="78"/>
      <c r="BT181" s="78"/>
      <c r="BU181" s="78"/>
      <c r="BV181" s="65">
        <f t="shared" si="222"/>
        <v>36260</v>
      </c>
      <c r="BW181" s="39">
        <f t="shared" si="223"/>
        <v>3194</v>
      </c>
      <c r="BX181" s="51">
        <f t="shared" si="224"/>
        <v>9.6594689409060672E-2</v>
      </c>
    </row>
    <row r="182" spans="1:76" s="79" customFormat="1" ht="17.25" customHeight="1">
      <c r="A182" s="59" t="s">
        <v>118</v>
      </c>
      <c r="B182" s="593"/>
      <c r="C182" s="593"/>
      <c r="D182" s="327">
        <f t="shared" ref="D182:D242" si="233">C182-B182</f>
        <v>0</v>
      </c>
      <c r="E182" s="601" t="s">
        <v>78</v>
      </c>
      <c r="F182" s="593">
        <v>2707</v>
      </c>
      <c r="G182" s="590">
        <f t="shared" ref="G182:G242" si="234">F182-C182</f>
        <v>2707</v>
      </c>
      <c r="H182" s="601" t="s">
        <v>78</v>
      </c>
      <c r="I182" s="593">
        <v>2868</v>
      </c>
      <c r="J182" s="590">
        <f t="shared" ref="J182:J242" si="235">I182-F182</f>
        <v>161</v>
      </c>
      <c r="K182" s="601" t="s">
        <v>78</v>
      </c>
      <c r="L182" s="62">
        <v>1977</v>
      </c>
      <c r="M182" s="62">
        <v>0</v>
      </c>
      <c r="N182" s="596" t="s">
        <v>78</v>
      </c>
      <c r="O182" s="62">
        <v>4306</v>
      </c>
      <c r="P182" s="62">
        <f t="shared" si="225"/>
        <v>2329</v>
      </c>
      <c r="Q182" s="596" t="s">
        <v>78</v>
      </c>
      <c r="R182" s="62">
        <v>3004</v>
      </c>
      <c r="S182" s="62">
        <f t="shared" si="208"/>
        <v>-1302</v>
      </c>
      <c r="T182" s="596" t="s">
        <v>78</v>
      </c>
      <c r="U182" s="62">
        <v>26993</v>
      </c>
      <c r="V182" s="62">
        <f t="shared" si="226"/>
        <v>23989</v>
      </c>
      <c r="W182" s="596" t="s">
        <v>78</v>
      </c>
      <c r="X182" s="166">
        <v>37466</v>
      </c>
      <c r="Y182" s="62">
        <f t="shared" si="209"/>
        <v>10473</v>
      </c>
      <c r="Z182" s="95">
        <f t="shared" si="210"/>
        <v>0.38798947875375095</v>
      </c>
      <c r="AA182" s="202">
        <v>57732</v>
      </c>
      <c r="AB182" s="591">
        <f t="shared" si="211"/>
        <v>20266</v>
      </c>
      <c r="AC182" s="592">
        <f t="shared" si="212"/>
        <v>0.54091709816900657</v>
      </c>
      <c r="AD182" s="78">
        <v>17343</v>
      </c>
      <c r="AE182" s="78">
        <v>40205</v>
      </c>
      <c r="AF182" s="62">
        <v>46427</v>
      </c>
      <c r="AG182" s="62">
        <f t="shared" si="213"/>
        <v>-11305</v>
      </c>
      <c r="AH182" s="241">
        <f t="shared" si="214"/>
        <v>-0.1958186101295642</v>
      </c>
      <c r="AI182" s="78">
        <f>AF182-126</f>
        <v>46301</v>
      </c>
      <c r="AJ182" s="246">
        <f>AF182-1455</f>
        <v>44972</v>
      </c>
      <c r="AK182" s="245">
        <v>12630</v>
      </c>
      <c r="AL182" s="136">
        <v>6507</v>
      </c>
      <c r="AM182" s="202">
        <f t="shared" si="215"/>
        <v>19137</v>
      </c>
      <c r="AN182" s="593">
        <v>13925</v>
      </c>
      <c r="AO182" s="593">
        <v>50811</v>
      </c>
      <c r="AP182" s="545"/>
      <c r="AQ182" s="78"/>
      <c r="AR182" s="78"/>
      <c r="AS182" s="62">
        <f t="shared" si="227"/>
        <v>37410.08898</v>
      </c>
      <c r="AT182" s="78">
        <f t="shared" si="228"/>
        <v>-9016.9110199999996</v>
      </c>
      <c r="AU182" s="587">
        <f t="shared" si="229"/>
        <v>-0.19421696469726668</v>
      </c>
      <c r="AV182" s="78">
        <f t="shared" si="216"/>
        <v>-9016.9110199999996</v>
      </c>
      <c r="AW182" s="587">
        <f t="shared" si="217"/>
        <v>-0.19421696469726668</v>
      </c>
      <c r="AX182" s="202">
        <v>44577</v>
      </c>
      <c r="AY182" s="62">
        <f t="shared" si="171"/>
        <v>-1850</v>
      </c>
      <c r="AZ182" s="241">
        <f t="shared" si="172"/>
        <v>-3.9847502530854888E-2</v>
      </c>
      <c r="BA182" s="624">
        <f>12610.53748+30195.6168</f>
        <v>42806.154280000002</v>
      </c>
      <c r="BB182" s="624">
        <f>12321.16882+25088.92016</f>
        <v>37410.08898</v>
      </c>
      <c r="BC182" s="624">
        <f t="shared" si="230"/>
        <v>5396.065300000002</v>
      </c>
      <c r="BD182" s="31">
        <f t="shared" si="231"/>
        <v>0.12605816595211322</v>
      </c>
      <c r="BE182" s="202">
        <f>16157+34424</f>
        <v>50581</v>
      </c>
      <c r="BF182" s="62">
        <f t="shared" si="218"/>
        <v>6004</v>
      </c>
      <c r="BG182" s="241">
        <f t="shared" si="219"/>
        <v>0.13468829216860712</v>
      </c>
      <c r="BH182" s="78"/>
      <c r="BI182" s="78"/>
      <c r="BJ182" s="78"/>
      <c r="BK182" s="78"/>
      <c r="BL182" s="495">
        <f t="shared" si="175"/>
        <v>50581</v>
      </c>
      <c r="BM182" s="495">
        <f t="shared" si="220"/>
        <v>13170.91102</v>
      </c>
      <c r="BN182" s="495">
        <v>65433</v>
      </c>
      <c r="BO182" s="39">
        <f t="shared" si="165"/>
        <v>14852</v>
      </c>
      <c r="BP182" s="587">
        <f t="shared" si="221"/>
        <v>0.3520684226931769</v>
      </c>
      <c r="BQ182" s="99">
        <f t="shared" si="166"/>
        <v>0.29362804215021449</v>
      </c>
      <c r="BR182" s="495"/>
      <c r="BS182" s="78"/>
      <c r="BT182" s="78"/>
      <c r="BU182" s="78"/>
      <c r="BV182" s="65">
        <f t="shared" si="222"/>
        <v>65433</v>
      </c>
      <c r="BW182" s="39">
        <f t="shared" si="223"/>
        <v>14852</v>
      </c>
      <c r="BX182" s="51">
        <f t="shared" si="224"/>
        <v>0.29362804215021449</v>
      </c>
    </row>
    <row r="183" spans="1:76" s="79" customFormat="1" ht="17.25" customHeight="1">
      <c r="A183" s="59" t="s">
        <v>32</v>
      </c>
      <c r="B183" s="327">
        <f>289+298</f>
        <v>587</v>
      </c>
      <c r="C183" s="327">
        <f>321+449</f>
        <v>770</v>
      </c>
      <c r="D183" s="327">
        <f t="shared" si="233"/>
        <v>183</v>
      </c>
      <c r="E183" s="356">
        <f t="shared" ref="E183:E242" si="236">(C183-B183)/B183</f>
        <v>0.31175468483816016</v>
      </c>
      <c r="F183" s="590">
        <f>536+421</f>
        <v>957</v>
      </c>
      <c r="G183" s="590">
        <f t="shared" si="234"/>
        <v>187</v>
      </c>
      <c r="H183" s="276">
        <f t="shared" ref="H183:H242" si="237">(F183-C183)/C183</f>
        <v>0.24285714285714285</v>
      </c>
      <c r="I183" s="590">
        <f>715+372</f>
        <v>1087</v>
      </c>
      <c r="J183" s="590">
        <f t="shared" si="235"/>
        <v>130</v>
      </c>
      <c r="K183" s="276">
        <f t="shared" ref="K183:K242" si="238">(I183-F183)/F183</f>
        <v>0.13584117032392895</v>
      </c>
      <c r="L183" s="62">
        <v>1221</v>
      </c>
      <c r="M183" s="62">
        <v>134</v>
      </c>
      <c r="N183" s="241">
        <v>0.12327506899724011</v>
      </c>
      <c r="O183" s="62">
        <v>1203</v>
      </c>
      <c r="P183" s="62">
        <f t="shared" si="225"/>
        <v>-18</v>
      </c>
      <c r="Q183" s="241">
        <f>P183/L183</f>
        <v>-1.4742014742014743E-2</v>
      </c>
      <c r="R183" s="62">
        <v>1149</v>
      </c>
      <c r="S183" s="62">
        <f t="shared" si="208"/>
        <v>-54</v>
      </c>
      <c r="T183" s="241">
        <f>S183/O183</f>
        <v>-4.488778054862843E-2</v>
      </c>
      <c r="U183" s="62">
        <v>1266</v>
      </c>
      <c r="V183" s="62">
        <f t="shared" si="226"/>
        <v>117</v>
      </c>
      <c r="W183" s="241">
        <f t="shared" si="232"/>
        <v>0.10182767624020887</v>
      </c>
      <c r="X183" s="166">
        <v>1620</v>
      </c>
      <c r="Y183" s="62">
        <f t="shared" si="209"/>
        <v>354</v>
      </c>
      <c r="Z183" s="95">
        <f t="shared" si="210"/>
        <v>0.27962085308056872</v>
      </c>
      <c r="AA183" s="202">
        <v>1927</v>
      </c>
      <c r="AB183" s="591">
        <f t="shared" si="211"/>
        <v>307</v>
      </c>
      <c r="AC183" s="592">
        <f t="shared" si="212"/>
        <v>0.18950617283950616</v>
      </c>
      <c r="AD183" s="78">
        <v>1213</v>
      </c>
      <c r="AE183" s="78">
        <v>656</v>
      </c>
      <c r="AF183" s="62">
        <v>1544</v>
      </c>
      <c r="AG183" s="62">
        <f t="shared" si="213"/>
        <v>-383</v>
      </c>
      <c r="AH183" s="241">
        <f t="shared" si="214"/>
        <v>-0.19875454073689672</v>
      </c>
      <c r="AI183" s="78">
        <f>AF183-100</f>
        <v>1444</v>
      </c>
      <c r="AJ183" s="246">
        <f>AF183-75</f>
        <v>1469</v>
      </c>
      <c r="AK183" s="245">
        <v>1366</v>
      </c>
      <c r="AL183" s="136">
        <v>5</v>
      </c>
      <c r="AM183" s="202">
        <f t="shared" si="215"/>
        <v>1371</v>
      </c>
      <c r="AN183" s="613">
        <v>1097</v>
      </c>
      <c r="AO183" s="593">
        <v>1634</v>
      </c>
      <c r="AP183" s="78"/>
      <c r="AQ183" s="78"/>
      <c r="AR183" s="78"/>
      <c r="AS183" s="62">
        <f t="shared" si="227"/>
        <v>1414.6360999999999</v>
      </c>
      <c r="AT183" s="78">
        <f t="shared" si="228"/>
        <v>-129.36390000000006</v>
      </c>
      <c r="AU183" s="587">
        <f t="shared" si="229"/>
        <v>-8.3784909326424906E-2</v>
      </c>
      <c r="AV183" s="78">
        <f t="shared" si="216"/>
        <v>-129.36390000000006</v>
      </c>
      <c r="AW183" s="587">
        <f t="shared" si="217"/>
        <v>-8.3784909326424906E-2</v>
      </c>
      <c r="AX183" s="202">
        <v>1590</v>
      </c>
      <c r="AY183" s="62">
        <f t="shared" si="171"/>
        <v>46</v>
      </c>
      <c r="AZ183" s="241">
        <f t="shared" si="172"/>
        <v>2.9792746113989636E-2</v>
      </c>
      <c r="BA183" s="624">
        <f>1078.39087+511.19958</f>
        <v>1589.5904499999999</v>
      </c>
      <c r="BB183" s="624">
        <f>1049.25103+365.38507</f>
        <v>1414.6360999999999</v>
      </c>
      <c r="BC183" s="624">
        <f t="shared" si="230"/>
        <v>174.95434999999998</v>
      </c>
      <c r="BD183" s="31">
        <f t="shared" si="231"/>
        <v>0.11006253214467915</v>
      </c>
      <c r="BE183" s="202">
        <f>1069+511</f>
        <v>1580</v>
      </c>
      <c r="BF183" s="62">
        <f t="shared" si="218"/>
        <v>-10</v>
      </c>
      <c r="BG183" s="241">
        <f t="shared" si="219"/>
        <v>-6.2893081761006293E-3</v>
      </c>
      <c r="BH183" s="78"/>
      <c r="BI183" s="78"/>
      <c r="BJ183" s="78"/>
      <c r="BK183" s="78"/>
      <c r="BL183" s="495">
        <f t="shared" si="175"/>
        <v>1580</v>
      </c>
      <c r="BM183" s="495">
        <f t="shared" si="220"/>
        <v>165.36390000000006</v>
      </c>
      <c r="BN183" s="495">
        <v>1607</v>
      </c>
      <c r="BO183" s="39">
        <f t="shared" si="165"/>
        <v>27</v>
      </c>
      <c r="BP183" s="587">
        <f t="shared" si="221"/>
        <v>0.11689500925361658</v>
      </c>
      <c r="BQ183" s="99">
        <f t="shared" si="166"/>
        <v>1.708860759493671E-2</v>
      </c>
      <c r="BR183" s="603"/>
      <c r="BS183" s="78"/>
      <c r="BT183" s="78"/>
      <c r="BU183" s="78"/>
      <c r="BV183" s="65">
        <f t="shared" si="222"/>
        <v>1607</v>
      </c>
      <c r="BW183" s="39">
        <f t="shared" si="223"/>
        <v>27</v>
      </c>
      <c r="BX183" s="51">
        <f t="shared" si="224"/>
        <v>1.708860759493671E-2</v>
      </c>
    </row>
    <row r="184" spans="1:76" ht="17.25" customHeight="1">
      <c r="A184" s="57" t="s">
        <v>33</v>
      </c>
      <c r="B184" s="326">
        <v>81</v>
      </c>
      <c r="C184" s="326">
        <v>82</v>
      </c>
      <c r="D184" s="327">
        <f t="shared" si="233"/>
        <v>1</v>
      </c>
      <c r="E184" s="356">
        <f t="shared" si="236"/>
        <v>1.2345679012345678E-2</v>
      </c>
      <c r="F184" s="10">
        <v>83</v>
      </c>
      <c r="G184" s="10">
        <f t="shared" si="234"/>
        <v>1</v>
      </c>
      <c r="H184" s="14">
        <f t="shared" si="237"/>
        <v>1.2195121951219513E-2</v>
      </c>
      <c r="I184" s="10">
        <v>90</v>
      </c>
      <c r="J184" s="10">
        <f t="shared" si="235"/>
        <v>7</v>
      </c>
      <c r="K184" s="14">
        <f t="shared" si="238"/>
        <v>8.4337349397590355E-2</v>
      </c>
      <c r="L184" s="52">
        <v>92</v>
      </c>
      <c r="M184" s="52">
        <v>2</v>
      </c>
      <c r="N184" s="58">
        <v>2.2222222222222223E-2</v>
      </c>
      <c r="O184" s="52">
        <v>95</v>
      </c>
      <c r="P184" s="52">
        <f t="shared" si="225"/>
        <v>3</v>
      </c>
      <c r="Q184" s="58">
        <f>P184/L184</f>
        <v>3.2608695652173912E-2</v>
      </c>
      <c r="R184" s="52">
        <v>110</v>
      </c>
      <c r="S184" s="52">
        <f t="shared" si="208"/>
        <v>15</v>
      </c>
      <c r="T184" s="58">
        <f>S184/O184</f>
        <v>0.15789473684210525</v>
      </c>
      <c r="U184" s="52">
        <v>110</v>
      </c>
      <c r="V184" s="52">
        <f t="shared" si="226"/>
        <v>0</v>
      </c>
      <c r="W184" s="58">
        <f t="shared" si="232"/>
        <v>0</v>
      </c>
      <c r="X184" s="166">
        <v>113</v>
      </c>
      <c r="Y184" s="52">
        <f t="shared" si="209"/>
        <v>3</v>
      </c>
      <c r="Z184" s="95">
        <f t="shared" si="210"/>
        <v>2.7272727272727271E-2</v>
      </c>
      <c r="AA184" s="202">
        <v>113</v>
      </c>
      <c r="AB184" s="172">
        <f t="shared" si="211"/>
        <v>0</v>
      </c>
      <c r="AC184" s="100">
        <f t="shared" si="212"/>
        <v>0</v>
      </c>
      <c r="AD184" s="219">
        <v>123</v>
      </c>
      <c r="AE184" s="219"/>
      <c r="AF184" s="52">
        <v>123</v>
      </c>
      <c r="AG184" s="52">
        <f t="shared" si="213"/>
        <v>10</v>
      </c>
      <c r="AH184" s="58">
        <f t="shared" si="214"/>
        <v>8.8495575221238937E-2</v>
      </c>
      <c r="AI184" s="65">
        <f>AF184</f>
        <v>123</v>
      </c>
      <c r="AJ184" s="246">
        <f>AF184</f>
        <v>123</v>
      </c>
      <c r="AK184" s="245">
        <v>126</v>
      </c>
      <c r="AL184" s="136"/>
      <c r="AM184" s="258">
        <f t="shared" si="215"/>
        <v>126</v>
      </c>
      <c r="AN184" s="220">
        <v>123</v>
      </c>
      <c r="AO184" s="220">
        <v>0</v>
      </c>
      <c r="AP184" s="219">
        <v>0</v>
      </c>
      <c r="AQ184" s="219">
        <v>0</v>
      </c>
      <c r="AR184" s="65">
        <f t="shared" ref="AR184:AR188" si="239">AP184+AQ184</f>
        <v>0</v>
      </c>
      <c r="AS184" s="62">
        <f t="shared" si="227"/>
        <v>123</v>
      </c>
      <c r="AT184" s="65">
        <f t="shared" si="228"/>
        <v>0</v>
      </c>
      <c r="AU184" s="51">
        <f t="shared" si="229"/>
        <v>0</v>
      </c>
      <c r="AV184" s="65">
        <f t="shared" si="216"/>
        <v>0</v>
      </c>
      <c r="AW184" s="51">
        <f t="shared" si="217"/>
        <v>0</v>
      </c>
      <c r="AX184" s="258">
        <v>123</v>
      </c>
      <c r="AY184" s="52">
        <f t="shared" si="171"/>
        <v>0</v>
      </c>
      <c r="AZ184" s="58">
        <f t="shared" si="172"/>
        <v>0</v>
      </c>
      <c r="BA184" s="624">
        <v>123</v>
      </c>
      <c r="BB184" s="624">
        <v>123</v>
      </c>
      <c r="BC184" s="624">
        <f t="shared" si="230"/>
        <v>0</v>
      </c>
      <c r="BD184" s="31">
        <f t="shared" si="231"/>
        <v>0</v>
      </c>
      <c r="BE184" s="258">
        <v>126</v>
      </c>
      <c r="BF184" s="52">
        <f t="shared" si="218"/>
        <v>3</v>
      </c>
      <c r="BG184" s="58">
        <f t="shared" si="219"/>
        <v>2.4390243902439025E-2</v>
      </c>
      <c r="BH184" s="65"/>
      <c r="BI184" s="65"/>
      <c r="BJ184" s="65"/>
      <c r="BK184" s="65"/>
      <c r="BL184" s="39">
        <f t="shared" si="175"/>
        <v>126</v>
      </c>
      <c r="BM184" s="39">
        <f t="shared" si="220"/>
        <v>3</v>
      </c>
      <c r="BN184" s="39">
        <v>126</v>
      </c>
      <c r="BO184" s="39">
        <f t="shared" si="165"/>
        <v>0</v>
      </c>
      <c r="BP184" s="51">
        <f t="shared" si="221"/>
        <v>2.4390243902439025E-2</v>
      </c>
      <c r="BQ184" s="99">
        <f t="shared" si="166"/>
        <v>0</v>
      </c>
      <c r="BS184" s="65"/>
      <c r="BT184" s="65"/>
      <c r="BU184" s="65"/>
      <c r="BV184" s="65">
        <f t="shared" si="222"/>
        <v>126</v>
      </c>
      <c r="BW184" s="39">
        <f t="shared" si="223"/>
        <v>0</v>
      </c>
      <c r="BX184" s="51">
        <f t="shared" si="224"/>
        <v>0</v>
      </c>
    </row>
    <row r="185" spans="1:76" ht="17.25" customHeight="1">
      <c r="A185" s="57" t="s">
        <v>34</v>
      </c>
      <c r="B185" s="326">
        <v>135531</v>
      </c>
      <c r="C185" s="326">
        <v>163073</v>
      </c>
      <c r="D185" s="327">
        <f t="shared" si="233"/>
        <v>27542</v>
      </c>
      <c r="E185" s="356">
        <f t="shared" si="236"/>
        <v>0.2032155005127978</v>
      </c>
      <c r="F185" s="10">
        <v>148493</v>
      </c>
      <c r="G185" s="10">
        <f t="shared" si="234"/>
        <v>-14580</v>
      </c>
      <c r="H185" s="14">
        <f t="shared" si="237"/>
        <v>-8.9407811225647407E-2</v>
      </c>
      <c r="I185" s="10">
        <v>154531</v>
      </c>
      <c r="J185" s="10">
        <f t="shared" si="235"/>
        <v>6038</v>
      </c>
      <c r="K185" s="14">
        <f t="shared" si="238"/>
        <v>4.0661849380105461E-2</v>
      </c>
      <c r="L185" s="52">
        <v>159122</v>
      </c>
      <c r="M185" s="52">
        <v>4591</v>
      </c>
      <c r="N185" s="58">
        <v>2.9709249276844128E-2</v>
      </c>
      <c r="O185" s="52">
        <v>165303</v>
      </c>
      <c r="P185" s="52">
        <f t="shared" si="225"/>
        <v>6181</v>
      </c>
      <c r="Q185" s="58">
        <f>P185/L185</f>
        <v>3.8844408692701199E-2</v>
      </c>
      <c r="R185" s="52">
        <v>187615</v>
      </c>
      <c r="S185" s="52">
        <f t="shared" si="208"/>
        <v>22312</v>
      </c>
      <c r="T185" s="58">
        <f>S185/O185</f>
        <v>0.1349763767142762</v>
      </c>
      <c r="U185" s="52">
        <v>198484</v>
      </c>
      <c r="V185" s="52">
        <f t="shared" si="226"/>
        <v>10869</v>
      </c>
      <c r="W185" s="58">
        <f t="shared" si="232"/>
        <v>5.7932468086240439E-2</v>
      </c>
      <c r="X185" s="166">
        <v>214905</v>
      </c>
      <c r="Y185" s="52">
        <f t="shared" si="209"/>
        <v>16421</v>
      </c>
      <c r="Z185" s="95">
        <f t="shared" si="210"/>
        <v>8.2732109389169903E-2</v>
      </c>
      <c r="AA185" s="202">
        <v>230499</v>
      </c>
      <c r="AB185" s="172">
        <f t="shared" si="211"/>
        <v>15594</v>
      </c>
      <c r="AC185" s="100">
        <f t="shared" si="212"/>
        <v>7.2562294967543794E-2</v>
      </c>
      <c r="AD185" s="65">
        <v>231668</v>
      </c>
      <c r="AE185" s="65">
        <v>12000</v>
      </c>
      <c r="AF185" s="52">
        <v>243668</v>
      </c>
      <c r="AG185" s="52">
        <f t="shared" si="213"/>
        <v>13169</v>
      </c>
      <c r="AH185" s="58">
        <f t="shared" si="214"/>
        <v>5.7132568904854249E-2</v>
      </c>
      <c r="AI185" s="65">
        <f>AF185</f>
        <v>243668</v>
      </c>
      <c r="AJ185" s="246">
        <f>AF185</f>
        <v>243668</v>
      </c>
      <c r="AK185" s="245">
        <v>237998</v>
      </c>
      <c r="AL185" s="136"/>
      <c r="AM185" s="258">
        <f t="shared" si="215"/>
        <v>237998</v>
      </c>
      <c r="AN185" s="220">
        <v>233268</v>
      </c>
      <c r="AO185" s="220">
        <v>245268</v>
      </c>
      <c r="AP185" s="219">
        <v>0</v>
      </c>
      <c r="AQ185" s="219">
        <v>0</v>
      </c>
      <c r="AR185" s="65">
        <f t="shared" si="239"/>
        <v>0</v>
      </c>
      <c r="AS185" s="62">
        <f t="shared" si="227"/>
        <v>0</v>
      </c>
      <c r="AT185" s="65">
        <f t="shared" si="228"/>
        <v>-243668</v>
      </c>
      <c r="AU185" s="51">
        <f t="shared" si="229"/>
        <v>-1</v>
      </c>
      <c r="AV185" s="65">
        <f t="shared" si="216"/>
        <v>-243668</v>
      </c>
      <c r="AW185" s="51">
        <f t="shared" si="217"/>
        <v>-1</v>
      </c>
      <c r="AX185" s="258">
        <v>257703</v>
      </c>
      <c r="AY185" s="52">
        <f t="shared" si="171"/>
        <v>14035</v>
      </c>
      <c r="AZ185" s="58">
        <f t="shared" si="172"/>
        <v>5.7598864028103811E-2</v>
      </c>
      <c r="BC185" s="624">
        <f t="shared" si="230"/>
        <v>0</v>
      </c>
      <c r="BD185" s="31"/>
      <c r="BE185" s="258">
        <f>218088</f>
        <v>218088</v>
      </c>
      <c r="BF185" s="52">
        <f t="shared" si="218"/>
        <v>-39615</v>
      </c>
      <c r="BG185" s="58">
        <f t="shared" si="219"/>
        <v>-0.15372347236935541</v>
      </c>
      <c r="BH185" s="65"/>
      <c r="BI185" s="65"/>
      <c r="BJ185" s="65"/>
      <c r="BK185" s="65"/>
      <c r="BL185" s="39">
        <f t="shared" si="175"/>
        <v>218088</v>
      </c>
      <c r="BM185" s="39">
        <f t="shared" si="220"/>
        <v>218088</v>
      </c>
      <c r="BN185" s="542">
        <f>288224-50600</f>
        <v>237624</v>
      </c>
      <c r="BO185" s="39">
        <f t="shared" si="165"/>
        <v>19536</v>
      </c>
      <c r="BP185" s="51" t="e">
        <f t="shared" si="221"/>
        <v>#DIV/0!</v>
      </c>
      <c r="BQ185" s="99">
        <f t="shared" si="166"/>
        <v>8.9578518763068118E-2</v>
      </c>
      <c r="BS185" s="65"/>
      <c r="BT185" s="65"/>
      <c r="BU185" s="65"/>
      <c r="BV185" s="65">
        <f t="shared" si="222"/>
        <v>237624</v>
      </c>
      <c r="BW185" s="39">
        <f t="shared" si="223"/>
        <v>19536</v>
      </c>
      <c r="BX185" s="51">
        <f t="shared" si="224"/>
        <v>8.9578518763068118E-2</v>
      </c>
    </row>
    <row r="186" spans="1:76" ht="17.25" customHeight="1">
      <c r="A186" s="628" t="s">
        <v>420</v>
      </c>
      <c r="B186" s="326"/>
      <c r="C186" s="326"/>
      <c r="D186" s="327"/>
      <c r="E186" s="356"/>
      <c r="F186" s="10"/>
      <c r="G186" s="10"/>
      <c r="I186" s="10"/>
      <c r="J186" s="10"/>
      <c r="L186" s="52"/>
      <c r="M186" s="52"/>
      <c r="N186" s="58"/>
      <c r="O186" s="52"/>
      <c r="P186" s="52"/>
      <c r="Q186" s="58"/>
      <c r="R186" s="52"/>
      <c r="S186" s="52"/>
      <c r="T186" s="58"/>
      <c r="U186" s="52"/>
      <c r="V186" s="52"/>
      <c r="W186" s="58"/>
      <c r="Y186" s="52"/>
      <c r="AB186" s="172"/>
      <c r="AD186" s="65"/>
      <c r="AE186" s="65"/>
      <c r="AH186" s="58"/>
      <c r="AI186" s="65"/>
      <c r="AJ186" s="246"/>
      <c r="AK186" s="245"/>
      <c r="AL186" s="136"/>
      <c r="AM186" s="258"/>
      <c r="AN186" s="220"/>
      <c r="AO186" s="220"/>
      <c r="AP186" s="219"/>
      <c r="AQ186" s="219"/>
      <c r="AR186" s="65"/>
      <c r="AS186" s="62">
        <f t="shared" si="227"/>
        <v>257703.03400000001</v>
      </c>
      <c r="AT186" s="65"/>
      <c r="AU186" s="51"/>
      <c r="AV186" s="65"/>
      <c r="AW186" s="51"/>
      <c r="AX186" s="258"/>
      <c r="BA186" s="625">
        <f>245703.034+12000</f>
        <v>257703.03400000001</v>
      </c>
      <c r="BB186" s="625">
        <f>245703.034+12000</f>
        <v>257703.03400000001</v>
      </c>
      <c r="BC186" s="624">
        <f t="shared" si="230"/>
        <v>0</v>
      </c>
      <c r="BD186" s="31">
        <f t="shared" si="231"/>
        <v>0</v>
      </c>
      <c r="BE186" s="258"/>
      <c r="BH186" s="65"/>
      <c r="BI186" s="65"/>
      <c r="BJ186" s="65"/>
      <c r="BK186" s="65"/>
      <c r="BL186" s="39"/>
      <c r="BM186" s="39"/>
      <c r="BN186" s="39"/>
      <c r="BO186" s="39">
        <f t="shared" si="165"/>
        <v>0</v>
      </c>
      <c r="BP186" s="51"/>
      <c r="BQ186" s="99" t="e">
        <f t="shared" si="166"/>
        <v>#DIV/0!</v>
      </c>
      <c r="BS186" s="65"/>
      <c r="BT186" s="65"/>
      <c r="BU186" s="65"/>
      <c r="BV186" s="65">
        <f t="shared" si="222"/>
        <v>0</v>
      </c>
      <c r="BW186" s="39">
        <f t="shared" si="223"/>
        <v>0</v>
      </c>
      <c r="BX186" s="51" t="e">
        <f t="shared" si="224"/>
        <v>#DIV/0!</v>
      </c>
    </row>
    <row r="187" spans="1:76" s="54" customFormat="1" ht="17.25" customHeight="1" thickBot="1">
      <c r="A187" s="82" t="s">
        <v>35</v>
      </c>
      <c r="B187" s="332">
        <v>3050</v>
      </c>
      <c r="C187" s="332">
        <v>2973</v>
      </c>
      <c r="D187" s="359">
        <f t="shared" si="233"/>
        <v>-77</v>
      </c>
      <c r="E187" s="366">
        <f t="shared" si="236"/>
        <v>-2.5245901639344263E-2</v>
      </c>
      <c r="F187" s="354">
        <v>2894</v>
      </c>
      <c r="G187" s="354">
        <f t="shared" si="234"/>
        <v>-79</v>
      </c>
      <c r="H187" s="16">
        <f t="shared" si="237"/>
        <v>-2.6572485704675412E-2</v>
      </c>
      <c r="I187" s="354">
        <v>3803</v>
      </c>
      <c r="J187" s="354">
        <f t="shared" si="235"/>
        <v>909</v>
      </c>
      <c r="K187" s="16">
        <f t="shared" si="238"/>
        <v>0.3140981340704907</v>
      </c>
      <c r="L187" s="75">
        <v>4309</v>
      </c>
      <c r="M187" s="75">
        <v>506</v>
      </c>
      <c r="N187" s="77">
        <v>0.13305285301078096</v>
      </c>
      <c r="O187" s="75">
        <v>4657</v>
      </c>
      <c r="P187" s="75">
        <f t="shared" si="225"/>
        <v>348</v>
      </c>
      <c r="Q187" s="77">
        <f>P187/L187</f>
        <v>8.0761197493618014E-2</v>
      </c>
      <c r="R187" s="75">
        <v>5169</v>
      </c>
      <c r="S187" s="75">
        <f t="shared" si="208"/>
        <v>512</v>
      </c>
      <c r="T187" s="77">
        <f>S187/O187</f>
        <v>0.1099420227614344</v>
      </c>
      <c r="U187" s="75">
        <v>5092</v>
      </c>
      <c r="V187" s="75">
        <f t="shared" si="226"/>
        <v>-77</v>
      </c>
      <c r="W187" s="77">
        <f t="shared" si="232"/>
        <v>-1.489649835558135E-2</v>
      </c>
      <c r="X187" s="177">
        <v>5420</v>
      </c>
      <c r="Y187" s="75">
        <f t="shared" si="209"/>
        <v>328</v>
      </c>
      <c r="Z187" s="126">
        <f t="shared" si="210"/>
        <v>6.4414768263943434E-2</v>
      </c>
      <c r="AA187" s="206">
        <v>7866</v>
      </c>
      <c r="AB187" s="174">
        <f t="shared" si="211"/>
        <v>2446</v>
      </c>
      <c r="AC187" s="128">
        <f t="shared" si="212"/>
        <v>0.45129151291512914</v>
      </c>
      <c r="AD187" s="94">
        <v>7668</v>
      </c>
      <c r="AE187" s="94"/>
      <c r="AF187" s="75">
        <v>6326</v>
      </c>
      <c r="AG187" s="75">
        <f t="shared" si="213"/>
        <v>-1540</v>
      </c>
      <c r="AH187" s="77">
        <f t="shared" si="214"/>
        <v>-0.19577930333079074</v>
      </c>
      <c r="AI187" s="94">
        <f>AF187-460</f>
        <v>5866</v>
      </c>
      <c r="AJ187" s="80">
        <f>AF187-460</f>
        <v>5866</v>
      </c>
      <c r="AK187" s="54">
        <v>7668</v>
      </c>
      <c r="AL187" s="136"/>
      <c r="AM187" s="258">
        <f t="shared" si="215"/>
        <v>7668</v>
      </c>
      <c r="AN187" s="54">
        <v>6058</v>
      </c>
      <c r="AO187" s="220">
        <v>6058</v>
      </c>
      <c r="AP187" s="94">
        <v>0</v>
      </c>
      <c r="AQ187" s="94">
        <v>0</v>
      </c>
      <c r="AR187" s="65">
        <f t="shared" si="239"/>
        <v>0</v>
      </c>
      <c r="AS187" s="62">
        <f t="shared" si="227"/>
        <v>6007.3223399999997</v>
      </c>
      <c r="AT187" s="65">
        <f t="shared" si="228"/>
        <v>-318.67766000000029</v>
      </c>
      <c r="AU187" s="51">
        <f t="shared" si="229"/>
        <v>-5.0375855200758816E-2</v>
      </c>
      <c r="AV187" s="65">
        <f t="shared" si="216"/>
        <v>-318.67766000000029</v>
      </c>
      <c r="AW187" s="51">
        <f t="shared" si="217"/>
        <v>-5.0375855200758816E-2</v>
      </c>
      <c r="AX187" s="75">
        <v>6058</v>
      </c>
      <c r="AY187" s="75">
        <f t="shared" si="171"/>
        <v>-268</v>
      </c>
      <c r="AZ187" s="77">
        <f t="shared" si="172"/>
        <v>-4.2364843503003478E-2</v>
      </c>
      <c r="BA187" s="624">
        <v>6058</v>
      </c>
      <c r="BB187" s="624">
        <v>6007.3223399999997</v>
      </c>
      <c r="BC187" s="624">
        <f t="shared" si="230"/>
        <v>50.677660000000287</v>
      </c>
      <c r="BD187" s="31">
        <f t="shared" si="231"/>
        <v>8.3654110267415462E-3</v>
      </c>
      <c r="BE187" s="75">
        <v>0</v>
      </c>
      <c r="BF187" s="75">
        <f>BE187-AX187</f>
        <v>-6058</v>
      </c>
      <c r="BG187" s="77">
        <f>BF187/AX187</f>
        <v>-1</v>
      </c>
      <c r="BH187" s="94"/>
      <c r="BI187" s="94"/>
      <c r="BJ187" s="94"/>
      <c r="BK187" s="94"/>
      <c r="BL187" s="102">
        <f t="shared" si="175"/>
        <v>0</v>
      </c>
      <c r="BM187" s="102">
        <f>BL187-AS187</f>
        <v>-6007.3223399999997</v>
      </c>
      <c r="BN187" s="102">
        <v>0</v>
      </c>
      <c r="BO187" s="39">
        <f t="shared" si="165"/>
        <v>0</v>
      </c>
      <c r="BP187" s="55">
        <f>BM187/AS187</f>
        <v>-1</v>
      </c>
      <c r="BQ187" s="99" t="e">
        <f t="shared" si="166"/>
        <v>#DIV/0!</v>
      </c>
      <c r="BR187" s="102"/>
      <c r="BS187" s="94"/>
      <c r="BT187" s="94"/>
      <c r="BU187" s="94"/>
      <c r="BV187" s="65">
        <f t="shared" si="222"/>
        <v>0</v>
      </c>
      <c r="BW187" s="39">
        <f t="shared" si="223"/>
        <v>0</v>
      </c>
      <c r="BX187" s="51" t="e">
        <f t="shared" si="224"/>
        <v>#DIV/0!</v>
      </c>
    </row>
    <row r="188" spans="1:76" s="20" customFormat="1" ht="18" customHeight="1">
      <c r="A188" s="85" t="s">
        <v>61</v>
      </c>
      <c r="B188" s="136">
        <f t="shared" ref="B188:I188" si="240">SUM(B179:B187)</f>
        <v>268876</v>
      </c>
      <c r="C188" s="136">
        <f t="shared" si="240"/>
        <v>295866</v>
      </c>
      <c r="D188" s="25">
        <f t="shared" si="233"/>
        <v>26990</v>
      </c>
      <c r="E188" s="363">
        <f t="shared" si="236"/>
        <v>0.10038084470164686</v>
      </c>
      <c r="F188" s="136">
        <f t="shared" si="240"/>
        <v>308069</v>
      </c>
      <c r="G188" s="12">
        <f t="shared" si="234"/>
        <v>12203</v>
      </c>
      <c r="H188" s="15">
        <f t="shared" si="237"/>
        <v>4.1245023084774866E-2</v>
      </c>
      <c r="I188" s="136">
        <f t="shared" si="240"/>
        <v>309536</v>
      </c>
      <c r="J188" s="12">
        <f t="shared" si="235"/>
        <v>1467</v>
      </c>
      <c r="K188" s="15">
        <f t="shared" si="238"/>
        <v>4.7619202191716793E-3</v>
      </c>
      <c r="L188" s="136">
        <f>SUM(L179:L187)</f>
        <v>316597</v>
      </c>
      <c r="M188" s="136">
        <v>7952</v>
      </c>
      <c r="N188" s="137">
        <v>2.5930322042078079E-2</v>
      </c>
      <c r="O188" s="136">
        <f>SUM(O179:O187)+68000+4300</f>
        <v>405603</v>
      </c>
      <c r="P188" s="136">
        <f>O188-L188</f>
        <v>89006</v>
      </c>
      <c r="Q188" s="137">
        <f>P188/L188</f>
        <v>0.28113342830159477</v>
      </c>
      <c r="R188" s="136">
        <f>SUM(R179:R187)</f>
        <v>366801</v>
      </c>
      <c r="S188" s="136">
        <f t="shared" si="208"/>
        <v>-38802</v>
      </c>
      <c r="T188" s="137">
        <f>S188/O188</f>
        <v>-9.5664972892212333E-2</v>
      </c>
      <c r="U188" s="136">
        <f>SUM(U179:U187)</f>
        <v>429972</v>
      </c>
      <c r="V188" s="136">
        <f t="shared" si="226"/>
        <v>63171</v>
      </c>
      <c r="W188" s="137">
        <f t="shared" si="232"/>
        <v>0.17222144977794498</v>
      </c>
      <c r="X188" s="182">
        <f>SUM(X179:X187)</f>
        <v>563777</v>
      </c>
      <c r="Y188" s="136">
        <f t="shared" si="209"/>
        <v>133805</v>
      </c>
      <c r="Z188" s="98">
        <f t="shared" si="210"/>
        <v>0.31119468244443826</v>
      </c>
      <c r="AA188" s="136">
        <f>SUM(AA179:AA187)</f>
        <v>602284</v>
      </c>
      <c r="AB188" s="171">
        <f t="shared" si="211"/>
        <v>38507</v>
      </c>
      <c r="AC188" s="140">
        <f t="shared" si="212"/>
        <v>6.8301828559873851E-2</v>
      </c>
      <c r="AD188" s="139">
        <f>SUM(AD179:AD187)</f>
        <v>400603</v>
      </c>
      <c r="AE188" s="139">
        <f>SUM(AE179:AE187)</f>
        <v>178613</v>
      </c>
      <c r="AF188" s="136">
        <f>SUM(AF179:AF187)</f>
        <v>560203</v>
      </c>
      <c r="AG188" s="12">
        <f t="shared" si="213"/>
        <v>-42081</v>
      </c>
      <c r="AH188" s="36">
        <f t="shared" si="214"/>
        <v>-6.9869031885289992E-2</v>
      </c>
      <c r="AI188" s="139">
        <f t="shared" ref="AI188:AN188" si="241">SUM(AI179:AI187)</f>
        <v>555356</v>
      </c>
      <c r="AJ188" s="139">
        <f t="shared" si="241"/>
        <v>558996</v>
      </c>
      <c r="AK188" s="139">
        <f t="shared" si="241"/>
        <v>413005</v>
      </c>
      <c r="AL188" s="139">
        <f t="shared" si="241"/>
        <v>7540</v>
      </c>
      <c r="AM188" s="12">
        <f t="shared" si="241"/>
        <v>420545</v>
      </c>
      <c r="AN188" s="12">
        <f t="shared" si="241"/>
        <v>373289</v>
      </c>
      <c r="AO188" s="20">
        <f t="shared" ref="AO188:AQ188" si="242">SUM(AO179:AO187)</f>
        <v>535860</v>
      </c>
      <c r="AP188" s="139">
        <f t="shared" si="242"/>
        <v>0</v>
      </c>
      <c r="AQ188" s="139">
        <f t="shared" si="242"/>
        <v>0</v>
      </c>
      <c r="AR188" s="547">
        <f t="shared" si="239"/>
        <v>0</v>
      </c>
      <c r="AS188" s="65">
        <f>BB188+AR188</f>
        <v>538838.50092999998</v>
      </c>
      <c r="AT188" s="547">
        <f t="shared" si="228"/>
        <v>-21364.49907000002</v>
      </c>
      <c r="AU188" s="551">
        <f t="shared" si="229"/>
        <v>-3.8137066509818796E-2</v>
      </c>
      <c r="AV188" s="20">
        <f t="shared" si="216"/>
        <v>-21364.49907000002</v>
      </c>
      <c r="AW188" s="266">
        <f t="shared" si="217"/>
        <v>-3.8137066509818796E-2</v>
      </c>
      <c r="AX188" s="136">
        <f>SUM(AX179:AX187)</f>
        <v>550491</v>
      </c>
      <c r="AY188" s="52">
        <f t="shared" si="171"/>
        <v>-9712</v>
      </c>
      <c r="AZ188" s="58">
        <f t="shared" si="172"/>
        <v>-1.7336572635276853E-2</v>
      </c>
      <c r="BA188" s="58"/>
      <c r="BB188" s="65">
        <f>SUM(BB179:BB187)</f>
        <v>538838.50092999998</v>
      </c>
      <c r="BC188" s="58"/>
      <c r="BD188" s="58"/>
      <c r="BE188" s="136">
        <f>SUM(BE179:BE187)</f>
        <v>530516</v>
      </c>
      <c r="BF188" s="52">
        <f>BE188-AX188</f>
        <v>-19975</v>
      </c>
      <c r="BG188" s="58">
        <f>BF188/AX188</f>
        <v>-3.6285788505170835E-2</v>
      </c>
      <c r="BH188" s="65">
        <f>SUM(BH179:BH187)</f>
        <v>0</v>
      </c>
      <c r="BI188" s="65"/>
      <c r="BJ188" s="65"/>
      <c r="BK188" s="65">
        <f>SUM(BK179:BK187)</f>
        <v>0</v>
      </c>
      <c r="BL188" s="39">
        <f t="shared" si="175"/>
        <v>530516</v>
      </c>
      <c r="BM188" s="39">
        <f>BL188-AS188</f>
        <v>-8322.5009299999801</v>
      </c>
      <c r="BN188" s="30">
        <f>SUM(BN179:BN187)</f>
        <v>574847</v>
      </c>
      <c r="BO188" s="39">
        <f t="shared" si="165"/>
        <v>44331</v>
      </c>
      <c r="BP188" s="51">
        <f>BM188/AS188</f>
        <v>-1.5445260343564702E-2</v>
      </c>
      <c r="BQ188" s="99">
        <f t="shared" si="166"/>
        <v>8.3562041484139968E-2</v>
      </c>
      <c r="BR188" s="138"/>
      <c r="BV188" s="342">
        <f>BV179+BV180+BV181+BV182+BV183+BV184+BV185</f>
        <v>574847</v>
      </c>
      <c r="BW188" s="645">
        <f t="shared" si="223"/>
        <v>44331</v>
      </c>
      <c r="BX188" s="551">
        <f t="shared" si="224"/>
        <v>8.3562041484139968E-2</v>
      </c>
    </row>
    <row r="189" spans="1:76" s="20" customFormat="1" ht="18" customHeight="1">
      <c r="A189" s="85"/>
      <c r="D189" s="327"/>
      <c r="E189" s="356"/>
      <c r="G189" s="10"/>
      <c r="H189" s="14"/>
      <c r="J189" s="10"/>
      <c r="K189" s="14"/>
      <c r="L189" s="136"/>
      <c r="M189" s="136"/>
      <c r="N189" s="137"/>
      <c r="O189" s="136"/>
      <c r="P189" s="136"/>
      <c r="Q189" s="137"/>
      <c r="R189" s="136"/>
      <c r="S189" s="136"/>
      <c r="T189" s="137"/>
      <c r="U189" s="136"/>
      <c r="V189" s="136"/>
      <c r="W189" s="137"/>
      <c r="X189" s="182"/>
      <c r="Y189" s="136"/>
      <c r="Z189" s="98"/>
      <c r="AA189" s="136"/>
      <c r="AB189" s="171"/>
      <c r="AC189" s="140"/>
      <c r="AD189" s="139"/>
      <c r="AE189" s="139"/>
      <c r="AF189" s="136"/>
      <c r="AG189" s="52"/>
      <c r="AH189" s="58"/>
      <c r="AI189" s="139"/>
      <c r="AJ189" s="139"/>
      <c r="AK189" s="139"/>
      <c r="AL189" s="139"/>
      <c r="AM189" s="258"/>
      <c r="AN189" s="258"/>
      <c r="AT189" s="139"/>
      <c r="AU189" s="51"/>
      <c r="AW189" s="266"/>
      <c r="AX189" s="136"/>
      <c r="AY189" s="52"/>
      <c r="AZ189" s="58"/>
      <c r="BA189" s="58"/>
      <c r="BB189" s="58"/>
      <c r="BC189" s="58"/>
      <c r="BD189" s="58"/>
      <c r="BE189" s="136"/>
      <c r="BF189" s="52"/>
      <c r="BG189" s="58"/>
      <c r="BH189" s="65"/>
      <c r="BI189" s="65"/>
      <c r="BJ189" s="65"/>
      <c r="BK189" s="65"/>
      <c r="BL189" s="39"/>
      <c r="BM189" s="39"/>
      <c r="BN189" s="39"/>
      <c r="BO189" s="39">
        <f t="shared" si="165"/>
        <v>0</v>
      </c>
      <c r="BP189" s="51"/>
      <c r="BQ189" s="99" t="e">
        <f t="shared" si="166"/>
        <v>#DIV/0!</v>
      </c>
      <c r="BR189" s="138"/>
      <c r="BV189" s="282">
        <f t="shared" ref="BV189:BV196" si="243">BN189+BR189+BS189+BT189+BU189</f>
        <v>0</v>
      </c>
      <c r="BW189" s="39">
        <f t="shared" si="223"/>
        <v>0</v>
      </c>
      <c r="BX189" s="51" t="e">
        <f t="shared" si="224"/>
        <v>#DIV/0!</v>
      </c>
    </row>
    <row r="190" spans="1:76" s="20" customFormat="1" ht="18" customHeight="1">
      <c r="A190" s="85"/>
      <c r="D190" s="327"/>
      <c r="E190" s="356"/>
      <c r="G190" s="10"/>
      <c r="H190" s="14"/>
      <c r="J190" s="10"/>
      <c r="K190" s="14"/>
      <c r="L190" s="136"/>
      <c r="M190" s="136"/>
      <c r="N190" s="137"/>
      <c r="O190" s="136"/>
      <c r="P190" s="136"/>
      <c r="Q190" s="137"/>
      <c r="R190" s="136"/>
      <c r="S190" s="136"/>
      <c r="T190" s="137"/>
      <c r="U190" s="136"/>
      <c r="V190" s="136"/>
      <c r="W190" s="137"/>
      <c r="X190" s="182"/>
      <c r="Y190" s="136"/>
      <c r="Z190" s="98"/>
      <c r="AA190" s="136"/>
      <c r="AB190" s="171"/>
      <c r="AC190" s="140"/>
      <c r="AD190" s="139"/>
      <c r="AE190" s="139"/>
      <c r="AF190" s="136"/>
      <c r="AG190" s="52"/>
      <c r="AH190" s="58"/>
      <c r="AI190" s="139"/>
      <c r="AJ190" s="139"/>
      <c r="AK190" s="139"/>
      <c r="AL190" s="139"/>
      <c r="AM190" s="258"/>
      <c r="AN190" s="258"/>
      <c r="AT190" s="139"/>
      <c r="AU190" s="51"/>
      <c r="AV190" s="139">
        <f>AS190-AF188</f>
        <v>-560203</v>
      </c>
      <c r="AW190" s="266">
        <f>AV190/AF188</f>
        <v>-1</v>
      </c>
      <c r="AX190" s="136"/>
      <c r="AY190" s="52"/>
      <c r="AZ190" s="58"/>
      <c r="BA190" s="58"/>
      <c r="BB190" s="58"/>
      <c r="BC190" s="58"/>
      <c r="BD190" s="58"/>
      <c r="BE190" s="136"/>
      <c r="BF190" s="52"/>
      <c r="BG190" s="58"/>
      <c r="BH190" s="65"/>
      <c r="BI190" s="65"/>
      <c r="BJ190" s="65"/>
      <c r="BK190" s="65"/>
      <c r="BL190" s="39"/>
      <c r="BM190" s="39"/>
      <c r="BN190" s="39"/>
      <c r="BO190" s="39">
        <f t="shared" si="165"/>
        <v>0</v>
      </c>
      <c r="BP190" s="51"/>
      <c r="BQ190" s="99" t="e">
        <f t="shared" si="166"/>
        <v>#DIV/0!</v>
      </c>
      <c r="BR190" s="138"/>
      <c r="BV190" s="282">
        <f t="shared" si="243"/>
        <v>0</v>
      </c>
      <c r="BW190" s="39">
        <f t="shared" si="223"/>
        <v>0</v>
      </c>
      <c r="BX190" s="51" t="e">
        <f t="shared" si="224"/>
        <v>#DIV/0!</v>
      </c>
    </row>
    <row r="191" spans="1:76" ht="18" customHeight="1">
      <c r="A191" s="64"/>
      <c r="D191" s="327"/>
      <c r="E191" s="356"/>
      <c r="G191" s="10"/>
      <c r="J191" s="10"/>
      <c r="N191" s="58"/>
      <c r="Q191" s="58"/>
      <c r="R191" s="52"/>
      <c r="S191" s="52"/>
      <c r="T191" s="58"/>
      <c r="U191" s="52"/>
      <c r="V191" s="52"/>
      <c r="W191" s="58"/>
      <c r="AB191" s="172"/>
      <c r="AT191" s="220"/>
      <c r="BH191" s="65"/>
      <c r="BI191" s="65"/>
      <c r="BJ191" s="65"/>
      <c r="BK191" s="65"/>
      <c r="BL191" s="39"/>
      <c r="BM191" s="39"/>
      <c r="BN191" s="39"/>
      <c r="BO191" s="39">
        <f t="shared" si="165"/>
        <v>0</v>
      </c>
      <c r="BP191" s="51"/>
      <c r="BQ191" s="99" t="e">
        <f t="shared" si="166"/>
        <v>#DIV/0!</v>
      </c>
      <c r="BV191" s="282">
        <f t="shared" si="243"/>
        <v>0</v>
      </c>
      <c r="BW191" s="39">
        <f t="shared" si="223"/>
        <v>0</v>
      </c>
      <c r="BX191" s="51" t="e">
        <f t="shared" si="224"/>
        <v>#DIV/0!</v>
      </c>
    </row>
    <row r="192" spans="1:76" ht="18" customHeight="1">
      <c r="A192" s="73" t="s">
        <v>104</v>
      </c>
      <c r="D192" s="327"/>
      <c r="E192" s="356"/>
      <c r="G192" s="10"/>
      <c r="J192" s="10"/>
      <c r="N192" s="58"/>
      <c r="Q192" s="58"/>
      <c r="R192" s="52"/>
      <c r="S192" s="52"/>
      <c r="T192" s="58"/>
      <c r="U192" s="52"/>
      <c r="V192" s="52"/>
      <c r="W192" s="58"/>
      <c r="AB192" s="172"/>
      <c r="AT192" s="220"/>
      <c r="BH192" s="65"/>
      <c r="BI192" s="65"/>
      <c r="BJ192" s="65"/>
      <c r="BK192" s="65"/>
      <c r="BL192" s="39"/>
      <c r="BM192" s="39"/>
      <c r="BN192" s="39"/>
      <c r="BO192" s="39">
        <f t="shared" si="165"/>
        <v>0</v>
      </c>
      <c r="BP192" s="51"/>
      <c r="BQ192" s="99" t="e">
        <f t="shared" si="166"/>
        <v>#DIV/0!</v>
      </c>
      <c r="BV192" s="282">
        <f t="shared" si="243"/>
        <v>0</v>
      </c>
      <c r="BW192" s="39">
        <f t="shared" si="223"/>
        <v>0</v>
      </c>
      <c r="BX192" s="51" t="e">
        <f t="shared" si="224"/>
        <v>#DIV/0!</v>
      </c>
    </row>
    <row r="193" spans="1:76" ht="18" customHeight="1">
      <c r="A193" s="83" t="s">
        <v>119</v>
      </c>
      <c r="D193" s="327"/>
      <c r="E193" s="356"/>
      <c r="G193" s="10"/>
      <c r="J193" s="10"/>
      <c r="N193" s="58"/>
      <c r="Q193" s="58"/>
      <c r="R193" s="52"/>
      <c r="S193" s="52"/>
      <c r="T193" s="58"/>
      <c r="U193" s="52"/>
      <c r="V193" s="52"/>
      <c r="W193" s="58"/>
      <c r="AB193" s="172"/>
      <c r="AT193" s="219"/>
      <c r="AU193" s="290"/>
      <c r="BH193" s="65"/>
      <c r="BI193" s="65"/>
      <c r="BJ193" s="65"/>
      <c r="BK193" s="65"/>
      <c r="BL193" s="39"/>
      <c r="BM193" s="39"/>
      <c r="BN193" s="39"/>
      <c r="BO193" s="39">
        <f t="shared" si="165"/>
        <v>0</v>
      </c>
      <c r="BP193" s="51"/>
      <c r="BQ193" s="99" t="e">
        <f t="shared" si="166"/>
        <v>#DIV/0!</v>
      </c>
      <c r="BV193" s="282">
        <f t="shared" si="243"/>
        <v>0</v>
      </c>
      <c r="BW193" s="39">
        <f t="shared" si="223"/>
        <v>0</v>
      </c>
      <c r="BX193" s="51" t="e">
        <f t="shared" si="224"/>
        <v>#DIV/0!</v>
      </c>
    </row>
    <row r="194" spans="1:76" ht="18" customHeight="1">
      <c r="A194" s="73" t="s">
        <v>123</v>
      </c>
      <c r="D194" s="327"/>
      <c r="E194" s="356"/>
      <c r="G194" s="10"/>
      <c r="J194" s="10"/>
      <c r="N194" s="58"/>
      <c r="Q194" s="58"/>
      <c r="R194" s="52"/>
      <c r="S194" s="52"/>
      <c r="T194" s="58"/>
      <c r="U194" s="52"/>
      <c r="V194" s="52"/>
      <c r="W194" s="58"/>
      <c r="AB194" s="172"/>
      <c r="BH194" s="65"/>
      <c r="BI194" s="65"/>
      <c r="BJ194" s="65"/>
      <c r="BK194" s="65"/>
      <c r="BL194" s="39"/>
      <c r="BM194" s="39"/>
      <c r="BN194" s="39"/>
      <c r="BO194" s="39">
        <f t="shared" si="165"/>
        <v>0</v>
      </c>
      <c r="BP194" s="51"/>
      <c r="BQ194" s="99" t="e">
        <f t="shared" si="166"/>
        <v>#DIV/0!</v>
      </c>
      <c r="BV194" s="282">
        <f t="shared" si="243"/>
        <v>0</v>
      </c>
      <c r="BW194" s="39">
        <f t="shared" si="223"/>
        <v>0</v>
      </c>
      <c r="BX194" s="51" t="e">
        <f t="shared" si="224"/>
        <v>#DIV/0!</v>
      </c>
    </row>
    <row r="195" spans="1:76" ht="18" customHeight="1">
      <c r="A195" s="73" t="s">
        <v>241</v>
      </c>
      <c r="D195" s="327"/>
      <c r="E195" s="356"/>
      <c r="G195" s="10"/>
      <c r="J195" s="10"/>
      <c r="N195" s="58"/>
      <c r="Q195" s="58"/>
      <c r="R195" s="52"/>
      <c r="S195" s="52"/>
      <c r="T195" s="58"/>
      <c r="U195" s="52"/>
      <c r="V195" s="52"/>
      <c r="W195" s="58"/>
      <c r="AB195" s="172"/>
      <c r="BH195" s="65"/>
      <c r="BI195" s="65"/>
      <c r="BJ195" s="65"/>
      <c r="BK195" s="65"/>
      <c r="BL195" s="39"/>
      <c r="BM195" s="39"/>
      <c r="BN195" s="39"/>
      <c r="BO195" s="39">
        <f t="shared" si="165"/>
        <v>0</v>
      </c>
      <c r="BP195" s="51"/>
      <c r="BQ195" s="99" t="e">
        <f t="shared" si="166"/>
        <v>#DIV/0!</v>
      </c>
      <c r="BV195" s="282">
        <f t="shared" si="243"/>
        <v>0</v>
      </c>
      <c r="BW195" s="39">
        <f t="shared" si="223"/>
        <v>0</v>
      </c>
      <c r="BX195" s="51" t="e">
        <f t="shared" si="224"/>
        <v>#DIV/0!</v>
      </c>
    </row>
    <row r="196" spans="1:76" ht="18" customHeight="1">
      <c r="D196" s="327"/>
      <c r="E196" s="356"/>
      <c r="G196" s="10"/>
      <c r="J196" s="10"/>
      <c r="L196" s="63"/>
      <c r="M196" s="63"/>
      <c r="N196" s="72"/>
      <c r="O196" s="63"/>
      <c r="P196" s="63"/>
      <c r="Q196" s="72"/>
      <c r="R196" s="52"/>
      <c r="S196" s="52"/>
      <c r="T196" s="58"/>
      <c r="U196" s="52"/>
      <c r="V196" s="52"/>
      <c r="W196" s="58"/>
      <c r="AB196" s="172"/>
      <c r="BH196" s="65"/>
      <c r="BI196" s="65"/>
      <c r="BJ196" s="65"/>
      <c r="BK196" s="65"/>
      <c r="BL196" s="39"/>
      <c r="BM196" s="39"/>
      <c r="BN196" s="39"/>
      <c r="BO196" s="39">
        <f t="shared" si="165"/>
        <v>0</v>
      </c>
      <c r="BP196" s="51"/>
      <c r="BQ196" s="99" t="e">
        <f t="shared" si="166"/>
        <v>#DIV/0!</v>
      </c>
      <c r="BV196" s="282">
        <f t="shared" si="243"/>
        <v>0</v>
      </c>
      <c r="BW196" s="39">
        <f t="shared" si="223"/>
        <v>0</v>
      </c>
      <c r="BX196" s="51" t="e">
        <f t="shared" si="224"/>
        <v>#DIV/0!</v>
      </c>
    </row>
    <row r="197" spans="1:76" s="109" customFormat="1" ht="18" customHeight="1">
      <c r="A197" s="116" t="s">
        <v>198</v>
      </c>
      <c r="D197" s="358"/>
      <c r="E197" s="361"/>
      <c r="G197" s="362"/>
      <c r="H197" s="364"/>
      <c r="J197" s="362"/>
      <c r="K197" s="364"/>
      <c r="L197" s="105"/>
      <c r="M197" s="105"/>
      <c r="N197" s="117"/>
      <c r="O197" s="105"/>
      <c r="P197" s="105"/>
      <c r="Q197" s="117"/>
      <c r="R197" s="107"/>
      <c r="S197" s="107"/>
      <c r="T197" s="125"/>
      <c r="U197" s="107"/>
      <c r="V197" s="107"/>
      <c r="W197" s="125"/>
      <c r="X197" s="175"/>
      <c r="Y197" s="158"/>
      <c r="Z197" s="111"/>
      <c r="AA197" s="201"/>
      <c r="AB197" s="170"/>
      <c r="AC197" s="113"/>
      <c r="AF197" s="107"/>
      <c r="AG197" s="107"/>
      <c r="AX197" s="107"/>
      <c r="AY197" s="107"/>
      <c r="AZ197" s="125"/>
      <c r="BA197" s="125"/>
      <c r="BB197" s="125"/>
      <c r="BC197" s="125"/>
      <c r="BD197" s="125"/>
      <c r="BE197" s="107"/>
      <c r="BF197" s="107"/>
      <c r="BG197" s="125"/>
      <c r="BH197" s="110"/>
      <c r="BI197" s="110"/>
      <c r="BJ197" s="110"/>
      <c r="BK197" s="110"/>
      <c r="BL197" s="562"/>
      <c r="BM197" s="562"/>
      <c r="BN197" s="562"/>
      <c r="BO197" s="39">
        <f t="shared" si="165"/>
        <v>0</v>
      </c>
      <c r="BP197" s="108"/>
      <c r="BQ197" s="99" t="e">
        <f t="shared" si="166"/>
        <v>#DIV/0!</v>
      </c>
      <c r="BR197" s="562"/>
      <c r="BV197" s="302"/>
      <c r="BW197" s="562"/>
      <c r="BX197" s="108"/>
    </row>
    <row r="198" spans="1:76" ht="18" customHeight="1">
      <c r="A198" s="57" t="s">
        <v>36</v>
      </c>
      <c r="B198" s="326">
        <v>315656</v>
      </c>
      <c r="C198" s="326">
        <v>228364</v>
      </c>
      <c r="D198" s="327">
        <f t="shared" si="233"/>
        <v>-87292</v>
      </c>
      <c r="E198" s="356">
        <f t="shared" si="236"/>
        <v>-0.27654155156246041</v>
      </c>
      <c r="F198" s="10">
        <v>233251</v>
      </c>
      <c r="G198" s="10">
        <f t="shared" si="234"/>
        <v>4887</v>
      </c>
      <c r="H198" s="14">
        <f t="shared" si="237"/>
        <v>2.1400045541328756E-2</v>
      </c>
      <c r="I198" s="10">
        <v>250649</v>
      </c>
      <c r="J198" s="10">
        <f t="shared" si="235"/>
        <v>17398</v>
      </c>
      <c r="K198" s="14">
        <f t="shared" si="238"/>
        <v>7.4589176466553192E-2</v>
      </c>
      <c r="L198" s="52">
        <v>303397</v>
      </c>
      <c r="M198" s="52">
        <v>52748</v>
      </c>
      <c r="N198" s="58">
        <v>0.21044568300691405</v>
      </c>
      <c r="O198" s="52">
        <v>342683</v>
      </c>
      <c r="P198" s="52">
        <f>O198-L198</f>
        <v>39286</v>
      </c>
      <c r="Q198" s="58">
        <f>P198/L198</f>
        <v>0.1294871076510315</v>
      </c>
      <c r="R198" s="52">
        <v>370128</v>
      </c>
      <c r="S198" s="52">
        <f t="shared" ref="S198:S206" si="244">R198-O198</f>
        <v>27445</v>
      </c>
      <c r="T198" s="99">
        <f t="shared" ref="T198:T206" si="245">S198/O198</f>
        <v>8.0088594998876508E-2</v>
      </c>
      <c r="U198" s="52">
        <v>386245</v>
      </c>
      <c r="V198" s="52">
        <f>U198-R198</f>
        <v>16117</v>
      </c>
      <c r="W198" s="58">
        <f>V198/R198</f>
        <v>4.354439545238404E-2</v>
      </c>
      <c r="X198" s="166">
        <v>420827</v>
      </c>
      <c r="Y198" s="52">
        <f t="shared" ref="Y198:Y211" si="246">X198-U198</f>
        <v>34582</v>
      </c>
      <c r="Z198" s="95">
        <f>Y198/U198</f>
        <v>8.9533845098318424E-2</v>
      </c>
      <c r="AA198" s="202">
        <v>459727</v>
      </c>
      <c r="AB198" s="172">
        <f t="shared" ref="AB198:AB211" si="247">AA198-X198</f>
        <v>38900</v>
      </c>
      <c r="AC198" s="100">
        <f>AB198/X198</f>
        <v>9.2437034695967701E-2</v>
      </c>
      <c r="AD198" s="65">
        <v>463796</v>
      </c>
      <c r="AE198" s="65">
        <f>3465+4800</f>
        <v>8265</v>
      </c>
      <c r="AF198" s="52">
        <v>351816</v>
      </c>
      <c r="AG198" s="52">
        <f t="shared" ref="AG198:AG219" si="248">AF198-AA198</f>
        <v>-107911</v>
      </c>
      <c r="AH198" s="58">
        <f t="shared" ref="AH198:AH219" si="249">AG198/AA198</f>
        <v>-0.23472843665914772</v>
      </c>
      <c r="AI198" s="65">
        <v>463796</v>
      </c>
      <c r="AJ198" s="65">
        <v>472061</v>
      </c>
      <c r="AK198" s="50">
        <v>471409</v>
      </c>
      <c r="AL198" s="136"/>
      <c r="AM198" s="258">
        <f t="shared" ref="AM198:AM222" si="250">+AL198+AK198</f>
        <v>471409</v>
      </c>
      <c r="AN198" s="50">
        <v>403905</v>
      </c>
      <c r="AO198" s="52">
        <v>412909</v>
      </c>
      <c r="AS198" s="52">
        <f>BB198</f>
        <v>404768.30356999999</v>
      </c>
      <c r="AT198" s="65">
        <f>AS198-AF198</f>
        <v>52952.303569999989</v>
      </c>
      <c r="AU198" s="51">
        <f>AT198/AF198</f>
        <v>0.15051135698774357</v>
      </c>
      <c r="AV198" s="65">
        <f t="shared" ref="AV198:AV222" si="251">+AS198-AF198</f>
        <v>52952.303569999989</v>
      </c>
      <c r="AW198" s="51">
        <f t="shared" ref="AW198:AW222" si="252">+AV198/AF198</f>
        <v>0.15051135698774357</v>
      </c>
      <c r="AX198" s="52">
        <v>410909</v>
      </c>
      <c r="AY198" s="52">
        <f>AX198-AF198</f>
        <v>59093</v>
      </c>
      <c r="AZ198" s="58">
        <f t="shared" si="172"/>
        <v>0.16796564113059098</v>
      </c>
      <c r="BA198" s="624">
        <f>397062.33+4800+4204</f>
        <v>406066.33</v>
      </c>
      <c r="BB198" s="624">
        <f>395764.30357+4800+4204</f>
        <v>404768.30356999999</v>
      </c>
      <c r="BC198" s="624">
        <f>BA198-BB198</f>
        <v>1298.0264300000272</v>
      </c>
      <c r="BD198" s="31">
        <f>BC198/BA198</f>
        <v>3.1965871930332837E-3</v>
      </c>
      <c r="BE198" s="52">
        <f>438072+4372</f>
        <v>442444</v>
      </c>
      <c r="BF198" s="52">
        <f t="shared" ref="BF198:BF222" si="253">BE198-AX198</f>
        <v>31535</v>
      </c>
      <c r="BG198" s="58">
        <f t="shared" ref="BG198:BG222" si="254">BF198/AX198</f>
        <v>7.6744486005417265E-2</v>
      </c>
      <c r="BH198" s="65"/>
      <c r="BI198" s="65"/>
      <c r="BJ198" s="65"/>
      <c r="BK198" s="65"/>
      <c r="BL198" s="39">
        <f t="shared" si="175"/>
        <v>442444</v>
      </c>
      <c r="BM198" s="39">
        <f t="shared" ref="BM198:BM222" si="255">BL198-AS198</f>
        <v>37675.696430000011</v>
      </c>
      <c r="BN198" s="39">
        <v>469424</v>
      </c>
      <c r="BO198" s="39">
        <f t="shared" si="165"/>
        <v>26980</v>
      </c>
      <c r="BP198" s="51">
        <f t="shared" ref="BP198:BP222" si="256">BM198/AS198</f>
        <v>9.3079660876866158E-2</v>
      </c>
      <c r="BQ198" s="99">
        <f t="shared" si="166"/>
        <v>6.0979468588115107E-2</v>
      </c>
      <c r="BV198" s="282">
        <f>BN198+BR198+BS198+BT198+BU198</f>
        <v>469424</v>
      </c>
      <c r="BW198" s="39">
        <f t="shared" ref="BW198:BW242" si="257">BV198-BL198</f>
        <v>26980</v>
      </c>
      <c r="BX198" s="51">
        <f t="shared" ref="BX198:BX242" si="258">BW198/BL198</f>
        <v>6.0979468588115107E-2</v>
      </c>
    </row>
    <row r="199" spans="1:76" ht="18" customHeight="1">
      <c r="A199" s="57" t="s">
        <v>37</v>
      </c>
      <c r="B199" s="326">
        <v>3002</v>
      </c>
      <c r="C199" s="326">
        <v>0</v>
      </c>
      <c r="D199" s="327">
        <f t="shared" si="233"/>
        <v>-3002</v>
      </c>
      <c r="E199" s="356">
        <f t="shared" si="236"/>
        <v>-1</v>
      </c>
      <c r="F199" s="10">
        <v>0</v>
      </c>
      <c r="G199" s="10">
        <f t="shared" si="234"/>
        <v>0</v>
      </c>
      <c r="H199" s="329" t="s">
        <v>78</v>
      </c>
      <c r="I199" s="10">
        <v>3288</v>
      </c>
      <c r="J199" s="10">
        <f t="shared" si="235"/>
        <v>3288</v>
      </c>
      <c r="K199" s="329" t="s">
        <v>78</v>
      </c>
      <c r="L199" s="52">
        <v>2570</v>
      </c>
      <c r="M199" s="52">
        <v>-718</v>
      </c>
      <c r="N199" s="58">
        <v>-0.21836982968369831</v>
      </c>
      <c r="O199" s="52">
        <v>4666</v>
      </c>
      <c r="P199" s="52">
        <f t="shared" ref="P199:P222" si="259">O199-L199</f>
        <v>2096</v>
      </c>
      <c r="Q199" s="58">
        <f>P199/L199</f>
        <v>0.81556420233463034</v>
      </c>
      <c r="R199" s="52">
        <v>6650</v>
      </c>
      <c r="S199" s="52">
        <f t="shared" si="244"/>
        <v>1984</v>
      </c>
      <c r="T199" s="58">
        <f t="shared" si="245"/>
        <v>0.42520360051435918</v>
      </c>
      <c r="U199" s="52">
        <v>8455</v>
      </c>
      <c r="V199" s="52">
        <f t="shared" ref="V199:V222" si="260">U199-R199</f>
        <v>1805</v>
      </c>
      <c r="W199" s="58">
        <f>V199/R199</f>
        <v>0.27142857142857141</v>
      </c>
      <c r="X199" s="166">
        <v>7849</v>
      </c>
      <c r="Y199" s="52">
        <f t="shared" si="246"/>
        <v>-606</v>
      </c>
      <c r="Z199" s="95">
        <f>Y199/U199</f>
        <v>-7.1673565937315192E-2</v>
      </c>
      <c r="AA199" s="202">
        <v>9000</v>
      </c>
      <c r="AB199" s="172">
        <f t="shared" si="247"/>
        <v>1151</v>
      </c>
      <c r="AC199" s="100">
        <f>AB199/X199</f>
        <v>0.14664288444387821</v>
      </c>
      <c r="AD199" s="65">
        <v>9000</v>
      </c>
      <c r="AE199" s="65"/>
      <c r="AF199" s="52">
        <v>2373</v>
      </c>
      <c r="AG199" s="52">
        <f t="shared" si="248"/>
        <v>-6627</v>
      </c>
      <c r="AH199" s="58">
        <f t="shared" si="249"/>
        <v>-0.73633333333333328</v>
      </c>
      <c r="AI199" s="65">
        <v>9000</v>
      </c>
      <c r="AJ199" s="65">
        <v>9000</v>
      </c>
      <c r="AK199" s="50">
        <v>9000</v>
      </c>
      <c r="AL199" s="136"/>
      <c r="AM199" s="258">
        <f t="shared" si="250"/>
        <v>9000</v>
      </c>
      <c r="AN199" s="50">
        <v>9000</v>
      </c>
      <c r="AO199" s="50">
        <v>9000</v>
      </c>
      <c r="AS199" s="52">
        <f t="shared" ref="AS199:AS222" si="261">BB199</f>
        <v>2840.6934099999999</v>
      </c>
      <c r="AT199" s="65">
        <f t="shared" ref="AT199:AT221" si="262">AS199-AF199</f>
        <v>467.69340999999986</v>
      </c>
      <c r="AU199" s="51">
        <f t="shared" ref="AU199:AU221" si="263">AT199/AF199</f>
        <v>0.19708951116729873</v>
      </c>
      <c r="AV199" s="65">
        <f t="shared" si="251"/>
        <v>467.69340999999986</v>
      </c>
      <c r="AW199" s="51">
        <f t="shared" si="252"/>
        <v>0.19708951116729873</v>
      </c>
      <c r="AX199" s="52">
        <v>3000</v>
      </c>
      <c r="AY199" s="52">
        <f t="shared" si="171"/>
        <v>627</v>
      </c>
      <c r="AZ199" s="58">
        <f t="shared" si="172"/>
        <v>0.26422250316055623</v>
      </c>
      <c r="BA199" s="624">
        <v>3000</v>
      </c>
      <c r="BB199" s="624">
        <v>2840.6934099999999</v>
      </c>
      <c r="BC199" s="624">
        <f t="shared" ref="BC199:BC221" si="264">BA199-BB199</f>
        <v>159.30659000000014</v>
      </c>
      <c r="BD199" s="31">
        <f t="shared" ref="BD199:BD221" si="265">BC199/BA199</f>
        <v>5.3102196666666712E-2</v>
      </c>
      <c r="BE199" s="52">
        <v>4500</v>
      </c>
      <c r="BF199" s="52">
        <f t="shared" si="253"/>
        <v>1500</v>
      </c>
      <c r="BG199" s="58">
        <f t="shared" si="254"/>
        <v>0.5</v>
      </c>
      <c r="BH199" s="65"/>
      <c r="BI199" s="65"/>
      <c r="BJ199" s="65"/>
      <c r="BK199" s="65"/>
      <c r="BL199" s="39">
        <f t="shared" si="175"/>
        <v>4500</v>
      </c>
      <c r="BM199" s="39">
        <f t="shared" si="255"/>
        <v>1659.3065900000001</v>
      </c>
      <c r="BN199" s="39">
        <v>5000</v>
      </c>
      <c r="BO199" s="39">
        <f t="shared" si="165"/>
        <v>500</v>
      </c>
      <c r="BP199" s="51">
        <f t="shared" si="256"/>
        <v>0.58412026590366906</v>
      </c>
      <c r="BQ199" s="99">
        <f t="shared" si="166"/>
        <v>0.1111111111111111</v>
      </c>
      <c r="BV199" s="282">
        <f>BN199+BR199+BS199+BT199+BU199</f>
        <v>5000</v>
      </c>
      <c r="BW199" s="39">
        <f t="shared" si="257"/>
        <v>500</v>
      </c>
      <c r="BX199" s="51">
        <f t="shared" si="258"/>
        <v>0.1111111111111111</v>
      </c>
    </row>
    <row r="200" spans="1:76" ht="18" customHeight="1">
      <c r="A200" s="57" t="s">
        <v>38</v>
      </c>
      <c r="B200" s="326">
        <v>7929</v>
      </c>
      <c r="C200" s="326">
        <v>7929</v>
      </c>
      <c r="D200" s="327">
        <f t="shared" si="233"/>
        <v>0</v>
      </c>
      <c r="E200" s="356">
        <f t="shared" si="236"/>
        <v>0</v>
      </c>
      <c r="F200" s="10">
        <v>7924</v>
      </c>
      <c r="G200" s="10">
        <f t="shared" si="234"/>
        <v>-5</v>
      </c>
      <c r="H200" s="14">
        <f t="shared" si="237"/>
        <v>-6.3059654433093707E-4</v>
      </c>
      <c r="I200" s="10">
        <v>2280</v>
      </c>
      <c r="J200" s="10">
        <f t="shared" si="235"/>
        <v>-5644</v>
      </c>
      <c r="K200" s="14">
        <f t="shared" si="238"/>
        <v>-0.71226653205451795</v>
      </c>
      <c r="L200" s="52">
        <v>4752</v>
      </c>
      <c r="M200" s="52">
        <v>2472</v>
      </c>
      <c r="N200" s="58">
        <v>1.0842105263157895</v>
      </c>
      <c r="O200" s="52">
        <v>10904</v>
      </c>
      <c r="P200" s="52">
        <f t="shared" si="259"/>
        <v>6152</v>
      </c>
      <c r="Q200" s="58">
        <f>P200/L200</f>
        <v>1.2946127946127945</v>
      </c>
      <c r="R200" s="52">
        <v>10941</v>
      </c>
      <c r="S200" s="52">
        <f t="shared" si="244"/>
        <v>37</v>
      </c>
      <c r="T200" s="58">
        <f t="shared" si="245"/>
        <v>3.3932501834189289E-3</v>
      </c>
      <c r="U200" s="52">
        <v>30448</v>
      </c>
      <c r="V200" s="52">
        <f t="shared" si="260"/>
        <v>19507</v>
      </c>
      <c r="W200" s="58">
        <f>V200/R200</f>
        <v>1.7829266063431131</v>
      </c>
      <c r="X200" s="166">
        <v>30664</v>
      </c>
      <c r="Y200" s="52">
        <f t="shared" si="246"/>
        <v>216</v>
      </c>
      <c r="Z200" s="95">
        <f>Y200/U200</f>
        <v>7.0940620073568052E-3</v>
      </c>
      <c r="AA200" s="202">
        <v>32791</v>
      </c>
      <c r="AB200" s="172">
        <f t="shared" si="247"/>
        <v>2127</v>
      </c>
      <c r="AC200" s="100">
        <f>AB200/X200</f>
        <v>6.9364727367597176E-2</v>
      </c>
      <c r="AD200" s="65">
        <v>32285</v>
      </c>
      <c r="AE200" s="65"/>
      <c r="AF200" s="52">
        <v>32257</v>
      </c>
      <c r="AG200" s="52">
        <f t="shared" si="248"/>
        <v>-534</v>
      </c>
      <c r="AH200" s="58">
        <f t="shared" si="249"/>
        <v>-1.6284956237992133E-2</v>
      </c>
      <c r="AI200" s="65">
        <v>32285</v>
      </c>
      <c r="AJ200" s="65">
        <v>32285</v>
      </c>
      <c r="AK200" s="50">
        <v>33045</v>
      </c>
      <c r="AL200" s="136"/>
      <c r="AM200" s="258">
        <f t="shared" si="250"/>
        <v>33045</v>
      </c>
      <c r="AN200" s="50">
        <v>33045</v>
      </c>
      <c r="AO200" s="50">
        <v>33045</v>
      </c>
      <c r="AS200" s="52">
        <f t="shared" si="261"/>
        <v>32243.889360000001</v>
      </c>
      <c r="AT200" s="65">
        <f t="shared" si="262"/>
        <v>-13.110639999998966</v>
      </c>
      <c r="AU200" s="51">
        <f t="shared" si="263"/>
        <v>-4.0644325262730464E-4</v>
      </c>
      <c r="AV200" s="65">
        <f t="shared" si="251"/>
        <v>-13.110639999998966</v>
      </c>
      <c r="AW200" s="51">
        <f t="shared" si="252"/>
        <v>-4.0644325262730464E-4</v>
      </c>
      <c r="AX200" s="52">
        <v>33045</v>
      </c>
      <c r="AY200" s="52">
        <f t="shared" si="171"/>
        <v>788</v>
      </c>
      <c r="AZ200" s="58">
        <f t="shared" si="172"/>
        <v>2.4428806150602968E-2</v>
      </c>
      <c r="BA200" s="624">
        <v>33044.574999999997</v>
      </c>
      <c r="BB200" s="624">
        <v>32243.889360000001</v>
      </c>
      <c r="BC200" s="624">
        <f t="shared" si="264"/>
        <v>800.68563999999606</v>
      </c>
      <c r="BD200" s="31">
        <f t="shared" si="265"/>
        <v>2.4230471718882634E-2</v>
      </c>
      <c r="BE200" s="52">
        <v>32534</v>
      </c>
      <c r="BF200" s="52">
        <f t="shared" si="253"/>
        <v>-511</v>
      </c>
      <c r="BG200" s="58">
        <f t="shared" si="254"/>
        <v>-1.5463761537297624E-2</v>
      </c>
      <c r="BH200" s="65"/>
      <c r="BI200" s="65"/>
      <c r="BJ200" s="65"/>
      <c r="BK200" s="65"/>
      <c r="BL200" s="39">
        <f t="shared" si="175"/>
        <v>32534</v>
      </c>
      <c r="BM200" s="39">
        <f t="shared" si="255"/>
        <v>290.11063999999897</v>
      </c>
      <c r="BN200" s="39">
        <v>32542</v>
      </c>
      <c r="BO200" s="39">
        <f t="shared" ref="BO200:BO243" si="266">BN200-BE200</f>
        <v>8</v>
      </c>
      <c r="BP200" s="51">
        <f t="shared" si="256"/>
        <v>8.9973835588176374E-3</v>
      </c>
      <c r="BQ200" s="99">
        <f t="shared" ref="BQ200:BQ243" si="267">BO200/BE200</f>
        <v>2.4589660047949838E-4</v>
      </c>
      <c r="BV200" s="282">
        <f>BN200+BR200+BS200+BT200+BU200</f>
        <v>32542</v>
      </c>
      <c r="BW200" s="39">
        <f t="shared" si="257"/>
        <v>8</v>
      </c>
      <c r="BX200" s="51">
        <f t="shared" si="258"/>
        <v>2.4589660047949838E-4</v>
      </c>
    </row>
    <row r="201" spans="1:76" ht="18" customHeight="1">
      <c r="A201" s="57" t="s">
        <v>99</v>
      </c>
      <c r="B201" s="326">
        <v>68166</v>
      </c>
      <c r="C201" s="326">
        <v>25881</v>
      </c>
      <c r="D201" s="327">
        <f t="shared" si="233"/>
        <v>-42285</v>
      </c>
      <c r="E201" s="356">
        <f t="shared" si="236"/>
        <v>-0.62032391514831442</v>
      </c>
      <c r="F201" s="10">
        <v>31360</v>
      </c>
      <c r="G201" s="10">
        <f t="shared" si="234"/>
        <v>5479</v>
      </c>
      <c r="H201" s="14">
        <f t="shared" si="237"/>
        <v>0.21169970248444805</v>
      </c>
      <c r="I201" s="10">
        <v>23356</v>
      </c>
      <c r="J201" s="10">
        <f t="shared" si="235"/>
        <v>-8004</v>
      </c>
      <c r="K201" s="14">
        <f t="shared" si="238"/>
        <v>-0.25522959183673471</v>
      </c>
      <c r="L201" s="52">
        <v>18890</v>
      </c>
      <c r="M201" s="52">
        <v>-4466</v>
      </c>
      <c r="N201" s="58">
        <v>-0.19121424901524234</v>
      </c>
      <c r="O201" s="52">
        <v>19323</v>
      </c>
      <c r="P201" s="52">
        <f t="shared" si="259"/>
        <v>433</v>
      </c>
      <c r="Q201" s="58">
        <f>P201/L201</f>
        <v>2.2922181048173638E-2</v>
      </c>
      <c r="R201" s="52">
        <v>29956</v>
      </c>
      <c r="S201" s="52">
        <f t="shared" si="244"/>
        <v>10633</v>
      </c>
      <c r="T201" s="58">
        <f t="shared" si="245"/>
        <v>0.55027687212130627</v>
      </c>
      <c r="U201" s="52">
        <v>25029</v>
      </c>
      <c r="V201" s="52">
        <f t="shared" si="260"/>
        <v>-4927</v>
      </c>
      <c r="W201" s="58">
        <f>V201/R201</f>
        <v>-0.16447456269194818</v>
      </c>
      <c r="X201" s="166">
        <v>21015</v>
      </c>
      <c r="Y201" s="52">
        <f t="shared" si="246"/>
        <v>-4014</v>
      </c>
      <c r="Z201" s="95">
        <f>Y201/U201</f>
        <v>-0.16037396619920891</v>
      </c>
      <c r="AA201" s="202">
        <v>21477</v>
      </c>
      <c r="AB201" s="172">
        <f t="shared" si="247"/>
        <v>462</v>
      </c>
      <c r="AC201" s="100">
        <f>AB201/X201</f>
        <v>2.1984296930763741E-2</v>
      </c>
      <c r="AD201" s="65">
        <v>21477</v>
      </c>
      <c r="AE201" s="65"/>
      <c r="AF201" s="52">
        <v>21470</v>
      </c>
      <c r="AG201" s="52">
        <f t="shared" si="248"/>
        <v>-7</v>
      </c>
      <c r="AH201" s="58">
        <f t="shared" si="249"/>
        <v>-3.2593006472039857E-4</v>
      </c>
      <c r="AI201" s="65">
        <v>21477</v>
      </c>
      <c r="AJ201" s="246">
        <v>21477</v>
      </c>
      <c r="AK201" s="246">
        <v>21950</v>
      </c>
      <c r="AL201" s="136"/>
      <c r="AM201" s="258">
        <v>21950</v>
      </c>
      <c r="AN201" s="220">
        <v>21477</v>
      </c>
      <c r="AO201" s="220">
        <v>21477</v>
      </c>
      <c r="AS201" s="52">
        <f t="shared" si="261"/>
        <v>21477</v>
      </c>
      <c r="AT201" s="65">
        <f t="shared" si="262"/>
        <v>7</v>
      </c>
      <c r="AU201" s="51">
        <f t="shared" si="263"/>
        <v>3.2603632976245924E-4</v>
      </c>
      <c r="AV201" s="65">
        <f t="shared" si="251"/>
        <v>7</v>
      </c>
      <c r="AW201" s="51">
        <f t="shared" si="252"/>
        <v>3.2603632976245924E-4</v>
      </c>
      <c r="AX201" s="52">
        <v>21477</v>
      </c>
      <c r="AY201" s="52">
        <f t="shared" si="171"/>
        <v>7</v>
      </c>
      <c r="AZ201" s="58">
        <f t="shared" si="172"/>
        <v>3.2603632976245924E-4</v>
      </c>
      <c r="BA201" s="624">
        <v>21477</v>
      </c>
      <c r="BB201" s="624">
        <v>21477</v>
      </c>
      <c r="BC201" s="624">
        <f t="shared" si="264"/>
        <v>0</v>
      </c>
      <c r="BD201" s="31">
        <f t="shared" si="265"/>
        <v>0</v>
      </c>
      <c r="BE201" s="52">
        <v>21477</v>
      </c>
      <c r="BF201" s="52">
        <f t="shared" si="253"/>
        <v>0</v>
      </c>
      <c r="BG201" s="58">
        <f t="shared" si="254"/>
        <v>0</v>
      </c>
      <c r="BH201" s="65"/>
      <c r="BI201" s="65"/>
      <c r="BJ201" s="65"/>
      <c r="BK201" s="65"/>
      <c r="BL201" s="39">
        <f t="shared" si="175"/>
        <v>21477</v>
      </c>
      <c r="BM201" s="39">
        <f t="shared" si="255"/>
        <v>0</v>
      </c>
      <c r="BN201" s="39">
        <v>21477</v>
      </c>
      <c r="BO201" s="39">
        <f t="shared" si="266"/>
        <v>0</v>
      </c>
      <c r="BP201" s="51">
        <f t="shared" si="256"/>
        <v>0</v>
      </c>
      <c r="BQ201" s="99">
        <f t="shared" si="267"/>
        <v>0</v>
      </c>
      <c r="BV201" s="282" t="e">
        <f>#REF!+BR201+BS201+BT201+BU201</f>
        <v>#REF!</v>
      </c>
      <c r="BW201" s="39" t="e">
        <f t="shared" si="257"/>
        <v>#REF!</v>
      </c>
      <c r="BX201" s="51" t="e">
        <f t="shared" si="258"/>
        <v>#REF!</v>
      </c>
    </row>
    <row r="202" spans="1:76" ht="18" customHeight="1">
      <c r="A202" s="57" t="s">
        <v>145</v>
      </c>
      <c r="B202" s="326">
        <v>0</v>
      </c>
      <c r="C202" s="326">
        <v>9897</v>
      </c>
      <c r="D202" s="327">
        <f t="shared" si="233"/>
        <v>9897</v>
      </c>
      <c r="E202" s="329" t="s">
        <v>78</v>
      </c>
      <c r="F202" s="10">
        <v>5945</v>
      </c>
      <c r="G202" s="10">
        <f t="shared" si="234"/>
        <v>-3952</v>
      </c>
      <c r="H202" s="14">
        <f t="shared" si="237"/>
        <v>-0.39931292310801253</v>
      </c>
      <c r="I202" s="10">
        <v>3875</v>
      </c>
      <c r="J202" s="10">
        <f t="shared" si="235"/>
        <v>-2070</v>
      </c>
      <c r="K202" s="14">
        <f t="shared" si="238"/>
        <v>-0.34819175777964678</v>
      </c>
      <c r="L202" s="52">
        <v>3518</v>
      </c>
      <c r="M202" s="52">
        <v>-357</v>
      </c>
      <c r="N202" s="58">
        <v>-9.2129032258064514E-2</v>
      </c>
      <c r="O202" s="52">
        <v>3259</v>
      </c>
      <c r="P202" s="52">
        <f t="shared" si="259"/>
        <v>-259</v>
      </c>
      <c r="Q202" s="58">
        <f>P202/L202</f>
        <v>-7.3621375781694143E-2</v>
      </c>
      <c r="R202" s="52">
        <v>3830</v>
      </c>
      <c r="S202" s="52">
        <f t="shared" si="244"/>
        <v>571</v>
      </c>
      <c r="T202" s="58">
        <f t="shared" si="245"/>
        <v>0.17520711874808223</v>
      </c>
      <c r="U202" s="52">
        <v>3763</v>
      </c>
      <c r="V202" s="52">
        <f t="shared" si="260"/>
        <v>-67</v>
      </c>
      <c r="W202" s="58">
        <f>V202/R202</f>
        <v>-1.7493472584856395E-2</v>
      </c>
      <c r="X202" s="166">
        <v>4147</v>
      </c>
      <c r="Y202" s="52">
        <f t="shared" si="246"/>
        <v>384</v>
      </c>
      <c r="Z202" s="95">
        <f>Y202/U202</f>
        <v>0.10204623970236514</v>
      </c>
      <c r="AA202" s="202">
        <v>4058</v>
      </c>
      <c r="AB202" s="172">
        <f t="shared" si="247"/>
        <v>-89</v>
      </c>
      <c r="AC202" s="100">
        <f>AB202/X202</f>
        <v>-2.1461297323366289E-2</v>
      </c>
      <c r="AD202" s="65">
        <v>3625</v>
      </c>
      <c r="AE202" s="65"/>
      <c r="AF202" s="52">
        <v>3226</v>
      </c>
      <c r="AG202" s="52">
        <f t="shared" si="248"/>
        <v>-832</v>
      </c>
      <c r="AH202" s="58">
        <f t="shared" si="249"/>
        <v>-0.20502710694923607</v>
      </c>
      <c r="AI202" s="271">
        <v>3625</v>
      </c>
      <c r="AJ202" s="272">
        <v>3625</v>
      </c>
      <c r="AK202" s="245">
        <v>3598</v>
      </c>
      <c r="AL202" s="136"/>
      <c r="AM202" s="258">
        <f t="shared" si="250"/>
        <v>3598</v>
      </c>
      <c r="AN202" s="220">
        <v>3598</v>
      </c>
      <c r="AO202" s="220">
        <v>3598</v>
      </c>
      <c r="AS202" s="52">
        <f t="shared" si="261"/>
        <v>3565.94409</v>
      </c>
      <c r="AT202" s="65">
        <f t="shared" si="262"/>
        <v>339.94408999999996</v>
      </c>
      <c r="AU202" s="51">
        <f t="shared" si="263"/>
        <v>0.10537634531928083</v>
      </c>
      <c r="AV202" s="65">
        <f t="shared" si="251"/>
        <v>339.94408999999996</v>
      </c>
      <c r="AW202" s="51">
        <f t="shared" si="252"/>
        <v>0.10537634531928083</v>
      </c>
      <c r="AX202" s="52">
        <v>3598</v>
      </c>
      <c r="AY202" s="52">
        <f t="shared" si="171"/>
        <v>372</v>
      </c>
      <c r="AZ202" s="58">
        <f t="shared" si="172"/>
        <v>0.11531308121512709</v>
      </c>
      <c r="BA202" s="624">
        <v>3598.12556</v>
      </c>
      <c r="BB202" s="624">
        <v>3565.94409</v>
      </c>
      <c r="BC202" s="624">
        <f t="shared" si="264"/>
        <v>32.18146999999999</v>
      </c>
      <c r="BD202" s="31">
        <f t="shared" si="265"/>
        <v>8.9439541403885832E-3</v>
      </c>
      <c r="BE202" s="52">
        <v>3968</v>
      </c>
      <c r="BF202" s="52">
        <f t="shared" si="253"/>
        <v>370</v>
      </c>
      <c r="BG202" s="58">
        <f t="shared" si="254"/>
        <v>0.10283490828237909</v>
      </c>
      <c r="BH202" s="65"/>
      <c r="BI202" s="65"/>
      <c r="BJ202" s="65"/>
      <c r="BK202" s="65"/>
      <c r="BL202" s="39">
        <f t="shared" si="175"/>
        <v>3968</v>
      </c>
      <c r="BM202" s="39">
        <f t="shared" si="255"/>
        <v>402.05591000000004</v>
      </c>
      <c r="BN202" s="39">
        <v>4193</v>
      </c>
      <c r="BO202" s="39">
        <f t="shared" si="266"/>
        <v>225</v>
      </c>
      <c r="BP202" s="51">
        <f t="shared" si="256"/>
        <v>0.11274879803289345</v>
      </c>
      <c r="BQ202" s="99">
        <f t="shared" si="267"/>
        <v>5.6703629032258063E-2</v>
      </c>
      <c r="BV202" s="282">
        <f t="shared" ref="BV202:BV219" si="268">BN202+BR202+BS202+BT202+BU202</f>
        <v>4193</v>
      </c>
      <c r="BW202" s="39">
        <f t="shared" si="257"/>
        <v>225</v>
      </c>
      <c r="BX202" s="51">
        <f t="shared" si="258"/>
        <v>5.6703629032258063E-2</v>
      </c>
    </row>
    <row r="203" spans="1:76" ht="18" customHeight="1">
      <c r="A203" s="57" t="s">
        <v>39</v>
      </c>
      <c r="B203" s="326">
        <v>0</v>
      </c>
      <c r="C203" s="326">
        <v>0</v>
      </c>
      <c r="D203" s="327">
        <f t="shared" si="233"/>
        <v>0</v>
      </c>
      <c r="E203" s="329" t="s">
        <v>78</v>
      </c>
      <c r="F203" s="10">
        <v>0</v>
      </c>
      <c r="G203" s="10">
        <f t="shared" si="234"/>
        <v>0</v>
      </c>
      <c r="H203" s="329" t="s">
        <v>78</v>
      </c>
      <c r="I203" s="10">
        <v>0</v>
      </c>
      <c r="J203" s="10">
        <f t="shared" si="235"/>
        <v>0</v>
      </c>
      <c r="K203" s="329" t="s">
        <v>78</v>
      </c>
      <c r="L203" s="52">
        <v>0</v>
      </c>
      <c r="M203" s="52">
        <v>0</v>
      </c>
      <c r="N203" s="60" t="s">
        <v>78</v>
      </c>
      <c r="O203" s="52">
        <v>0</v>
      </c>
      <c r="P203" s="52">
        <f t="shared" si="259"/>
        <v>0</v>
      </c>
      <c r="Q203" s="60" t="s">
        <v>78</v>
      </c>
      <c r="R203" s="52">
        <v>0</v>
      </c>
      <c r="S203" s="52">
        <f t="shared" si="244"/>
        <v>0</v>
      </c>
      <c r="T203" s="60" t="s">
        <v>78</v>
      </c>
      <c r="U203" s="52">
        <v>0</v>
      </c>
      <c r="V203" s="52">
        <f t="shared" si="260"/>
        <v>0</v>
      </c>
      <c r="W203" s="60" t="s">
        <v>78</v>
      </c>
      <c r="X203" s="166">
        <v>0</v>
      </c>
      <c r="Y203" s="52">
        <f t="shared" si="246"/>
        <v>0</v>
      </c>
      <c r="Z203" s="60" t="s">
        <v>78</v>
      </c>
      <c r="AA203" s="202">
        <v>26691</v>
      </c>
      <c r="AB203" s="172">
        <f t="shared" si="247"/>
        <v>26691</v>
      </c>
      <c r="AC203" s="70" t="s">
        <v>78</v>
      </c>
      <c r="AD203" s="219">
        <v>0</v>
      </c>
      <c r="AE203" s="219"/>
      <c r="AG203" s="52">
        <f t="shared" si="248"/>
        <v>-26691</v>
      </c>
      <c r="AH203" s="58">
        <f t="shared" si="249"/>
        <v>-1</v>
      </c>
      <c r="AI203" s="272">
        <v>0</v>
      </c>
      <c r="AJ203" s="272">
        <v>0</v>
      </c>
      <c r="AK203" s="260">
        <v>0</v>
      </c>
      <c r="AL203" s="136"/>
      <c r="AM203" s="258">
        <f t="shared" si="250"/>
        <v>0</v>
      </c>
      <c r="AN203" s="259">
        <v>0</v>
      </c>
      <c r="AO203" s="259">
        <v>0</v>
      </c>
      <c r="AS203" s="52">
        <f t="shared" si="261"/>
        <v>0</v>
      </c>
      <c r="AT203" s="65">
        <f t="shared" si="262"/>
        <v>0</v>
      </c>
      <c r="AU203" s="51" t="e">
        <f t="shared" si="263"/>
        <v>#DIV/0!</v>
      </c>
      <c r="AV203" s="65">
        <f t="shared" si="251"/>
        <v>0</v>
      </c>
      <c r="AW203" s="51" t="e">
        <f t="shared" si="252"/>
        <v>#DIV/0!</v>
      </c>
      <c r="AY203" s="52">
        <f t="shared" si="171"/>
        <v>0</v>
      </c>
      <c r="AZ203" s="58" t="e">
        <f t="shared" si="172"/>
        <v>#DIV/0!</v>
      </c>
      <c r="BC203" s="624">
        <f t="shared" si="264"/>
        <v>0</v>
      </c>
      <c r="BD203" s="31"/>
      <c r="BF203" s="52">
        <f t="shared" si="253"/>
        <v>0</v>
      </c>
      <c r="BG203" s="58" t="e">
        <f t="shared" si="254"/>
        <v>#DIV/0!</v>
      </c>
      <c r="BH203" s="65"/>
      <c r="BI203" s="65"/>
      <c r="BJ203" s="65"/>
      <c r="BK203" s="65"/>
      <c r="BL203" s="39">
        <f t="shared" si="175"/>
        <v>0</v>
      </c>
      <c r="BM203" s="39">
        <f t="shared" si="255"/>
        <v>0</v>
      </c>
      <c r="BN203" s="39">
        <v>0</v>
      </c>
      <c r="BO203" s="39">
        <f t="shared" si="266"/>
        <v>0</v>
      </c>
      <c r="BP203" s="51" t="e">
        <f t="shared" si="256"/>
        <v>#DIV/0!</v>
      </c>
      <c r="BQ203" s="99" t="e">
        <f t="shared" si="267"/>
        <v>#DIV/0!</v>
      </c>
      <c r="BV203" s="282">
        <f t="shared" si="268"/>
        <v>0</v>
      </c>
      <c r="BW203" s="39">
        <f t="shared" si="257"/>
        <v>0</v>
      </c>
      <c r="BX203" s="51" t="e">
        <f t="shared" si="258"/>
        <v>#DIV/0!</v>
      </c>
    </row>
    <row r="204" spans="1:76" ht="18" customHeight="1">
      <c r="A204" s="57" t="s">
        <v>41</v>
      </c>
      <c r="B204" s="326">
        <v>0</v>
      </c>
      <c r="C204" s="326">
        <v>0</v>
      </c>
      <c r="D204" s="327">
        <f t="shared" si="233"/>
        <v>0</v>
      </c>
      <c r="E204" s="329" t="s">
        <v>78</v>
      </c>
      <c r="F204" s="10">
        <v>0</v>
      </c>
      <c r="G204" s="10">
        <f t="shared" si="234"/>
        <v>0</v>
      </c>
      <c r="H204" s="329" t="s">
        <v>78</v>
      </c>
      <c r="I204" s="10">
        <v>0</v>
      </c>
      <c r="J204" s="10">
        <f t="shared" si="235"/>
        <v>0</v>
      </c>
      <c r="K204" s="329" t="s">
        <v>78</v>
      </c>
      <c r="L204" s="52">
        <v>0</v>
      </c>
      <c r="M204" s="52">
        <v>0</v>
      </c>
      <c r="N204" s="60" t="s">
        <v>78</v>
      </c>
      <c r="O204" s="52">
        <v>0</v>
      </c>
      <c r="P204" s="52">
        <f t="shared" si="259"/>
        <v>0</v>
      </c>
      <c r="Q204" s="60" t="s">
        <v>78</v>
      </c>
      <c r="R204" s="52">
        <v>0</v>
      </c>
      <c r="S204" s="52">
        <f t="shared" si="244"/>
        <v>0</v>
      </c>
      <c r="T204" s="60" t="s">
        <v>78</v>
      </c>
      <c r="U204" s="52">
        <v>0</v>
      </c>
      <c r="V204" s="52">
        <f t="shared" si="260"/>
        <v>0</v>
      </c>
      <c r="W204" s="60" t="s">
        <v>78</v>
      </c>
      <c r="X204" s="166">
        <v>0</v>
      </c>
      <c r="Y204" s="52">
        <f t="shared" si="246"/>
        <v>0</v>
      </c>
      <c r="Z204" s="60" t="s">
        <v>78</v>
      </c>
      <c r="AA204" s="202">
        <v>39279</v>
      </c>
      <c r="AB204" s="172">
        <f t="shared" si="247"/>
        <v>39279</v>
      </c>
      <c r="AC204" s="70" t="s">
        <v>78</v>
      </c>
      <c r="AD204" s="65">
        <v>3603</v>
      </c>
      <c r="AE204" s="65"/>
      <c r="AF204" s="52">
        <v>2410</v>
      </c>
      <c r="AG204" s="52">
        <f t="shared" si="248"/>
        <v>-36869</v>
      </c>
      <c r="AH204" s="58">
        <f t="shared" si="249"/>
        <v>-0.93864405916647575</v>
      </c>
      <c r="AI204" s="272">
        <v>3603</v>
      </c>
      <c r="AJ204" s="272">
        <v>3603</v>
      </c>
      <c r="AK204" s="259">
        <v>0</v>
      </c>
      <c r="AL204" s="136">
        <v>3467</v>
      </c>
      <c r="AM204" s="258">
        <f t="shared" si="250"/>
        <v>3467</v>
      </c>
      <c r="AO204" s="220">
        <v>973</v>
      </c>
      <c r="AP204" s="220"/>
      <c r="AQ204" s="220"/>
      <c r="AS204" s="52">
        <f t="shared" si="261"/>
        <v>0</v>
      </c>
      <c r="AT204" s="65">
        <f t="shared" si="262"/>
        <v>-2410</v>
      </c>
      <c r="AU204" s="51">
        <f t="shared" si="263"/>
        <v>-1</v>
      </c>
      <c r="AV204" s="65">
        <f t="shared" si="251"/>
        <v>-2410</v>
      </c>
      <c r="AW204" s="51">
        <f t="shared" si="252"/>
        <v>-1</v>
      </c>
      <c r="AX204" s="52">
        <v>973</v>
      </c>
      <c r="AY204" s="52">
        <f t="shared" ref="AY204:AY242" si="269">AX204-AF204</f>
        <v>-1437</v>
      </c>
      <c r="AZ204" s="58">
        <f t="shared" ref="AZ204:AZ242" si="270">AY204/AF204</f>
        <v>-0.59626556016597509</v>
      </c>
      <c r="BA204" s="624">
        <v>973.18600000000004</v>
      </c>
      <c r="BB204" s="624">
        <v>0</v>
      </c>
      <c r="BC204" s="624">
        <f t="shared" si="264"/>
        <v>973.18600000000004</v>
      </c>
      <c r="BD204" s="31">
        <f t="shared" si="265"/>
        <v>1</v>
      </c>
      <c r="BE204" s="52">
        <f>22350</f>
        <v>22350</v>
      </c>
      <c r="BF204" s="52">
        <f t="shared" si="253"/>
        <v>21377</v>
      </c>
      <c r="BG204" s="58">
        <f t="shared" si="254"/>
        <v>21.970195272353546</v>
      </c>
      <c r="BH204" s="65"/>
      <c r="BI204" s="65"/>
      <c r="BJ204" s="65"/>
      <c r="BK204" s="65"/>
      <c r="BL204" s="39">
        <f t="shared" ref="BL204:BL241" si="271">BE204+BH204+BI204+BJ204+BK204</f>
        <v>22350</v>
      </c>
      <c r="BM204" s="39">
        <f t="shared" si="255"/>
        <v>22350</v>
      </c>
      <c r="BN204" s="39">
        <v>27161</v>
      </c>
      <c r="BO204" s="39">
        <f t="shared" si="266"/>
        <v>4811</v>
      </c>
      <c r="BP204" s="51" t="e">
        <f t="shared" si="256"/>
        <v>#DIV/0!</v>
      </c>
      <c r="BQ204" s="99">
        <f t="shared" si="267"/>
        <v>0.2152572706935123</v>
      </c>
      <c r="BR204" s="39">
        <v>19001</v>
      </c>
      <c r="BV204" s="282">
        <f t="shared" si="268"/>
        <v>46162</v>
      </c>
      <c r="BW204" s="39">
        <f t="shared" si="257"/>
        <v>23812</v>
      </c>
      <c r="BX204" s="51">
        <f t="shared" si="258"/>
        <v>1.0654138702460849</v>
      </c>
    </row>
    <row r="205" spans="1:76" ht="18" customHeight="1">
      <c r="A205" s="316" t="s">
        <v>401</v>
      </c>
      <c r="B205" s="329" t="s">
        <v>78</v>
      </c>
      <c r="C205" s="329" t="s">
        <v>78</v>
      </c>
      <c r="D205" s="329" t="s">
        <v>78</v>
      </c>
      <c r="E205" s="329" t="s">
        <v>78</v>
      </c>
      <c r="F205" s="10">
        <v>0</v>
      </c>
      <c r="G205" s="329" t="s">
        <v>78</v>
      </c>
      <c r="H205" s="329" t="s">
        <v>78</v>
      </c>
      <c r="I205" s="10">
        <v>0</v>
      </c>
      <c r="J205" s="10">
        <f t="shared" si="235"/>
        <v>0</v>
      </c>
      <c r="K205" s="329" t="s">
        <v>78</v>
      </c>
      <c r="L205" s="52">
        <v>0</v>
      </c>
      <c r="M205" s="52">
        <v>0</v>
      </c>
      <c r="N205" s="60" t="s">
        <v>78</v>
      </c>
      <c r="O205" s="52">
        <v>0</v>
      </c>
      <c r="P205" s="69">
        <f t="shared" si="259"/>
        <v>0</v>
      </c>
      <c r="Q205" s="60" t="s">
        <v>78</v>
      </c>
      <c r="R205" s="52">
        <v>0</v>
      </c>
      <c r="S205" s="52">
        <f t="shared" si="244"/>
        <v>0</v>
      </c>
      <c r="T205" s="60" t="s">
        <v>78</v>
      </c>
      <c r="U205" s="52">
        <v>0</v>
      </c>
      <c r="V205" s="52">
        <f t="shared" si="260"/>
        <v>0</v>
      </c>
      <c r="W205" s="60" t="s">
        <v>78</v>
      </c>
      <c r="X205" s="166">
        <v>0</v>
      </c>
      <c r="Y205" s="52">
        <f t="shared" si="246"/>
        <v>0</v>
      </c>
      <c r="Z205" s="60" t="s">
        <v>78</v>
      </c>
      <c r="AA205" s="202">
        <v>46000</v>
      </c>
      <c r="AB205" s="172">
        <f t="shared" si="247"/>
        <v>46000</v>
      </c>
      <c r="AC205" s="70" t="s">
        <v>78</v>
      </c>
      <c r="AD205" s="219"/>
      <c r="AE205" s="219"/>
      <c r="AF205" s="52">
        <v>0</v>
      </c>
      <c r="AG205" s="52">
        <f t="shared" si="248"/>
        <v>-46000</v>
      </c>
      <c r="AH205" s="58">
        <f t="shared" si="249"/>
        <v>-1</v>
      </c>
      <c r="AI205" s="272">
        <v>0</v>
      </c>
      <c r="AJ205" s="272">
        <v>0</v>
      </c>
      <c r="AL205" s="136"/>
      <c r="AM205" s="258">
        <f t="shared" si="250"/>
        <v>0</v>
      </c>
      <c r="AN205" s="259">
        <v>0</v>
      </c>
      <c r="AO205" s="259">
        <v>0</v>
      </c>
      <c r="AS205" s="52">
        <f t="shared" si="261"/>
        <v>0</v>
      </c>
      <c r="AT205" s="65">
        <f t="shared" si="262"/>
        <v>0</v>
      </c>
      <c r="AU205" s="51" t="e">
        <f t="shared" si="263"/>
        <v>#DIV/0!</v>
      </c>
      <c r="AV205" s="65">
        <f t="shared" si="251"/>
        <v>0</v>
      </c>
      <c r="AW205" s="51" t="e">
        <f t="shared" si="252"/>
        <v>#DIV/0!</v>
      </c>
      <c r="AX205" s="52">
        <f>40000</f>
        <v>40000</v>
      </c>
      <c r="AY205" s="52">
        <f t="shared" si="269"/>
        <v>40000</v>
      </c>
      <c r="AZ205" s="58" t="e">
        <f t="shared" si="270"/>
        <v>#DIV/0!</v>
      </c>
      <c r="BA205" s="624">
        <v>160.93899999999999</v>
      </c>
      <c r="BB205" s="624">
        <v>0</v>
      </c>
      <c r="BC205" s="624">
        <f t="shared" si="264"/>
        <v>160.93899999999999</v>
      </c>
      <c r="BD205" s="31">
        <f t="shared" si="265"/>
        <v>1</v>
      </c>
      <c r="BE205" s="52">
        <v>0</v>
      </c>
      <c r="BF205" s="52">
        <f t="shared" si="253"/>
        <v>-40000</v>
      </c>
      <c r="BG205" s="58">
        <f t="shared" si="254"/>
        <v>-1</v>
      </c>
      <c r="BH205" s="65"/>
      <c r="BI205" s="65"/>
      <c r="BJ205" s="65"/>
      <c r="BK205" s="65"/>
      <c r="BL205" s="39">
        <f t="shared" si="271"/>
        <v>0</v>
      </c>
      <c r="BM205" s="39">
        <f t="shared" si="255"/>
        <v>0</v>
      </c>
      <c r="BN205" s="39">
        <v>0</v>
      </c>
      <c r="BO205" s="39">
        <f t="shared" si="266"/>
        <v>0</v>
      </c>
      <c r="BP205" s="51" t="e">
        <f t="shared" si="256"/>
        <v>#DIV/0!</v>
      </c>
      <c r="BQ205" s="99" t="e">
        <f t="shared" si="267"/>
        <v>#DIV/0!</v>
      </c>
      <c r="BV205" s="282">
        <f t="shared" si="268"/>
        <v>0</v>
      </c>
      <c r="BW205" s="39">
        <f t="shared" si="257"/>
        <v>0</v>
      </c>
      <c r="BX205" s="51" t="e">
        <f t="shared" si="258"/>
        <v>#DIV/0!</v>
      </c>
    </row>
    <row r="206" spans="1:76" ht="18" customHeight="1">
      <c r="A206" s="59" t="s">
        <v>42</v>
      </c>
      <c r="B206" s="329" t="s">
        <v>78</v>
      </c>
      <c r="C206" s="329" t="s">
        <v>78</v>
      </c>
      <c r="D206" s="329" t="s">
        <v>78</v>
      </c>
      <c r="E206" s="329" t="s">
        <v>78</v>
      </c>
      <c r="F206" s="329" t="s">
        <v>78</v>
      </c>
      <c r="G206" s="329" t="s">
        <v>78</v>
      </c>
      <c r="H206" s="329" t="s">
        <v>78</v>
      </c>
      <c r="I206" s="329" t="s">
        <v>78</v>
      </c>
      <c r="J206" s="329" t="s">
        <v>78</v>
      </c>
      <c r="K206" s="329" t="s">
        <v>78</v>
      </c>
      <c r="L206" s="52">
        <v>0</v>
      </c>
      <c r="M206" s="52">
        <v>0</v>
      </c>
      <c r="N206" s="60" t="s">
        <v>78</v>
      </c>
      <c r="O206" s="52">
        <v>22058</v>
      </c>
      <c r="P206" s="69">
        <f t="shared" si="259"/>
        <v>22058</v>
      </c>
      <c r="Q206" s="60" t="s">
        <v>78</v>
      </c>
      <c r="R206" s="52">
        <v>24574</v>
      </c>
      <c r="S206" s="52">
        <f t="shared" si="244"/>
        <v>2516</v>
      </c>
      <c r="T206" s="58">
        <f t="shared" si="245"/>
        <v>0.11406292501586726</v>
      </c>
      <c r="U206" s="52">
        <v>21893</v>
      </c>
      <c r="V206" s="52">
        <f t="shared" si="260"/>
        <v>-2681</v>
      </c>
      <c r="W206" s="58">
        <f>V206/R206</f>
        <v>-0.10909904777407016</v>
      </c>
      <c r="X206" s="166">
        <v>29896</v>
      </c>
      <c r="Y206" s="52">
        <f t="shared" si="246"/>
        <v>8003</v>
      </c>
      <c r="Z206" s="95">
        <f>Y206/U206</f>
        <v>0.36555063262229937</v>
      </c>
      <c r="AA206" s="202">
        <v>43033</v>
      </c>
      <c r="AB206" s="172">
        <f t="shared" si="247"/>
        <v>13137</v>
      </c>
      <c r="AC206" s="100">
        <f>AB206/X206</f>
        <v>0.43942333422531443</v>
      </c>
      <c r="AD206" s="65">
        <v>46157</v>
      </c>
      <c r="AE206" s="65"/>
      <c r="AF206" s="52">
        <v>43863</v>
      </c>
      <c r="AG206" s="52">
        <f t="shared" si="248"/>
        <v>830</v>
      </c>
      <c r="AH206" s="58">
        <f t="shared" si="249"/>
        <v>1.9287523528454906E-2</v>
      </c>
      <c r="AI206" s="272">
        <v>46157</v>
      </c>
      <c r="AJ206" s="272">
        <v>46157</v>
      </c>
      <c r="AK206" s="220">
        <v>44605</v>
      </c>
      <c r="AL206" s="136"/>
      <c r="AM206" s="258">
        <f t="shared" si="250"/>
        <v>44605</v>
      </c>
      <c r="AN206" s="50">
        <v>49804</v>
      </c>
      <c r="AO206" s="220">
        <v>49804</v>
      </c>
      <c r="AS206" s="52">
        <f t="shared" si="261"/>
        <v>48246.766940000001</v>
      </c>
      <c r="AT206" s="65">
        <f t="shared" si="262"/>
        <v>4383.7669400000013</v>
      </c>
      <c r="AU206" s="51">
        <f t="shared" si="263"/>
        <v>9.9942250644050823E-2</v>
      </c>
      <c r="AV206" s="65">
        <f t="shared" si="251"/>
        <v>4383.7669400000013</v>
      </c>
      <c r="AW206" s="51">
        <f t="shared" si="252"/>
        <v>9.9942250644050823E-2</v>
      </c>
      <c r="AX206" s="52">
        <v>49804</v>
      </c>
      <c r="AY206" s="52">
        <f t="shared" si="269"/>
        <v>5941</v>
      </c>
      <c r="AZ206" s="58">
        <f t="shared" si="270"/>
        <v>0.13544445204386385</v>
      </c>
      <c r="BA206" s="624">
        <v>48819.074000000001</v>
      </c>
      <c r="BB206" s="624">
        <v>48246.766940000001</v>
      </c>
      <c r="BC206" s="624">
        <f t="shared" si="264"/>
        <v>572.30705999999918</v>
      </c>
      <c r="BD206" s="31">
        <f t="shared" si="265"/>
        <v>1.1723021620606715E-2</v>
      </c>
      <c r="BE206" s="52">
        <v>53617</v>
      </c>
      <c r="BF206" s="52">
        <f t="shared" si="253"/>
        <v>3813</v>
      </c>
      <c r="BG206" s="58">
        <f t="shared" si="254"/>
        <v>7.6560115653361183E-2</v>
      </c>
      <c r="BH206" s="65"/>
      <c r="BI206" s="65"/>
      <c r="BJ206" s="65"/>
      <c r="BK206" s="65"/>
      <c r="BL206" s="39">
        <f t="shared" si="271"/>
        <v>53617</v>
      </c>
      <c r="BM206" s="39">
        <f t="shared" si="255"/>
        <v>5370.2330599999987</v>
      </c>
      <c r="BN206" s="39">
        <v>50036</v>
      </c>
      <c r="BO206" s="39">
        <f t="shared" si="266"/>
        <v>-3581</v>
      </c>
      <c r="BP206" s="51">
        <f t="shared" si="256"/>
        <v>0.11130762537266914</v>
      </c>
      <c r="BQ206" s="99">
        <f t="shared" si="267"/>
        <v>-6.6788518566872443E-2</v>
      </c>
      <c r="BV206" s="282">
        <f t="shared" si="268"/>
        <v>50036</v>
      </c>
      <c r="BW206" s="39">
        <f t="shared" si="257"/>
        <v>-3581</v>
      </c>
      <c r="BX206" s="51">
        <f t="shared" si="258"/>
        <v>-6.6788518566872443E-2</v>
      </c>
    </row>
    <row r="207" spans="1:76" ht="18" customHeight="1">
      <c r="A207" s="59" t="s">
        <v>93</v>
      </c>
      <c r="B207" s="329" t="s">
        <v>78</v>
      </c>
      <c r="C207" s="329" t="s">
        <v>78</v>
      </c>
      <c r="D207" s="329" t="s">
        <v>78</v>
      </c>
      <c r="E207" s="329" t="s">
        <v>78</v>
      </c>
      <c r="F207" s="330" t="s">
        <v>78</v>
      </c>
      <c r="G207" s="329" t="s">
        <v>78</v>
      </c>
      <c r="H207" s="329" t="s">
        <v>78</v>
      </c>
      <c r="I207" s="329" t="s">
        <v>78</v>
      </c>
      <c r="J207" s="329" t="s">
        <v>78</v>
      </c>
      <c r="K207" s="329" t="s">
        <v>78</v>
      </c>
      <c r="L207" s="52">
        <v>0</v>
      </c>
      <c r="M207" s="52">
        <v>0</v>
      </c>
      <c r="N207" s="60" t="s">
        <v>78</v>
      </c>
      <c r="O207" s="66">
        <v>0</v>
      </c>
      <c r="P207" s="69">
        <f t="shared" si="259"/>
        <v>0</v>
      </c>
      <c r="Q207" s="60" t="s">
        <v>78</v>
      </c>
      <c r="R207" s="52">
        <v>0</v>
      </c>
      <c r="S207" s="52">
        <v>12208</v>
      </c>
      <c r="T207" s="60" t="s">
        <v>78</v>
      </c>
      <c r="U207" s="52">
        <v>0</v>
      </c>
      <c r="V207" s="52">
        <f t="shared" si="260"/>
        <v>0</v>
      </c>
      <c r="W207" s="60" t="s">
        <v>78</v>
      </c>
      <c r="X207" s="166">
        <v>4716</v>
      </c>
      <c r="Y207" s="52">
        <f t="shared" si="246"/>
        <v>4716</v>
      </c>
      <c r="Z207" s="60" t="s">
        <v>78</v>
      </c>
      <c r="AA207" s="202">
        <v>8613</v>
      </c>
      <c r="AB207" s="172">
        <f t="shared" si="247"/>
        <v>3897</v>
      </c>
      <c r="AC207" s="100">
        <f>AB207/X207</f>
        <v>0.82633587786259544</v>
      </c>
      <c r="AD207" s="65">
        <v>8612</v>
      </c>
      <c r="AE207" s="65"/>
      <c r="AF207" s="52">
        <v>8612</v>
      </c>
      <c r="AG207" s="52">
        <f t="shared" si="248"/>
        <v>-1</v>
      </c>
      <c r="AH207" s="58">
        <f t="shared" si="249"/>
        <v>-1.1610356437942645E-4</v>
      </c>
      <c r="AI207" s="65">
        <v>8613</v>
      </c>
      <c r="AJ207" s="65">
        <v>8613</v>
      </c>
      <c r="AK207" s="50">
        <v>8613</v>
      </c>
      <c r="AL207" s="136"/>
      <c r="AM207" s="258">
        <f t="shared" si="250"/>
        <v>8613</v>
      </c>
      <c r="AN207" s="50">
        <v>8613</v>
      </c>
      <c r="AO207" s="50">
        <v>8613</v>
      </c>
      <c r="AS207" s="52">
        <f t="shared" si="261"/>
        <v>8612.9629999999997</v>
      </c>
      <c r="AT207" s="65">
        <f t="shared" si="262"/>
        <v>0.96299999999973807</v>
      </c>
      <c r="AU207" s="51">
        <f t="shared" si="263"/>
        <v>1.1182071528097284E-4</v>
      </c>
      <c r="AV207" s="65">
        <f t="shared" si="251"/>
        <v>0.96299999999973807</v>
      </c>
      <c r="AW207" s="51">
        <f t="shared" si="252"/>
        <v>1.1182071528097284E-4</v>
      </c>
      <c r="AX207" s="52">
        <v>8613</v>
      </c>
      <c r="AY207" s="52">
        <f t="shared" si="269"/>
        <v>1</v>
      </c>
      <c r="AZ207" s="58">
        <f t="shared" si="270"/>
        <v>1.1611704598235021E-4</v>
      </c>
      <c r="BA207" s="624">
        <v>8612.9629999999997</v>
      </c>
      <c r="BB207" s="624">
        <v>8612.9629999999997</v>
      </c>
      <c r="BC207" s="624">
        <f t="shared" si="264"/>
        <v>0</v>
      </c>
      <c r="BD207" s="31">
        <f t="shared" si="265"/>
        <v>0</v>
      </c>
      <c r="BE207" s="52">
        <v>8621</v>
      </c>
      <c r="BF207" s="52">
        <f t="shared" si="253"/>
        <v>8</v>
      </c>
      <c r="BG207" s="58">
        <f t="shared" si="254"/>
        <v>9.288285150354116E-4</v>
      </c>
      <c r="BH207" s="65"/>
      <c r="BI207" s="65"/>
      <c r="BJ207" s="65"/>
      <c r="BK207" s="65"/>
      <c r="BL207" s="39">
        <f t="shared" si="271"/>
        <v>8621</v>
      </c>
      <c r="BM207" s="39">
        <f t="shared" si="255"/>
        <v>8.0370000000002619</v>
      </c>
      <c r="BN207" s="39">
        <v>8626</v>
      </c>
      <c r="BO207" s="39">
        <f t="shared" si="266"/>
        <v>5</v>
      </c>
      <c r="BP207" s="51">
        <f t="shared" si="256"/>
        <v>9.3312835548002029E-4</v>
      </c>
      <c r="BQ207" s="99">
        <f t="shared" si="267"/>
        <v>5.7997912075165292E-4</v>
      </c>
      <c r="BV207" s="282">
        <f t="shared" si="268"/>
        <v>8626</v>
      </c>
      <c r="BW207" s="39">
        <f t="shared" si="257"/>
        <v>5</v>
      </c>
      <c r="BX207" s="51">
        <f t="shared" si="258"/>
        <v>5.7997912075165292E-4</v>
      </c>
    </row>
    <row r="208" spans="1:76" ht="18" customHeight="1">
      <c r="A208" s="57" t="s">
        <v>79</v>
      </c>
      <c r="B208" s="329" t="s">
        <v>78</v>
      </c>
      <c r="C208" s="329" t="s">
        <v>78</v>
      </c>
      <c r="D208" s="329" t="s">
        <v>78</v>
      </c>
      <c r="E208" s="329" t="s">
        <v>78</v>
      </c>
      <c r="F208" s="329" t="s">
        <v>78</v>
      </c>
      <c r="G208" s="329" t="s">
        <v>78</v>
      </c>
      <c r="H208" s="329" t="s">
        <v>78</v>
      </c>
      <c r="I208" s="329" t="s">
        <v>78</v>
      </c>
      <c r="J208" s="329" t="s">
        <v>78</v>
      </c>
      <c r="K208" s="329" t="s">
        <v>78</v>
      </c>
      <c r="L208" s="52">
        <v>0</v>
      </c>
      <c r="M208" s="52">
        <v>0</v>
      </c>
      <c r="N208" s="60" t="s">
        <v>78</v>
      </c>
      <c r="O208" s="52">
        <v>375</v>
      </c>
      <c r="P208" s="69">
        <f t="shared" si="259"/>
        <v>375</v>
      </c>
      <c r="Q208" s="60" t="s">
        <v>78</v>
      </c>
      <c r="R208" s="52">
        <v>0</v>
      </c>
      <c r="S208" s="52">
        <f t="shared" ref="S208:S222" si="272">R208-O208</f>
        <v>-375</v>
      </c>
      <c r="T208" s="58">
        <f>S208/O208</f>
        <v>-1</v>
      </c>
      <c r="U208" s="52">
        <v>0</v>
      </c>
      <c r="V208" s="52">
        <f t="shared" si="260"/>
        <v>0</v>
      </c>
      <c r="W208" s="60" t="s">
        <v>78</v>
      </c>
      <c r="Y208" s="52">
        <f t="shared" si="246"/>
        <v>0</v>
      </c>
      <c r="Z208" s="60" t="s">
        <v>78</v>
      </c>
      <c r="AB208" s="172">
        <f t="shared" si="247"/>
        <v>0</v>
      </c>
      <c r="AC208" s="70" t="s">
        <v>78</v>
      </c>
      <c r="AG208" s="52">
        <f t="shared" si="248"/>
        <v>0</v>
      </c>
      <c r="AH208" s="58" t="e">
        <f t="shared" si="249"/>
        <v>#DIV/0!</v>
      </c>
      <c r="AI208" s="263">
        <v>0</v>
      </c>
      <c r="AJ208" s="263">
        <v>0</v>
      </c>
      <c r="AL208" s="136"/>
      <c r="AM208" s="258">
        <f t="shared" si="250"/>
        <v>0</v>
      </c>
      <c r="AS208" s="52">
        <f t="shared" si="261"/>
        <v>0</v>
      </c>
      <c r="AT208" s="65">
        <f t="shared" si="262"/>
        <v>0</v>
      </c>
      <c r="AU208" s="51" t="e">
        <f t="shared" si="263"/>
        <v>#DIV/0!</v>
      </c>
      <c r="AV208" s="65">
        <f t="shared" si="251"/>
        <v>0</v>
      </c>
      <c r="AW208" s="51" t="e">
        <f t="shared" si="252"/>
        <v>#DIV/0!</v>
      </c>
      <c r="AY208" s="52">
        <f t="shared" si="269"/>
        <v>0</v>
      </c>
      <c r="AZ208" s="58" t="e">
        <f t="shared" si="270"/>
        <v>#DIV/0!</v>
      </c>
      <c r="BC208" s="624">
        <f t="shared" si="264"/>
        <v>0</v>
      </c>
      <c r="BD208" s="31"/>
      <c r="BF208" s="52">
        <f t="shared" si="253"/>
        <v>0</v>
      </c>
      <c r="BG208" s="58" t="e">
        <f t="shared" si="254"/>
        <v>#DIV/0!</v>
      </c>
      <c r="BH208" s="65"/>
      <c r="BI208" s="65"/>
      <c r="BJ208" s="65"/>
      <c r="BK208" s="65"/>
      <c r="BL208" s="39">
        <f t="shared" si="271"/>
        <v>0</v>
      </c>
      <c r="BM208" s="39">
        <f t="shared" si="255"/>
        <v>0</v>
      </c>
      <c r="BN208" s="39">
        <v>0</v>
      </c>
      <c r="BO208" s="39">
        <f t="shared" si="266"/>
        <v>0</v>
      </c>
      <c r="BP208" s="51" t="e">
        <f t="shared" si="256"/>
        <v>#DIV/0!</v>
      </c>
      <c r="BQ208" s="99" t="e">
        <f t="shared" si="267"/>
        <v>#DIV/0!</v>
      </c>
      <c r="BV208" s="282">
        <f t="shared" si="268"/>
        <v>0</v>
      </c>
      <c r="BW208" s="39">
        <f t="shared" si="257"/>
        <v>0</v>
      </c>
      <c r="BX208" s="51" t="e">
        <f t="shared" si="258"/>
        <v>#DIV/0!</v>
      </c>
    </row>
    <row r="209" spans="1:76" ht="18" customHeight="1">
      <c r="A209" s="57" t="s">
        <v>146</v>
      </c>
      <c r="B209" s="329" t="s">
        <v>78</v>
      </c>
      <c r="C209" s="329" t="s">
        <v>78</v>
      </c>
      <c r="D209" s="329" t="s">
        <v>78</v>
      </c>
      <c r="E209" s="329" t="s">
        <v>78</v>
      </c>
      <c r="F209" s="329" t="s">
        <v>78</v>
      </c>
      <c r="G209" s="329" t="s">
        <v>78</v>
      </c>
      <c r="H209" s="329" t="s">
        <v>78</v>
      </c>
      <c r="I209" s="329" t="s">
        <v>78</v>
      </c>
      <c r="J209" s="329" t="s">
        <v>78</v>
      </c>
      <c r="K209" s="329" t="s">
        <v>78</v>
      </c>
      <c r="L209" s="52">
        <v>0</v>
      </c>
      <c r="M209" s="52">
        <v>0</v>
      </c>
      <c r="N209" s="60" t="s">
        <v>78</v>
      </c>
      <c r="O209" s="52">
        <v>20550</v>
      </c>
      <c r="P209" s="69">
        <f t="shared" si="259"/>
        <v>20550</v>
      </c>
      <c r="Q209" s="60" t="s">
        <v>78</v>
      </c>
      <c r="R209" s="52">
        <v>265023</v>
      </c>
      <c r="S209" s="52">
        <f t="shared" si="272"/>
        <v>244473</v>
      </c>
      <c r="T209" s="58">
        <f>S209/O209</f>
        <v>11.896496350364963</v>
      </c>
      <c r="U209" s="52">
        <v>118861</v>
      </c>
      <c r="V209" s="52">
        <f t="shared" si="260"/>
        <v>-146162</v>
      </c>
      <c r="W209" s="60">
        <f>V209/R209</f>
        <v>-0.55150685034883762</v>
      </c>
      <c r="X209" s="166">
        <v>140737</v>
      </c>
      <c r="Y209" s="52">
        <f t="shared" si="246"/>
        <v>21876</v>
      </c>
      <c r="Z209" s="95">
        <f>Y209/U209</f>
        <v>0.18404691193915582</v>
      </c>
      <c r="AA209" s="202">
        <v>125014</v>
      </c>
      <c r="AB209" s="172">
        <f t="shared" si="247"/>
        <v>-15723</v>
      </c>
      <c r="AC209" s="100">
        <f>AB209/X209</f>
        <v>-0.11171902200558488</v>
      </c>
      <c r="AD209" s="219">
        <v>0</v>
      </c>
      <c r="AE209" s="219">
        <v>2984</v>
      </c>
      <c r="AF209" s="52">
        <v>14933</v>
      </c>
      <c r="AG209" s="52">
        <f t="shared" si="248"/>
        <v>-110081</v>
      </c>
      <c r="AH209" s="58">
        <f t="shared" si="249"/>
        <v>-0.88054937846961145</v>
      </c>
      <c r="AI209" s="263">
        <v>2984</v>
      </c>
      <c r="AJ209" s="263">
        <v>2984</v>
      </c>
      <c r="AL209" s="136"/>
      <c r="AM209" s="258">
        <f t="shared" si="250"/>
        <v>0</v>
      </c>
      <c r="AN209" s="50">
        <v>0</v>
      </c>
      <c r="AO209" s="220">
        <v>7900</v>
      </c>
      <c r="AS209" s="52">
        <f t="shared" si="261"/>
        <v>18696.287</v>
      </c>
      <c r="AT209" s="65">
        <f t="shared" si="262"/>
        <v>3763.2870000000003</v>
      </c>
      <c r="AU209" s="51">
        <f t="shared" si="263"/>
        <v>0.25201145114846313</v>
      </c>
      <c r="AV209" s="65">
        <f t="shared" si="251"/>
        <v>3763.2870000000003</v>
      </c>
      <c r="AW209" s="51">
        <f t="shared" si="252"/>
        <v>0.25201145114846313</v>
      </c>
      <c r="AX209" s="52">
        <v>12071</v>
      </c>
      <c r="AY209" s="52">
        <f t="shared" si="269"/>
        <v>-2862</v>
      </c>
      <c r="AZ209" s="58">
        <f t="shared" si="270"/>
        <v>-0.19165606375142302</v>
      </c>
      <c r="BA209" s="624">
        <f>18683.244+13.043</f>
        <v>18696.287</v>
      </c>
      <c r="BB209" s="624">
        <f>18683.244+13.043</f>
        <v>18696.287</v>
      </c>
      <c r="BC209" s="624">
        <f t="shared" si="264"/>
        <v>0</v>
      </c>
      <c r="BD209" s="31">
        <f t="shared" si="265"/>
        <v>0</v>
      </c>
      <c r="BE209" s="52">
        <v>37448</v>
      </c>
      <c r="BF209" s="52">
        <f t="shared" si="253"/>
        <v>25377</v>
      </c>
      <c r="BG209" s="58">
        <f t="shared" si="254"/>
        <v>2.1023113246624141</v>
      </c>
      <c r="BH209" s="65"/>
      <c r="BI209" s="65"/>
      <c r="BJ209" s="65"/>
      <c r="BK209" s="65"/>
      <c r="BL209" s="39">
        <f t="shared" si="271"/>
        <v>37448</v>
      </c>
      <c r="BM209" s="39">
        <f t="shared" si="255"/>
        <v>18751.713</v>
      </c>
      <c r="BN209" s="39">
        <v>31533</v>
      </c>
      <c r="BO209" s="39">
        <f t="shared" si="266"/>
        <v>-5915</v>
      </c>
      <c r="BP209" s="51">
        <f t="shared" si="256"/>
        <v>1.0029645458480605</v>
      </c>
      <c r="BQ209" s="99">
        <f t="shared" si="267"/>
        <v>-0.15795236060670798</v>
      </c>
      <c r="BV209" s="282">
        <f t="shared" si="268"/>
        <v>31533</v>
      </c>
      <c r="BW209" s="39">
        <f t="shared" si="257"/>
        <v>-5915</v>
      </c>
      <c r="BX209" s="51">
        <f t="shared" si="258"/>
        <v>-0.15795236060670798</v>
      </c>
    </row>
    <row r="210" spans="1:76" ht="18" customHeight="1">
      <c r="A210" s="57" t="s">
        <v>40</v>
      </c>
      <c r="B210" s="326">
        <v>0</v>
      </c>
      <c r="C210" s="326">
        <v>0</v>
      </c>
      <c r="D210" s="327">
        <f t="shared" si="233"/>
        <v>0</v>
      </c>
      <c r="E210" s="329" t="s">
        <v>78</v>
      </c>
      <c r="F210" s="10">
        <v>0</v>
      </c>
      <c r="G210" s="10">
        <f t="shared" si="234"/>
        <v>0</v>
      </c>
      <c r="H210" s="329" t="s">
        <v>78</v>
      </c>
      <c r="I210" s="329">
        <v>0</v>
      </c>
      <c r="J210" s="10">
        <f t="shared" si="235"/>
        <v>0</v>
      </c>
      <c r="K210" s="329" t="s">
        <v>78</v>
      </c>
      <c r="L210" s="52">
        <v>0</v>
      </c>
      <c r="M210" s="52">
        <v>0</v>
      </c>
      <c r="N210" s="60" t="s">
        <v>78</v>
      </c>
      <c r="O210" s="52">
        <v>0</v>
      </c>
      <c r="P210" s="69">
        <f t="shared" si="259"/>
        <v>0</v>
      </c>
      <c r="Q210" s="60" t="s">
        <v>78</v>
      </c>
      <c r="R210" s="52">
        <v>0</v>
      </c>
      <c r="S210" s="52">
        <f t="shared" si="272"/>
        <v>0</v>
      </c>
      <c r="T210" s="60" t="s">
        <v>78</v>
      </c>
      <c r="U210" s="52">
        <v>0</v>
      </c>
      <c r="V210" s="52">
        <f t="shared" si="260"/>
        <v>0</v>
      </c>
      <c r="W210" s="60" t="s">
        <v>78</v>
      </c>
      <c r="Y210" s="52">
        <f t="shared" si="246"/>
        <v>0</v>
      </c>
      <c r="Z210" s="60" t="s">
        <v>78</v>
      </c>
      <c r="AB210" s="172">
        <f t="shared" si="247"/>
        <v>0</v>
      </c>
      <c r="AC210" s="100" t="e">
        <f>AB210/X210</f>
        <v>#DIV/0!</v>
      </c>
      <c r="AG210" s="52">
        <f t="shared" si="248"/>
        <v>0</v>
      </c>
      <c r="AH210" s="58" t="e">
        <f t="shared" si="249"/>
        <v>#DIV/0!</v>
      </c>
      <c r="AI210" s="263">
        <v>0</v>
      </c>
      <c r="AJ210" s="263">
        <v>0</v>
      </c>
      <c r="AL210" s="136"/>
      <c r="AM210" s="258">
        <f t="shared" si="250"/>
        <v>0</v>
      </c>
      <c r="AS210" s="52">
        <f t="shared" si="261"/>
        <v>0</v>
      </c>
      <c r="AT210" s="65">
        <f t="shared" si="262"/>
        <v>0</v>
      </c>
      <c r="AU210" s="51" t="e">
        <f t="shared" si="263"/>
        <v>#DIV/0!</v>
      </c>
      <c r="AV210" s="65">
        <f t="shared" si="251"/>
        <v>0</v>
      </c>
      <c r="AW210" s="51" t="e">
        <f t="shared" si="252"/>
        <v>#DIV/0!</v>
      </c>
      <c r="AY210" s="52">
        <f t="shared" si="269"/>
        <v>0</v>
      </c>
      <c r="AZ210" s="58" t="e">
        <f t="shared" si="270"/>
        <v>#DIV/0!</v>
      </c>
      <c r="BC210" s="624">
        <f t="shared" si="264"/>
        <v>0</v>
      </c>
      <c r="BD210" s="31"/>
      <c r="BE210" s="52">
        <v>0</v>
      </c>
      <c r="BF210" s="52">
        <f t="shared" si="253"/>
        <v>0</v>
      </c>
      <c r="BG210" s="58" t="e">
        <f t="shared" si="254"/>
        <v>#DIV/0!</v>
      </c>
      <c r="BH210" s="65"/>
      <c r="BI210" s="65"/>
      <c r="BJ210" s="65"/>
      <c r="BK210" s="65"/>
      <c r="BL210" s="39">
        <f t="shared" si="271"/>
        <v>0</v>
      </c>
      <c r="BM210" s="39">
        <f t="shared" si="255"/>
        <v>0</v>
      </c>
      <c r="BN210" s="39">
        <v>0</v>
      </c>
      <c r="BO210" s="39">
        <f t="shared" si="266"/>
        <v>0</v>
      </c>
      <c r="BP210" s="51" t="e">
        <f t="shared" si="256"/>
        <v>#DIV/0!</v>
      </c>
      <c r="BQ210" s="99" t="e">
        <f t="shared" si="267"/>
        <v>#DIV/0!</v>
      </c>
      <c r="BV210" s="282">
        <f t="shared" si="268"/>
        <v>0</v>
      </c>
      <c r="BW210" s="39">
        <f t="shared" si="257"/>
        <v>0</v>
      </c>
      <c r="BX210" s="51" t="e">
        <f t="shared" si="258"/>
        <v>#DIV/0!</v>
      </c>
    </row>
    <row r="211" spans="1:76" s="63" customFormat="1" ht="18" customHeight="1">
      <c r="A211" s="53" t="s">
        <v>75</v>
      </c>
      <c r="B211" s="329" t="s">
        <v>78</v>
      </c>
      <c r="C211" s="329" t="s">
        <v>78</v>
      </c>
      <c r="D211" s="329" t="s">
        <v>78</v>
      </c>
      <c r="E211" s="329" t="s">
        <v>78</v>
      </c>
      <c r="F211" s="334" t="s">
        <v>78</v>
      </c>
      <c r="G211" s="334" t="s">
        <v>78</v>
      </c>
      <c r="H211" s="329" t="s">
        <v>78</v>
      </c>
      <c r="I211" s="334" t="s">
        <v>78</v>
      </c>
      <c r="J211" s="334" t="s">
        <v>78</v>
      </c>
      <c r="K211" s="329" t="s">
        <v>78</v>
      </c>
      <c r="L211" s="52">
        <v>0</v>
      </c>
      <c r="M211" s="52">
        <v>0</v>
      </c>
      <c r="N211" s="60" t="s">
        <v>78</v>
      </c>
      <c r="O211" s="69">
        <v>4935</v>
      </c>
      <c r="P211" s="69">
        <f t="shared" si="259"/>
        <v>4935</v>
      </c>
      <c r="Q211" s="60" t="s">
        <v>78</v>
      </c>
      <c r="R211" s="52">
        <v>9196</v>
      </c>
      <c r="S211" s="52">
        <f t="shared" si="272"/>
        <v>4261</v>
      </c>
      <c r="T211" s="58">
        <f>S211/O211</f>
        <v>0.86342451874366766</v>
      </c>
      <c r="U211" s="52">
        <v>6406</v>
      </c>
      <c r="V211" s="52">
        <f t="shared" si="260"/>
        <v>-2790</v>
      </c>
      <c r="W211" s="60">
        <f>V211/R211</f>
        <v>-0.30339277946933452</v>
      </c>
      <c r="X211" s="166">
        <v>16216</v>
      </c>
      <c r="Y211" s="52">
        <f t="shared" si="246"/>
        <v>9810</v>
      </c>
      <c r="Z211" s="95">
        <f>Y211/U211</f>
        <v>1.5313768342179206</v>
      </c>
      <c r="AA211" s="202">
        <v>15000</v>
      </c>
      <c r="AB211" s="172">
        <f t="shared" si="247"/>
        <v>-1216</v>
      </c>
      <c r="AC211" s="100">
        <f>AB211/X211</f>
        <v>-7.4987666502220024E-2</v>
      </c>
      <c r="AD211" s="80">
        <v>15000</v>
      </c>
      <c r="AE211" s="80"/>
      <c r="AF211" s="52">
        <v>6514</v>
      </c>
      <c r="AG211" s="52">
        <f t="shared" si="248"/>
        <v>-8486</v>
      </c>
      <c r="AH211" s="58">
        <f t="shared" si="249"/>
        <v>-0.56573333333333331</v>
      </c>
      <c r="AI211" s="80">
        <v>15000</v>
      </c>
      <c r="AJ211" s="80">
        <v>15000</v>
      </c>
      <c r="AK211" s="63">
        <v>15000</v>
      </c>
      <c r="AL211" s="136"/>
      <c r="AM211" s="258">
        <f t="shared" si="250"/>
        <v>15000</v>
      </c>
      <c r="AN211" s="63">
        <v>15000</v>
      </c>
      <c r="AO211" s="63">
        <v>15000</v>
      </c>
      <c r="AR211" s="50"/>
      <c r="AS211" s="52">
        <f t="shared" si="261"/>
        <v>5884.4930599999998</v>
      </c>
      <c r="AT211" s="65">
        <f t="shared" si="262"/>
        <v>-629.50694000000021</v>
      </c>
      <c r="AU211" s="51">
        <f t="shared" si="263"/>
        <v>-9.6639075836659538E-2</v>
      </c>
      <c r="AV211" s="65">
        <f t="shared" si="251"/>
        <v>-629.50694000000021</v>
      </c>
      <c r="AW211" s="51">
        <f t="shared" si="252"/>
        <v>-9.6639075836659538E-2</v>
      </c>
      <c r="AX211" s="69">
        <v>15000</v>
      </c>
      <c r="AY211" s="52">
        <f t="shared" si="269"/>
        <v>8486</v>
      </c>
      <c r="AZ211" s="58">
        <f t="shared" si="270"/>
        <v>1.3027325759901751</v>
      </c>
      <c r="BA211" s="624">
        <v>15000</v>
      </c>
      <c r="BB211" s="624">
        <v>5884.4930599999998</v>
      </c>
      <c r="BC211" s="624">
        <f t="shared" si="264"/>
        <v>9115.5069399999993</v>
      </c>
      <c r="BD211" s="31">
        <f t="shared" si="265"/>
        <v>0.60770046266666666</v>
      </c>
      <c r="BE211" s="69">
        <v>6000</v>
      </c>
      <c r="BF211" s="52">
        <f t="shared" si="253"/>
        <v>-9000</v>
      </c>
      <c r="BG211" s="58">
        <f t="shared" si="254"/>
        <v>-0.6</v>
      </c>
      <c r="BH211" s="65"/>
      <c r="BI211" s="65"/>
      <c r="BJ211" s="65"/>
      <c r="BK211" s="65"/>
      <c r="BL211" s="39">
        <f t="shared" si="271"/>
        <v>6000</v>
      </c>
      <c r="BM211" s="39">
        <f t="shared" si="255"/>
        <v>115.50694000000021</v>
      </c>
      <c r="BN211" s="39">
        <v>6000</v>
      </c>
      <c r="BO211" s="39">
        <f t="shared" si="266"/>
        <v>0</v>
      </c>
      <c r="BP211" s="51">
        <f t="shared" si="256"/>
        <v>1.9629038359338335E-2</v>
      </c>
      <c r="BQ211" s="99">
        <f t="shared" si="267"/>
        <v>0</v>
      </c>
      <c r="BR211" s="40"/>
      <c r="BV211" s="282">
        <f t="shared" si="268"/>
        <v>6000</v>
      </c>
      <c r="BW211" s="39">
        <f t="shared" si="257"/>
        <v>0</v>
      </c>
      <c r="BX211" s="51">
        <f t="shared" si="258"/>
        <v>0</v>
      </c>
    </row>
    <row r="212" spans="1:76" s="63" customFormat="1" ht="18" customHeight="1">
      <c r="A212" s="53" t="s">
        <v>81</v>
      </c>
      <c r="B212" s="329" t="s">
        <v>78</v>
      </c>
      <c r="C212" s="329" t="s">
        <v>78</v>
      </c>
      <c r="D212" s="329" t="s">
        <v>78</v>
      </c>
      <c r="E212" s="329" t="s">
        <v>78</v>
      </c>
      <c r="F212" s="344" t="s">
        <v>78</v>
      </c>
      <c r="G212" s="334" t="s">
        <v>78</v>
      </c>
      <c r="H212" s="329" t="s">
        <v>78</v>
      </c>
      <c r="I212" s="344" t="s">
        <v>78</v>
      </c>
      <c r="J212" s="334" t="s">
        <v>78</v>
      </c>
      <c r="K212" s="329" t="s">
        <v>78</v>
      </c>
      <c r="L212" s="69">
        <v>65896</v>
      </c>
      <c r="M212" s="52">
        <v>65896</v>
      </c>
      <c r="N212" s="60" t="s">
        <v>78</v>
      </c>
      <c r="O212" s="81">
        <v>0</v>
      </c>
      <c r="P212" s="69">
        <f t="shared" si="259"/>
        <v>-65896</v>
      </c>
      <c r="Q212" s="58">
        <f>P212/L212</f>
        <v>-1</v>
      </c>
      <c r="R212" s="52">
        <v>0</v>
      </c>
      <c r="S212" s="52">
        <f t="shared" si="272"/>
        <v>0</v>
      </c>
      <c r="T212" s="60" t="s">
        <v>78</v>
      </c>
      <c r="U212" s="52">
        <v>0</v>
      </c>
      <c r="V212" s="52">
        <f t="shared" si="260"/>
        <v>0</v>
      </c>
      <c r="W212" s="60" t="s">
        <v>78</v>
      </c>
      <c r="X212" s="166"/>
      <c r="Y212" s="52"/>
      <c r="Z212" s="95"/>
      <c r="AA212" s="202"/>
      <c r="AB212" s="172"/>
      <c r="AC212" s="100"/>
      <c r="AF212" s="52"/>
      <c r="AG212" s="52">
        <f t="shared" si="248"/>
        <v>0</v>
      </c>
      <c r="AH212" s="58" t="e">
        <f t="shared" si="249"/>
        <v>#DIV/0!</v>
      </c>
      <c r="AL212" s="136"/>
      <c r="AM212" s="258">
        <f t="shared" si="250"/>
        <v>0</v>
      </c>
      <c r="AR212" s="50"/>
      <c r="AS212" s="52">
        <f t="shared" si="261"/>
        <v>0</v>
      </c>
      <c r="AT212" s="65">
        <f t="shared" si="262"/>
        <v>0</v>
      </c>
      <c r="AU212" s="51" t="e">
        <f t="shared" si="263"/>
        <v>#DIV/0!</v>
      </c>
      <c r="AV212" s="65">
        <f t="shared" si="251"/>
        <v>0</v>
      </c>
      <c r="AW212" s="51" t="e">
        <f t="shared" si="252"/>
        <v>#DIV/0!</v>
      </c>
      <c r="AX212" s="69"/>
      <c r="AY212" s="52">
        <f t="shared" si="269"/>
        <v>0</v>
      </c>
      <c r="AZ212" s="58" t="e">
        <f t="shared" si="270"/>
        <v>#DIV/0!</v>
      </c>
      <c r="BA212" s="58"/>
      <c r="BB212" s="58"/>
      <c r="BC212" s="624">
        <f t="shared" si="264"/>
        <v>0</v>
      </c>
      <c r="BD212" s="31"/>
      <c r="BE212" s="69">
        <v>0</v>
      </c>
      <c r="BF212" s="52">
        <f t="shared" si="253"/>
        <v>0</v>
      </c>
      <c r="BG212" s="58" t="e">
        <f t="shared" si="254"/>
        <v>#DIV/0!</v>
      </c>
      <c r="BH212" s="65"/>
      <c r="BI212" s="65"/>
      <c r="BJ212" s="65"/>
      <c r="BK212" s="65"/>
      <c r="BL212" s="39">
        <f t="shared" si="271"/>
        <v>0</v>
      </c>
      <c r="BM212" s="39">
        <f t="shared" si="255"/>
        <v>0</v>
      </c>
      <c r="BN212" s="39">
        <v>0</v>
      </c>
      <c r="BO212" s="39">
        <f t="shared" si="266"/>
        <v>0</v>
      </c>
      <c r="BP212" s="51" t="e">
        <f t="shared" si="256"/>
        <v>#DIV/0!</v>
      </c>
      <c r="BQ212" s="99" t="e">
        <f t="shared" si="267"/>
        <v>#DIV/0!</v>
      </c>
      <c r="BR212" s="40"/>
      <c r="BV212" s="282">
        <f t="shared" si="268"/>
        <v>0</v>
      </c>
      <c r="BW212" s="39">
        <f t="shared" si="257"/>
        <v>0</v>
      </c>
      <c r="BX212" s="51" t="e">
        <f t="shared" si="258"/>
        <v>#DIV/0!</v>
      </c>
    </row>
    <row r="213" spans="1:76" s="63" customFormat="1" ht="18" customHeight="1">
      <c r="A213" s="53" t="s">
        <v>88</v>
      </c>
      <c r="B213" s="329" t="s">
        <v>78</v>
      </c>
      <c r="C213" s="329" t="s">
        <v>78</v>
      </c>
      <c r="D213" s="329" t="s">
        <v>78</v>
      </c>
      <c r="E213" s="329" t="s">
        <v>78</v>
      </c>
      <c r="F213" s="329" t="s">
        <v>78</v>
      </c>
      <c r="G213" s="334" t="s">
        <v>78</v>
      </c>
      <c r="H213" s="329" t="s">
        <v>78</v>
      </c>
      <c r="I213" s="329" t="s">
        <v>78</v>
      </c>
      <c r="J213" s="334" t="s">
        <v>78</v>
      </c>
      <c r="K213" s="329" t="s">
        <v>78</v>
      </c>
      <c r="L213" s="69">
        <v>0</v>
      </c>
      <c r="M213" s="52">
        <v>0</v>
      </c>
      <c r="N213" s="60" t="s">
        <v>78</v>
      </c>
      <c r="O213" s="81">
        <v>0</v>
      </c>
      <c r="P213" s="69">
        <f t="shared" si="259"/>
        <v>0</v>
      </c>
      <c r="Q213" s="70" t="s">
        <v>78</v>
      </c>
      <c r="R213" s="52">
        <v>138000</v>
      </c>
      <c r="S213" s="52">
        <f t="shared" si="272"/>
        <v>138000</v>
      </c>
      <c r="T213" s="70" t="s">
        <v>78</v>
      </c>
      <c r="U213" s="52">
        <v>4700</v>
      </c>
      <c r="V213" s="69">
        <f t="shared" si="260"/>
        <v>-133300</v>
      </c>
      <c r="W213" s="72">
        <f>V213/R213</f>
        <v>-0.96594202898550729</v>
      </c>
      <c r="X213" s="166">
        <v>110907</v>
      </c>
      <c r="Y213" s="52">
        <f>X213-U213</f>
        <v>106207</v>
      </c>
      <c r="Z213" s="95">
        <f>Y213/U213</f>
        <v>22.597234042553193</v>
      </c>
      <c r="AA213" s="205">
        <v>81100</v>
      </c>
      <c r="AB213" s="172">
        <f>AA212-X213</f>
        <v>-110907</v>
      </c>
      <c r="AC213" s="100">
        <f>AB213/X213</f>
        <v>-1</v>
      </c>
      <c r="AD213" s="80">
        <v>90700</v>
      </c>
      <c r="AE213" s="80"/>
      <c r="AF213" s="52">
        <v>90700</v>
      </c>
      <c r="AG213" s="52">
        <f t="shared" si="248"/>
        <v>9600</v>
      </c>
      <c r="AH213" s="58">
        <f t="shared" si="249"/>
        <v>0.11837237977805179</v>
      </c>
      <c r="AI213" s="63">
        <v>90700</v>
      </c>
      <c r="AJ213" s="63">
        <v>90700</v>
      </c>
      <c r="AK213" s="63">
        <v>96700</v>
      </c>
      <c r="AL213" s="136"/>
      <c r="AM213" s="258">
        <f t="shared" si="250"/>
        <v>96700</v>
      </c>
      <c r="AN213" s="63">
        <v>98700</v>
      </c>
      <c r="AO213" s="63">
        <v>98700</v>
      </c>
      <c r="AR213" s="50"/>
      <c r="AS213" s="52">
        <f t="shared" si="261"/>
        <v>94200</v>
      </c>
      <c r="AT213" s="65">
        <f t="shared" si="262"/>
        <v>3500</v>
      </c>
      <c r="AU213" s="51">
        <f t="shared" si="263"/>
        <v>3.8588754134509372E-2</v>
      </c>
      <c r="AV213" s="65">
        <f t="shared" si="251"/>
        <v>3500</v>
      </c>
      <c r="AW213" s="51">
        <f t="shared" si="252"/>
        <v>3.8588754134509372E-2</v>
      </c>
      <c r="AX213" s="69">
        <v>98700</v>
      </c>
      <c r="AY213" s="52">
        <f t="shared" si="269"/>
        <v>8000</v>
      </c>
      <c r="AZ213" s="58">
        <f t="shared" si="270"/>
        <v>8.8202866593164272E-2</v>
      </c>
      <c r="BA213" s="624">
        <v>98700</v>
      </c>
      <c r="BB213" s="624">
        <v>94200</v>
      </c>
      <c r="BC213" s="624">
        <f t="shared" si="264"/>
        <v>4500</v>
      </c>
      <c r="BD213" s="31">
        <f t="shared" si="265"/>
        <v>4.5592705167173252E-2</v>
      </c>
      <c r="BE213" s="69">
        <v>109800</v>
      </c>
      <c r="BF213" s="52">
        <f t="shared" si="253"/>
        <v>11100</v>
      </c>
      <c r="BG213" s="58">
        <f t="shared" si="254"/>
        <v>0.11246200607902736</v>
      </c>
      <c r="BH213" s="65"/>
      <c r="BI213" s="65"/>
      <c r="BJ213" s="65"/>
      <c r="BK213" s="65"/>
      <c r="BL213" s="39">
        <f t="shared" si="271"/>
        <v>109800</v>
      </c>
      <c r="BM213" s="39">
        <f t="shared" si="255"/>
        <v>15600</v>
      </c>
      <c r="BN213" s="39">
        <v>107800</v>
      </c>
      <c r="BO213" s="39">
        <f t="shared" si="266"/>
        <v>-2000</v>
      </c>
      <c r="BP213" s="51">
        <f t="shared" si="256"/>
        <v>0.16560509554140126</v>
      </c>
      <c r="BQ213" s="99">
        <f t="shared" si="267"/>
        <v>-1.8214936247723135E-2</v>
      </c>
      <c r="BR213" s="40"/>
      <c r="BV213" s="282">
        <f t="shared" si="268"/>
        <v>107800</v>
      </c>
      <c r="BW213" s="39">
        <f t="shared" si="257"/>
        <v>-2000</v>
      </c>
      <c r="BX213" s="51">
        <f t="shared" si="258"/>
        <v>-1.8214936247723135E-2</v>
      </c>
    </row>
    <row r="214" spans="1:76" s="63" customFormat="1" ht="18" customHeight="1">
      <c r="A214" s="245" t="s">
        <v>105</v>
      </c>
      <c r="B214" s="329"/>
      <c r="C214" s="329"/>
      <c r="D214" s="327">
        <f t="shared" si="233"/>
        <v>0</v>
      </c>
      <c r="E214" s="329" t="s">
        <v>78</v>
      </c>
      <c r="F214" s="331"/>
      <c r="G214" s="10">
        <f t="shared" si="234"/>
        <v>0</v>
      </c>
      <c r="H214" s="329" t="s">
        <v>78</v>
      </c>
      <c r="I214" s="331"/>
      <c r="J214" s="10">
        <f t="shared" si="235"/>
        <v>0</v>
      </c>
      <c r="K214" s="329" t="s">
        <v>78</v>
      </c>
      <c r="L214" s="69">
        <v>0</v>
      </c>
      <c r="M214" s="52">
        <v>0</v>
      </c>
      <c r="N214" s="60" t="s">
        <v>78</v>
      </c>
      <c r="O214" s="81">
        <v>0</v>
      </c>
      <c r="P214" s="69">
        <f t="shared" si="259"/>
        <v>0</v>
      </c>
      <c r="Q214" s="60" t="s">
        <v>78</v>
      </c>
      <c r="R214" s="52">
        <v>0</v>
      </c>
      <c r="S214" s="52">
        <f t="shared" si="272"/>
        <v>0</v>
      </c>
      <c r="T214" s="60" t="s">
        <v>78</v>
      </c>
      <c r="U214" s="52">
        <v>0</v>
      </c>
      <c r="V214" s="69">
        <f t="shared" si="260"/>
        <v>0</v>
      </c>
      <c r="W214" s="60" t="s">
        <v>78</v>
      </c>
      <c r="X214" s="166">
        <v>2512</v>
      </c>
      <c r="Y214" s="52">
        <f>X214-U214</f>
        <v>2512</v>
      </c>
      <c r="Z214" s="60" t="s">
        <v>78</v>
      </c>
      <c r="AA214" s="202">
        <v>6000</v>
      </c>
      <c r="AB214" s="172">
        <f>AA213-X214</f>
        <v>78588</v>
      </c>
      <c r="AC214" s="100">
        <f>AB214/X214</f>
        <v>31.285031847133759</v>
      </c>
      <c r="AD214" s="245">
        <v>0</v>
      </c>
      <c r="AE214" s="245">
        <v>4861</v>
      </c>
      <c r="AF214" s="52">
        <v>2149</v>
      </c>
      <c r="AG214" s="52">
        <f t="shared" si="248"/>
        <v>-3851</v>
      </c>
      <c r="AH214" s="58">
        <f t="shared" si="249"/>
        <v>-0.64183333333333337</v>
      </c>
      <c r="AI214" s="63">
        <v>0</v>
      </c>
      <c r="AJ214" s="80">
        <v>4861</v>
      </c>
      <c r="AK214" s="63">
        <v>0</v>
      </c>
      <c r="AL214" s="136"/>
      <c r="AM214" s="258">
        <f t="shared" si="250"/>
        <v>0</v>
      </c>
      <c r="AN214" s="63">
        <v>0</v>
      </c>
      <c r="AO214" s="63">
        <v>7574</v>
      </c>
      <c r="AR214" s="50"/>
      <c r="AS214" s="52">
        <f t="shared" si="261"/>
        <v>4782.4245799999999</v>
      </c>
      <c r="AT214" s="65">
        <f t="shared" si="262"/>
        <v>2633.4245799999999</v>
      </c>
      <c r="AU214" s="51">
        <f t="shared" si="263"/>
        <v>1.2254186040018613</v>
      </c>
      <c r="AV214" s="65">
        <f t="shared" si="251"/>
        <v>2633.4245799999999</v>
      </c>
      <c r="AW214" s="51">
        <f t="shared" si="252"/>
        <v>1.2254186040018613</v>
      </c>
      <c r="AX214" s="69">
        <v>7574</v>
      </c>
      <c r="AY214" s="52">
        <f t="shared" si="269"/>
        <v>5425</v>
      </c>
      <c r="AZ214" s="58">
        <f t="shared" si="270"/>
        <v>2.5244299674267099</v>
      </c>
      <c r="BA214" s="624">
        <v>7574.2250000000004</v>
      </c>
      <c r="BB214" s="624">
        <v>4782.4245799999999</v>
      </c>
      <c r="BC214" s="624">
        <f t="shared" si="264"/>
        <v>2791.8004200000005</v>
      </c>
      <c r="BD214" s="31">
        <f t="shared" si="265"/>
        <v>0.36859222164643912</v>
      </c>
      <c r="BE214" s="69">
        <v>6691</v>
      </c>
      <c r="BF214" s="52">
        <f t="shared" si="253"/>
        <v>-883</v>
      </c>
      <c r="BG214" s="58">
        <f t="shared" si="254"/>
        <v>-0.11658304726696593</v>
      </c>
      <c r="BH214" s="65"/>
      <c r="BI214" s="65"/>
      <c r="BJ214" s="65"/>
      <c r="BK214" s="65"/>
      <c r="BL214" s="39">
        <f t="shared" si="271"/>
        <v>6691</v>
      </c>
      <c r="BM214" s="39">
        <f t="shared" si="255"/>
        <v>1908.5754200000001</v>
      </c>
      <c r="BN214" s="39">
        <v>8222</v>
      </c>
      <c r="BO214" s="39">
        <f t="shared" si="266"/>
        <v>1531</v>
      </c>
      <c r="BP214" s="51">
        <f t="shared" si="256"/>
        <v>0.3990811330264617</v>
      </c>
      <c r="BQ214" s="99">
        <f t="shared" si="267"/>
        <v>0.22881482588551785</v>
      </c>
      <c r="BR214" s="40"/>
      <c r="BV214" s="282">
        <f t="shared" si="268"/>
        <v>8222</v>
      </c>
      <c r="BW214" s="39">
        <f t="shared" si="257"/>
        <v>1531</v>
      </c>
      <c r="BX214" s="51">
        <f t="shared" si="258"/>
        <v>0.22881482588551785</v>
      </c>
    </row>
    <row r="215" spans="1:76" s="63" customFormat="1" ht="18" customHeight="1">
      <c r="A215" s="53" t="s">
        <v>125</v>
      </c>
      <c r="B215" s="245"/>
      <c r="C215" s="245"/>
      <c r="D215" s="327">
        <f t="shared" si="233"/>
        <v>0</v>
      </c>
      <c r="E215" s="329" t="s">
        <v>78</v>
      </c>
      <c r="F215" s="245"/>
      <c r="G215" s="10">
        <f t="shared" si="234"/>
        <v>0</v>
      </c>
      <c r="H215" s="329" t="s">
        <v>78</v>
      </c>
      <c r="I215" s="245"/>
      <c r="J215" s="10">
        <f t="shared" si="235"/>
        <v>0</v>
      </c>
      <c r="K215" s="329" t="s">
        <v>78</v>
      </c>
      <c r="L215" s="69"/>
      <c r="M215" s="52"/>
      <c r="N215" s="60"/>
      <c r="O215" s="81"/>
      <c r="P215" s="69"/>
      <c r="Q215" s="60"/>
      <c r="R215" s="52"/>
      <c r="S215" s="52"/>
      <c r="T215" s="60"/>
      <c r="U215" s="52">
        <v>0</v>
      </c>
      <c r="V215" s="69"/>
      <c r="W215" s="60"/>
      <c r="X215" s="166">
        <v>46397</v>
      </c>
      <c r="Y215" s="52">
        <f>X215-U215</f>
        <v>46397</v>
      </c>
      <c r="Z215" s="60" t="s">
        <v>78</v>
      </c>
      <c r="AA215" s="202">
        <v>50044</v>
      </c>
      <c r="AB215" s="172">
        <f>AA214-X215</f>
        <v>-40397</v>
      </c>
      <c r="AC215" s="100">
        <f>AB215/X215</f>
        <v>-0.87068129404918426</v>
      </c>
      <c r="AD215" s="246">
        <v>0</v>
      </c>
      <c r="AE215" s="246">
        <v>32081</v>
      </c>
      <c r="AF215" s="52">
        <v>32081</v>
      </c>
      <c r="AG215" s="52">
        <f t="shared" si="248"/>
        <v>-17963</v>
      </c>
      <c r="AH215" s="58">
        <f t="shared" si="249"/>
        <v>-0.35894412916633361</v>
      </c>
      <c r="AI215" s="255">
        <v>0</v>
      </c>
      <c r="AJ215" s="255">
        <v>32081</v>
      </c>
      <c r="AK215" s="255">
        <v>0</v>
      </c>
      <c r="AL215" s="136"/>
      <c r="AM215" s="258">
        <f t="shared" si="250"/>
        <v>0</v>
      </c>
      <c r="AN215" s="245">
        <v>0</v>
      </c>
      <c r="AO215" s="245">
        <v>29582</v>
      </c>
      <c r="AR215" s="50"/>
      <c r="AS215" s="52">
        <f t="shared" si="261"/>
        <v>30336</v>
      </c>
      <c r="AT215" s="65">
        <f t="shared" si="262"/>
        <v>-1745</v>
      </c>
      <c r="AU215" s="51">
        <f t="shared" si="263"/>
        <v>-5.4393566285340235E-2</v>
      </c>
      <c r="AV215" s="65">
        <f t="shared" si="251"/>
        <v>-1745</v>
      </c>
      <c r="AW215" s="51">
        <f t="shared" si="252"/>
        <v>-5.4393566285340235E-2</v>
      </c>
      <c r="AX215" s="69">
        <f>29582</f>
        <v>29582</v>
      </c>
      <c r="AY215" s="52">
        <f t="shared" si="269"/>
        <v>-2499</v>
      </c>
      <c r="AZ215" s="58">
        <f t="shared" si="270"/>
        <v>-7.7896574296312457E-2</v>
      </c>
      <c r="BA215" s="624">
        <v>30336</v>
      </c>
      <c r="BB215" s="624">
        <v>30336</v>
      </c>
      <c r="BC215" s="624">
        <f t="shared" si="264"/>
        <v>0</v>
      </c>
      <c r="BD215" s="31">
        <f t="shared" si="265"/>
        <v>0</v>
      </c>
      <c r="BE215" s="69">
        <v>45545</v>
      </c>
      <c r="BF215" s="52">
        <f t="shared" si="253"/>
        <v>15963</v>
      </c>
      <c r="BG215" s="58">
        <f t="shared" si="254"/>
        <v>0.53961868703941585</v>
      </c>
      <c r="BH215" s="65"/>
      <c r="BI215" s="65"/>
      <c r="BJ215" s="65"/>
      <c r="BK215" s="65"/>
      <c r="BL215" s="39">
        <f t="shared" si="271"/>
        <v>45545</v>
      </c>
      <c r="BM215" s="39">
        <f t="shared" si="255"/>
        <v>15209</v>
      </c>
      <c r="BN215" s="39">
        <v>47020</v>
      </c>
      <c r="BO215" s="39">
        <f t="shared" si="266"/>
        <v>1475</v>
      </c>
      <c r="BP215" s="51">
        <f t="shared" si="256"/>
        <v>0.50135152953586493</v>
      </c>
      <c r="BQ215" s="99">
        <f t="shared" si="267"/>
        <v>3.2385552750027448E-2</v>
      </c>
      <c r="BR215" s="40"/>
      <c r="BV215" s="282">
        <f t="shared" si="268"/>
        <v>47020</v>
      </c>
      <c r="BW215" s="39">
        <f t="shared" si="257"/>
        <v>1475</v>
      </c>
      <c r="BX215" s="51">
        <f t="shared" si="258"/>
        <v>3.2385552750027448E-2</v>
      </c>
    </row>
    <row r="216" spans="1:76" s="63" customFormat="1" ht="18" customHeight="1">
      <c r="A216" s="63" t="s">
        <v>148</v>
      </c>
      <c r="B216" s="329" t="s">
        <v>78</v>
      </c>
      <c r="C216" s="329" t="s">
        <v>78</v>
      </c>
      <c r="D216" s="329" t="s">
        <v>78</v>
      </c>
      <c r="E216" s="329" t="s">
        <v>78</v>
      </c>
      <c r="F216" s="329">
        <v>0</v>
      </c>
      <c r="G216" s="344" t="s">
        <v>78</v>
      </c>
      <c r="H216" s="329" t="s">
        <v>78</v>
      </c>
      <c r="I216" s="329">
        <v>10624</v>
      </c>
      <c r="J216" s="10">
        <f t="shared" si="235"/>
        <v>10624</v>
      </c>
      <c r="K216" s="329" t="s">
        <v>78</v>
      </c>
      <c r="L216" s="69"/>
      <c r="M216" s="52"/>
      <c r="N216" s="60"/>
      <c r="O216" s="81"/>
      <c r="P216" s="69"/>
      <c r="Q216" s="60"/>
      <c r="R216" s="52"/>
      <c r="S216" s="52"/>
      <c r="T216" s="60"/>
      <c r="U216" s="52"/>
      <c r="V216" s="69"/>
      <c r="W216" s="60"/>
      <c r="X216" s="166"/>
      <c r="Y216" s="52"/>
      <c r="Z216" s="95"/>
      <c r="AA216" s="202"/>
      <c r="AB216" s="172"/>
      <c r="AC216" s="100"/>
      <c r="AD216" s="63">
        <v>0</v>
      </c>
      <c r="AF216" s="52">
        <v>0</v>
      </c>
      <c r="AG216" s="52">
        <f t="shared" si="248"/>
        <v>0</v>
      </c>
      <c r="AH216" s="58" t="e">
        <f t="shared" si="249"/>
        <v>#DIV/0!</v>
      </c>
      <c r="AI216" s="63">
        <v>0</v>
      </c>
      <c r="AJ216" s="63">
        <v>0</v>
      </c>
      <c r="AK216" s="255">
        <v>0</v>
      </c>
      <c r="AL216" s="136"/>
      <c r="AM216" s="258">
        <f t="shared" si="250"/>
        <v>0</v>
      </c>
      <c r="AN216" s="260">
        <v>0</v>
      </c>
      <c r="AO216" s="260">
        <v>0</v>
      </c>
      <c r="AR216" s="50"/>
      <c r="AS216" s="52">
        <f t="shared" si="261"/>
        <v>0</v>
      </c>
      <c r="AT216" s="65">
        <f t="shared" si="262"/>
        <v>0</v>
      </c>
      <c r="AU216" s="51" t="e">
        <f t="shared" si="263"/>
        <v>#DIV/0!</v>
      </c>
      <c r="AV216" s="65">
        <f t="shared" si="251"/>
        <v>0</v>
      </c>
      <c r="AW216" s="51" t="e">
        <f t="shared" si="252"/>
        <v>#DIV/0!</v>
      </c>
      <c r="AX216" s="69">
        <v>0</v>
      </c>
      <c r="AY216" s="52">
        <f t="shared" si="269"/>
        <v>0</v>
      </c>
      <c r="AZ216" s="58" t="e">
        <f t="shared" si="270"/>
        <v>#DIV/0!</v>
      </c>
      <c r="BA216" s="58"/>
      <c r="BB216" s="58"/>
      <c r="BC216" s="624">
        <f t="shared" si="264"/>
        <v>0</v>
      </c>
      <c r="BD216" s="31"/>
      <c r="BE216" s="69">
        <v>0</v>
      </c>
      <c r="BF216" s="52">
        <f t="shared" si="253"/>
        <v>0</v>
      </c>
      <c r="BG216" s="58" t="e">
        <f t="shared" si="254"/>
        <v>#DIV/0!</v>
      </c>
      <c r="BH216" s="65"/>
      <c r="BI216" s="65"/>
      <c r="BJ216" s="65"/>
      <c r="BK216" s="65"/>
      <c r="BL216" s="39">
        <f t="shared" si="271"/>
        <v>0</v>
      </c>
      <c r="BM216" s="39">
        <f t="shared" si="255"/>
        <v>0</v>
      </c>
      <c r="BN216" s="39">
        <v>0</v>
      </c>
      <c r="BO216" s="39">
        <f t="shared" si="266"/>
        <v>0</v>
      </c>
      <c r="BP216" s="51" t="e">
        <f t="shared" si="256"/>
        <v>#DIV/0!</v>
      </c>
      <c r="BQ216" s="99" t="e">
        <f t="shared" si="267"/>
        <v>#DIV/0!</v>
      </c>
      <c r="BR216" s="40"/>
      <c r="BV216" s="282">
        <f t="shared" si="268"/>
        <v>0</v>
      </c>
      <c r="BW216" s="39">
        <f t="shared" si="257"/>
        <v>0</v>
      </c>
      <c r="BX216" s="51" t="e">
        <f t="shared" si="258"/>
        <v>#DIV/0!</v>
      </c>
    </row>
    <row r="217" spans="1:76" s="63" customFormat="1" ht="18" customHeight="1">
      <c r="A217" s="63" t="s">
        <v>152</v>
      </c>
      <c r="B217" s="329" t="s">
        <v>78</v>
      </c>
      <c r="C217" s="329" t="s">
        <v>78</v>
      </c>
      <c r="D217" s="329" t="s">
        <v>78</v>
      </c>
      <c r="E217" s="329" t="s">
        <v>78</v>
      </c>
      <c r="F217" s="344" t="s">
        <v>78</v>
      </c>
      <c r="G217" s="344" t="s">
        <v>78</v>
      </c>
      <c r="H217" s="329" t="s">
        <v>78</v>
      </c>
      <c r="I217" s="344" t="s">
        <v>78</v>
      </c>
      <c r="J217" s="344" t="s">
        <v>78</v>
      </c>
      <c r="K217" s="329" t="s">
        <v>78</v>
      </c>
      <c r="L217" s="69"/>
      <c r="M217" s="52"/>
      <c r="N217" s="60"/>
      <c r="O217" s="81"/>
      <c r="P217" s="69"/>
      <c r="Q217" s="60"/>
      <c r="R217" s="52"/>
      <c r="S217" s="52"/>
      <c r="T217" s="60"/>
      <c r="U217" s="52"/>
      <c r="V217" s="69"/>
      <c r="W217" s="60"/>
      <c r="X217" s="166"/>
      <c r="Y217" s="52"/>
      <c r="Z217" s="95"/>
      <c r="AA217" s="202"/>
      <c r="AB217" s="172"/>
      <c r="AC217" s="100"/>
      <c r="AD217" s="246">
        <v>0</v>
      </c>
      <c r="AE217" s="246">
        <v>45992</v>
      </c>
      <c r="AF217" s="52">
        <v>34140</v>
      </c>
      <c r="AG217" s="52">
        <f t="shared" si="248"/>
        <v>34140</v>
      </c>
      <c r="AH217" s="58" t="e">
        <f t="shared" si="249"/>
        <v>#DIV/0!</v>
      </c>
      <c r="AI217" s="255">
        <v>45992</v>
      </c>
      <c r="AJ217" s="255">
        <v>45992</v>
      </c>
      <c r="AK217" s="260">
        <v>0</v>
      </c>
      <c r="AL217" s="136"/>
      <c r="AM217" s="258">
        <f t="shared" si="250"/>
        <v>0</v>
      </c>
      <c r="AN217" s="260">
        <v>0</v>
      </c>
      <c r="AO217" s="245">
        <v>67904</v>
      </c>
      <c r="AR217" s="50"/>
      <c r="AS217" s="52">
        <f t="shared" si="261"/>
        <v>58253.516000000003</v>
      </c>
      <c r="AT217" s="65">
        <f t="shared" si="262"/>
        <v>24113.516000000003</v>
      </c>
      <c r="AU217" s="51">
        <f t="shared" si="263"/>
        <v>0.70631271236086712</v>
      </c>
      <c r="AV217" s="65">
        <f t="shared" si="251"/>
        <v>24113.516000000003</v>
      </c>
      <c r="AW217" s="51">
        <f t="shared" si="252"/>
        <v>0.70631271236086712</v>
      </c>
      <c r="AX217" s="69">
        <f>61304</f>
        <v>61304</v>
      </c>
      <c r="AY217" s="52">
        <f t="shared" si="269"/>
        <v>27164</v>
      </c>
      <c r="AZ217" s="58">
        <f t="shared" si="270"/>
        <v>0.79566490919742239</v>
      </c>
      <c r="BA217" s="625">
        <v>58253.516000000003</v>
      </c>
      <c r="BB217" s="625">
        <v>58253.516000000003</v>
      </c>
      <c r="BC217" s="624">
        <f t="shared" si="264"/>
        <v>0</v>
      </c>
      <c r="BD217" s="31">
        <f t="shared" si="265"/>
        <v>0</v>
      </c>
      <c r="BE217" s="69">
        <v>65466</v>
      </c>
      <c r="BF217" s="52">
        <f t="shared" si="253"/>
        <v>4162</v>
      </c>
      <c r="BG217" s="58">
        <f t="shared" si="254"/>
        <v>6.7891165339945186E-2</v>
      </c>
      <c r="BH217" s="65"/>
      <c r="BI217" s="65"/>
      <c r="BJ217" s="65"/>
      <c r="BK217" s="65"/>
      <c r="BL217" s="39">
        <f t="shared" si="271"/>
        <v>65466</v>
      </c>
      <c r="BM217" s="39">
        <f t="shared" si="255"/>
        <v>7212.4839999999967</v>
      </c>
      <c r="BN217" s="39">
        <v>71461</v>
      </c>
      <c r="BO217" s="39">
        <f t="shared" si="266"/>
        <v>5995</v>
      </c>
      <c r="BP217" s="51">
        <f t="shared" si="256"/>
        <v>0.12381199445540757</v>
      </c>
      <c r="BQ217" s="99">
        <f t="shared" si="267"/>
        <v>9.1574252283628144E-2</v>
      </c>
      <c r="BR217" s="40"/>
      <c r="BV217" s="282">
        <f t="shared" si="268"/>
        <v>71461</v>
      </c>
      <c r="BW217" s="39">
        <f t="shared" si="257"/>
        <v>5995</v>
      </c>
      <c r="BX217" s="51">
        <f t="shared" si="258"/>
        <v>9.1574252283628144E-2</v>
      </c>
    </row>
    <row r="218" spans="1:76" s="63" customFormat="1" ht="18" customHeight="1">
      <c r="A218" s="63" t="s">
        <v>150</v>
      </c>
      <c r="B218" s="329" t="s">
        <v>78</v>
      </c>
      <c r="C218" s="329" t="s">
        <v>78</v>
      </c>
      <c r="D218" s="329" t="s">
        <v>78</v>
      </c>
      <c r="E218" s="329" t="s">
        <v>78</v>
      </c>
      <c r="F218" s="344" t="s">
        <v>78</v>
      </c>
      <c r="G218" s="344" t="s">
        <v>78</v>
      </c>
      <c r="H218" s="329" t="s">
        <v>78</v>
      </c>
      <c r="I218" s="344" t="s">
        <v>78</v>
      </c>
      <c r="J218" s="344" t="s">
        <v>78</v>
      </c>
      <c r="K218" s="329" t="s">
        <v>78</v>
      </c>
      <c r="L218" s="69"/>
      <c r="M218" s="52"/>
      <c r="N218" s="60"/>
      <c r="O218" s="81"/>
      <c r="P218" s="69"/>
      <c r="Q218" s="60"/>
      <c r="R218" s="52"/>
      <c r="S218" s="52"/>
      <c r="T218" s="60"/>
      <c r="U218" s="52"/>
      <c r="V218" s="69"/>
      <c r="W218" s="60"/>
      <c r="X218" s="166"/>
      <c r="Y218" s="52"/>
      <c r="Z218" s="95"/>
      <c r="AA218" s="207"/>
      <c r="AB218" s="172"/>
      <c r="AC218" s="100"/>
      <c r="AD218" s="245">
        <v>0</v>
      </c>
      <c r="AE218" s="245">
        <v>29762</v>
      </c>
      <c r="AF218" s="52">
        <v>24889</v>
      </c>
      <c r="AG218" s="52">
        <f t="shared" si="248"/>
        <v>24889</v>
      </c>
      <c r="AH218" s="58" t="e">
        <f t="shared" si="249"/>
        <v>#DIV/0!</v>
      </c>
      <c r="AI218" s="260">
        <v>0</v>
      </c>
      <c r="AJ218" s="260">
        <v>29762</v>
      </c>
      <c r="AL218" s="136"/>
      <c r="AM218" s="258">
        <f t="shared" si="250"/>
        <v>0</v>
      </c>
      <c r="AN218" s="260">
        <v>0</v>
      </c>
      <c r="AO218" s="245">
        <v>37678</v>
      </c>
      <c r="AR218" s="50"/>
      <c r="AS218" s="52">
        <f t="shared" si="261"/>
        <v>30001.348720000002</v>
      </c>
      <c r="AT218" s="65">
        <f t="shared" si="262"/>
        <v>5112.3487200000018</v>
      </c>
      <c r="AU218" s="51">
        <f t="shared" si="263"/>
        <v>0.20540595122343211</v>
      </c>
      <c r="AV218" s="65">
        <f t="shared" si="251"/>
        <v>5112.3487200000018</v>
      </c>
      <c r="AW218" s="51">
        <f t="shared" si="252"/>
        <v>0.20540595122343211</v>
      </c>
      <c r="AX218" s="69">
        <v>37678</v>
      </c>
      <c r="AY218" s="52">
        <f t="shared" si="269"/>
        <v>12789</v>
      </c>
      <c r="AZ218" s="58">
        <f t="shared" si="270"/>
        <v>0.51384145606492826</v>
      </c>
      <c r="BA218" s="624">
        <v>31273</v>
      </c>
      <c r="BB218" s="624">
        <v>30001.348720000002</v>
      </c>
      <c r="BC218" s="624">
        <f t="shared" si="264"/>
        <v>1271.6512799999982</v>
      </c>
      <c r="BD218" s="31">
        <f t="shared" si="265"/>
        <v>4.0662913055990735E-2</v>
      </c>
      <c r="BE218" s="69">
        <v>37294</v>
      </c>
      <c r="BF218" s="52">
        <f t="shared" si="253"/>
        <v>-384</v>
      </c>
      <c r="BG218" s="58">
        <f t="shared" si="254"/>
        <v>-1.0191623759222888E-2</v>
      </c>
      <c r="BH218" s="65"/>
      <c r="BI218" s="65"/>
      <c r="BJ218" s="65"/>
      <c r="BK218" s="65"/>
      <c r="BL218" s="39">
        <f t="shared" si="271"/>
        <v>37294</v>
      </c>
      <c r="BM218" s="39">
        <f t="shared" si="255"/>
        <v>7292.6512799999982</v>
      </c>
      <c r="BN218" s="39">
        <v>36472</v>
      </c>
      <c r="BO218" s="39">
        <f t="shared" si="266"/>
        <v>-822</v>
      </c>
      <c r="BP218" s="51">
        <f t="shared" si="256"/>
        <v>0.24307744788614949</v>
      </c>
      <c r="BQ218" s="99">
        <f t="shared" si="267"/>
        <v>-2.2041078993940044E-2</v>
      </c>
      <c r="BR218" s="40"/>
      <c r="BV218" s="282">
        <f t="shared" si="268"/>
        <v>36472</v>
      </c>
      <c r="BW218" s="39">
        <f t="shared" si="257"/>
        <v>-822</v>
      </c>
      <c r="BX218" s="51">
        <f t="shared" si="258"/>
        <v>-2.2041078993940044E-2</v>
      </c>
    </row>
    <row r="219" spans="1:76" s="63" customFormat="1" ht="18" customHeight="1">
      <c r="A219" s="63" t="s">
        <v>151</v>
      </c>
      <c r="B219" s="329" t="s">
        <v>78</v>
      </c>
      <c r="C219" s="329" t="s">
        <v>78</v>
      </c>
      <c r="D219" s="329" t="s">
        <v>78</v>
      </c>
      <c r="E219" s="329" t="s">
        <v>78</v>
      </c>
      <c r="F219" s="344" t="s">
        <v>78</v>
      </c>
      <c r="G219" s="344" t="s">
        <v>78</v>
      </c>
      <c r="H219" s="329" t="s">
        <v>78</v>
      </c>
      <c r="I219" s="344" t="s">
        <v>78</v>
      </c>
      <c r="J219" s="344" t="s">
        <v>78</v>
      </c>
      <c r="K219" s="329" t="s">
        <v>78</v>
      </c>
      <c r="L219" s="69"/>
      <c r="M219" s="52"/>
      <c r="N219" s="60"/>
      <c r="O219" s="81"/>
      <c r="P219" s="69"/>
      <c r="Q219" s="60"/>
      <c r="R219" s="52"/>
      <c r="S219" s="52"/>
      <c r="T219" s="60"/>
      <c r="U219" s="52"/>
      <c r="V219" s="69"/>
      <c r="W219" s="60"/>
      <c r="X219" s="166"/>
      <c r="Y219" s="52"/>
      <c r="Z219" s="95"/>
      <c r="AA219" s="205"/>
      <c r="AB219" s="172"/>
      <c r="AC219" s="100"/>
      <c r="AD219" s="246">
        <v>0</v>
      </c>
      <c r="AE219" s="246">
        <v>93054</v>
      </c>
      <c r="AF219" s="52">
        <v>93054</v>
      </c>
      <c r="AG219" s="52">
        <f t="shared" si="248"/>
        <v>93054</v>
      </c>
      <c r="AH219" s="58" t="e">
        <f t="shared" si="249"/>
        <v>#DIV/0!</v>
      </c>
      <c r="AI219" s="260">
        <v>0</v>
      </c>
      <c r="AJ219" s="260">
        <v>93054</v>
      </c>
      <c r="AL219" s="136"/>
      <c r="AM219" s="258">
        <f t="shared" si="250"/>
        <v>0</v>
      </c>
      <c r="AN219" s="260">
        <v>0</v>
      </c>
      <c r="AO219" s="63">
        <v>101696</v>
      </c>
      <c r="AR219" s="50"/>
      <c r="AS219" s="52">
        <f t="shared" si="261"/>
        <v>96844</v>
      </c>
      <c r="AT219" s="65">
        <f t="shared" si="262"/>
        <v>3790</v>
      </c>
      <c r="AU219" s="51">
        <f t="shared" si="263"/>
        <v>4.0729039052593119E-2</v>
      </c>
      <c r="AV219" s="65">
        <f t="shared" si="251"/>
        <v>3790</v>
      </c>
      <c r="AW219" s="51">
        <f t="shared" si="252"/>
        <v>4.0729039052593119E-2</v>
      </c>
      <c r="AX219" s="69">
        <f>101696</f>
        <v>101696</v>
      </c>
      <c r="AY219" s="52">
        <f t="shared" si="269"/>
        <v>8642</v>
      </c>
      <c r="AZ219" s="58">
        <f t="shared" si="270"/>
        <v>9.2870806198551384E-2</v>
      </c>
      <c r="BA219" s="624">
        <v>96844</v>
      </c>
      <c r="BB219" s="624">
        <v>96844</v>
      </c>
      <c r="BC219" s="624">
        <f t="shared" si="264"/>
        <v>0</v>
      </c>
      <c r="BD219" s="31">
        <f t="shared" si="265"/>
        <v>0</v>
      </c>
      <c r="BE219" s="69">
        <v>101718</v>
      </c>
      <c r="BF219" s="52">
        <f t="shared" si="253"/>
        <v>22</v>
      </c>
      <c r="BG219" s="58">
        <f t="shared" si="254"/>
        <v>2.1633102580239145E-4</v>
      </c>
      <c r="BH219" s="65"/>
      <c r="BI219" s="65"/>
      <c r="BJ219" s="65"/>
      <c r="BK219" s="65"/>
      <c r="BL219" s="39">
        <f t="shared" si="271"/>
        <v>101718</v>
      </c>
      <c r="BM219" s="39">
        <f t="shared" si="255"/>
        <v>4874</v>
      </c>
      <c r="BN219" s="39">
        <v>103729</v>
      </c>
      <c r="BO219" s="39">
        <f t="shared" si="266"/>
        <v>2011</v>
      </c>
      <c r="BP219" s="51">
        <f t="shared" si="256"/>
        <v>5.0328363140721158E-2</v>
      </c>
      <c r="BQ219" s="99">
        <f t="shared" si="267"/>
        <v>1.9770345464912797E-2</v>
      </c>
      <c r="BR219" s="40"/>
      <c r="BV219" s="282">
        <f t="shared" si="268"/>
        <v>103729</v>
      </c>
      <c r="BW219" s="39">
        <f t="shared" si="257"/>
        <v>2011</v>
      </c>
      <c r="BX219" s="51">
        <f t="shared" si="258"/>
        <v>1.9770345464912797E-2</v>
      </c>
    </row>
    <row r="220" spans="1:76" s="63" customFormat="1" ht="18.75" customHeight="1">
      <c r="A220" s="53" t="s">
        <v>126</v>
      </c>
      <c r="B220" s="329" t="s">
        <v>78</v>
      </c>
      <c r="C220" s="329" t="s">
        <v>78</v>
      </c>
      <c r="D220" s="329" t="s">
        <v>78</v>
      </c>
      <c r="E220" s="329" t="s">
        <v>78</v>
      </c>
      <c r="F220" s="344" t="s">
        <v>78</v>
      </c>
      <c r="G220" s="344" t="s">
        <v>78</v>
      </c>
      <c r="H220" s="329" t="s">
        <v>78</v>
      </c>
      <c r="I220" s="344" t="s">
        <v>78</v>
      </c>
      <c r="J220" s="344" t="s">
        <v>78</v>
      </c>
      <c r="K220" s="329" t="s">
        <v>78</v>
      </c>
      <c r="L220" s="69"/>
      <c r="M220" s="69"/>
      <c r="N220" s="70"/>
      <c r="O220" s="81"/>
      <c r="P220" s="69"/>
      <c r="Q220" s="70"/>
      <c r="R220" s="69"/>
      <c r="S220" s="69"/>
      <c r="T220" s="70"/>
      <c r="U220" s="69"/>
      <c r="V220" s="69"/>
      <c r="W220" s="70"/>
      <c r="X220" s="176"/>
      <c r="Y220" s="69"/>
      <c r="Z220" s="96"/>
      <c r="AA220" s="205"/>
      <c r="AB220" s="173"/>
      <c r="AC220" s="131"/>
      <c r="AF220" s="69"/>
      <c r="AG220" s="69"/>
      <c r="AH220" s="80"/>
      <c r="AL220" s="136"/>
      <c r="AM220" s="258">
        <f t="shared" si="250"/>
        <v>0</v>
      </c>
      <c r="AN220" s="63">
        <v>0</v>
      </c>
      <c r="AR220" s="50"/>
      <c r="AS220" s="52">
        <f t="shared" si="261"/>
        <v>782.93320000000006</v>
      </c>
      <c r="AT220" s="65">
        <f t="shared" si="262"/>
        <v>782.93320000000006</v>
      </c>
      <c r="AU220" s="51" t="e">
        <f t="shared" si="263"/>
        <v>#DIV/0!</v>
      </c>
      <c r="AV220" s="65">
        <f t="shared" si="251"/>
        <v>782.93320000000006</v>
      </c>
      <c r="AW220" s="51" t="e">
        <f t="shared" si="252"/>
        <v>#DIV/0!</v>
      </c>
      <c r="AX220" s="69"/>
      <c r="AY220" s="52">
        <f>AX220-AF220</f>
        <v>0</v>
      </c>
      <c r="AZ220" s="58" t="e">
        <f t="shared" si="270"/>
        <v>#DIV/0!</v>
      </c>
      <c r="BA220" s="624">
        <v>783</v>
      </c>
      <c r="BB220" s="624">
        <v>782.93320000000006</v>
      </c>
      <c r="BC220" s="624">
        <f t="shared" si="264"/>
        <v>6.6799999999943793E-2</v>
      </c>
      <c r="BD220" s="31">
        <f t="shared" si="265"/>
        <v>8.5312899105930765E-5</v>
      </c>
      <c r="BE220" s="69">
        <v>0</v>
      </c>
      <c r="BF220" s="52">
        <f t="shared" si="253"/>
        <v>0</v>
      </c>
      <c r="BG220" s="58" t="e">
        <f t="shared" si="254"/>
        <v>#DIV/0!</v>
      </c>
      <c r="BH220" s="65"/>
      <c r="BI220" s="65"/>
      <c r="BJ220" s="65"/>
      <c r="BK220" s="65"/>
      <c r="BL220" s="39">
        <f t="shared" si="271"/>
        <v>0</v>
      </c>
      <c r="BM220" s="39">
        <f t="shared" si="255"/>
        <v>-782.93320000000006</v>
      </c>
      <c r="BN220" s="543">
        <v>0</v>
      </c>
      <c r="BO220" s="39">
        <f t="shared" si="266"/>
        <v>0</v>
      </c>
      <c r="BP220" s="51">
        <f t="shared" si="256"/>
        <v>-1</v>
      </c>
      <c r="BQ220" s="99" t="e">
        <f t="shared" si="267"/>
        <v>#DIV/0!</v>
      </c>
      <c r="BR220" s="40"/>
      <c r="BV220" s="282">
        <f>BN201+BR220+BS220+BT220+BU220</f>
        <v>21477</v>
      </c>
      <c r="BW220" s="39">
        <f t="shared" si="257"/>
        <v>21477</v>
      </c>
      <c r="BX220" s="51" t="e">
        <f t="shared" si="258"/>
        <v>#DIV/0!</v>
      </c>
    </row>
    <row r="221" spans="1:76" s="63" customFormat="1" ht="18" customHeight="1" thickBot="1">
      <c r="A221" s="245" t="s">
        <v>362</v>
      </c>
      <c r="B221" s="334" t="s">
        <v>78</v>
      </c>
      <c r="C221" s="334" t="s">
        <v>78</v>
      </c>
      <c r="D221" s="334" t="s">
        <v>78</v>
      </c>
      <c r="E221" s="334" t="s">
        <v>78</v>
      </c>
      <c r="F221" s="344" t="s">
        <v>78</v>
      </c>
      <c r="G221" s="344" t="s">
        <v>78</v>
      </c>
      <c r="H221" s="344" t="s">
        <v>78</v>
      </c>
      <c r="I221" s="344" t="s">
        <v>78</v>
      </c>
      <c r="J221" s="344" t="s">
        <v>78</v>
      </c>
      <c r="K221" s="344" t="s">
        <v>78</v>
      </c>
      <c r="L221" s="344"/>
      <c r="M221" s="69"/>
      <c r="N221" s="70"/>
      <c r="O221" s="81"/>
      <c r="P221" s="69"/>
      <c r="Q221" s="70"/>
      <c r="R221" s="69"/>
      <c r="S221" s="69"/>
      <c r="T221" s="70"/>
      <c r="U221" s="69"/>
      <c r="V221" s="69"/>
      <c r="W221" s="70"/>
      <c r="X221" s="176"/>
      <c r="Y221" s="69"/>
      <c r="Z221" s="96"/>
      <c r="AA221" s="205"/>
      <c r="AB221" s="173"/>
      <c r="AC221" s="131"/>
      <c r="AF221" s="69">
        <v>0</v>
      </c>
      <c r="AG221" s="69"/>
      <c r="AH221" s="80"/>
      <c r="AL221" s="141"/>
      <c r="AM221" s="365"/>
      <c r="AS221" s="52">
        <f t="shared" si="261"/>
        <v>0</v>
      </c>
      <c r="AT221" s="65">
        <f t="shared" si="262"/>
        <v>0</v>
      </c>
      <c r="AU221" s="51" t="e">
        <f t="shared" si="263"/>
        <v>#DIV/0!</v>
      </c>
      <c r="AV221" s="80"/>
      <c r="AW221" s="313"/>
      <c r="AX221" s="69">
        <v>3000</v>
      </c>
      <c r="AY221" s="75">
        <f>AX221-AF221</f>
        <v>3000</v>
      </c>
      <c r="AZ221" s="77" t="e">
        <f t="shared" si="270"/>
        <v>#DIV/0!</v>
      </c>
      <c r="BA221" s="624">
        <v>3000</v>
      </c>
      <c r="BB221" s="624">
        <v>0</v>
      </c>
      <c r="BC221" s="624">
        <f t="shared" si="264"/>
        <v>3000</v>
      </c>
      <c r="BD221" s="31">
        <f t="shared" si="265"/>
        <v>1</v>
      </c>
      <c r="BE221" s="69">
        <v>3000</v>
      </c>
      <c r="BF221" s="75">
        <f t="shared" si="253"/>
        <v>0</v>
      </c>
      <c r="BG221" s="77">
        <f t="shared" si="254"/>
        <v>0</v>
      </c>
      <c r="BH221" s="94"/>
      <c r="BI221" s="94"/>
      <c r="BJ221" s="94"/>
      <c r="BK221" s="94"/>
      <c r="BL221" s="102">
        <f t="shared" si="271"/>
        <v>3000</v>
      </c>
      <c r="BM221" s="102">
        <f t="shared" si="255"/>
        <v>3000</v>
      </c>
      <c r="BN221" s="40">
        <v>3000</v>
      </c>
      <c r="BO221" s="39">
        <f t="shared" si="266"/>
        <v>0</v>
      </c>
      <c r="BP221" s="55" t="e">
        <f t="shared" si="256"/>
        <v>#DIV/0!</v>
      </c>
      <c r="BQ221" s="99">
        <f t="shared" si="267"/>
        <v>0</v>
      </c>
      <c r="BR221" s="40"/>
      <c r="BV221" s="282">
        <f t="shared" ref="BV221:BV241" si="273">BN221+BR221+BS221+BT221+BU221</f>
        <v>3000</v>
      </c>
      <c r="BW221" s="39">
        <f t="shared" si="257"/>
        <v>0</v>
      </c>
      <c r="BX221" s="51">
        <f t="shared" si="258"/>
        <v>0</v>
      </c>
    </row>
    <row r="222" spans="1:76" s="371" customFormat="1" ht="18" customHeight="1">
      <c r="A222" s="371" t="s">
        <v>62</v>
      </c>
      <c r="B222" s="372">
        <f t="shared" ref="B222:I222" si="274">SUM(B198:B220)</f>
        <v>394753</v>
      </c>
      <c r="C222" s="372">
        <f t="shared" si="274"/>
        <v>272071</v>
      </c>
      <c r="D222" s="373">
        <f t="shared" si="233"/>
        <v>-122682</v>
      </c>
      <c r="E222" s="374">
        <f t="shared" si="236"/>
        <v>-0.3107816786699531</v>
      </c>
      <c r="F222" s="372">
        <f t="shared" si="274"/>
        <v>278480</v>
      </c>
      <c r="G222" s="340">
        <f t="shared" si="234"/>
        <v>6409</v>
      </c>
      <c r="H222" s="343">
        <f t="shared" si="237"/>
        <v>2.3556351099529166E-2</v>
      </c>
      <c r="I222" s="372">
        <f t="shared" si="274"/>
        <v>294072</v>
      </c>
      <c r="J222" s="340">
        <f t="shared" si="235"/>
        <v>15592</v>
      </c>
      <c r="K222" s="343">
        <f t="shared" si="238"/>
        <v>5.5989658144211432E-2</v>
      </c>
      <c r="L222" s="372">
        <f>SUM(L198:L220)</f>
        <v>399023</v>
      </c>
      <c r="M222" s="372">
        <f>SUM(M198:M220)</f>
        <v>115575</v>
      </c>
      <c r="N222" s="375" t="s">
        <v>78</v>
      </c>
      <c r="O222" s="372">
        <f>SUM(O198:O220)</f>
        <v>428753</v>
      </c>
      <c r="P222" s="372">
        <f t="shared" si="259"/>
        <v>29730</v>
      </c>
      <c r="Q222" s="376">
        <f>P222/L222</f>
        <v>7.4506983306726685E-2</v>
      </c>
      <c r="R222" s="372">
        <f>SUM(R198:R220)</f>
        <v>858298</v>
      </c>
      <c r="S222" s="372">
        <f t="shared" si="272"/>
        <v>429545</v>
      </c>
      <c r="T222" s="376">
        <f>S222/O222</f>
        <v>1.0018472173955635</v>
      </c>
      <c r="U222" s="373">
        <f>SUM(U198:U220)</f>
        <v>605800</v>
      </c>
      <c r="V222" s="372">
        <f t="shared" si="260"/>
        <v>-252498</v>
      </c>
      <c r="W222" s="376">
        <f>V222/R222</f>
        <v>-0.29418453730522498</v>
      </c>
      <c r="X222" s="373">
        <f>SUM(X198:X220)</f>
        <v>835883</v>
      </c>
      <c r="Y222" s="372">
        <f>X222-U222</f>
        <v>230083</v>
      </c>
      <c r="Z222" s="377">
        <f>Y222/U222</f>
        <v>0.37980026411356882</v>
      </c>
      <c r="AA222" s="378">
        <f>SUM(AA198:AA220)</f>
        <v>967827</v>
      </c>
      <c r="AB222" s="379">
        <f>AA222-X222</f>
        <v>131944</v>
      </c>
      <c r="AC222" s="380">
        <f>AB222/X222</f>
        <v>0.15784984262151522</v>
      </c>
      <c r="AD222" s="372">
        <f>SUM(AD198:AD220)</f>
        <v>694255</v>
      </c>
      <c r="AE222" s="373">
        <f>SUM(AE198:AE220)</f>
        <v>216999</v>
      </c>
      <c r="AF222" s="373">
        <f>SUM(AF198:AF221)</f>
        <v>764487</v>
      </c>
      <c r="AG222" s="340">
        <f t="shared" ref="AG222" si="275">AF222-AA222</f>
        <v>-203340</v>
      </c>
      <c r="AH222" s="337">
        <f t="shared" ref="AH222" si="276">AG222/AA222</f>
        <v>-0.21009953225111513</v>
      </c>
      <c r="AJ222" s="373"/>
      <c r="AK222" s="373">
        <f>SUM(AK198:AK220)</f>
        <v>703920</v>
      </c>
      <c r="AL222" s="373">
        <f>SUM(AL198:AL220)</f>
        <v>3467</v>
      </c>
      <c r="AM222" s="340">
        <f t="shared" si="250"/>
        <v>707387</v>
      </c>
      <c r="AN222" s="373">
        <f>SUM(AN198:AN220)</f>
        <v>643142</v>
      </c>
      <c r="AO222" s="373">
        <f>SUM(AO198:AO220)</f>
        <v>905453</v>
      </c>
      <c r="AR222" s="373"/>
      <c r="AS222" s="52">
        <f t="shared" si="261"/>
        <v>861536.56293000001</v>
      </c>
      <c r="AT222" s="547">
        <f>AS222-AF222</f>
        <v>97049.562930000015</v>
      </c>
      <c r="AU222" s="551">
        <f>AT222/AF222</f>
        <v>0.12694730313268901</v>
      </c>
      <c r="AV222" s="342">
        <f t="shared" si="251"/>
        <v>97049.562930000015</v>
      </c>
      <c r="AW222" s="343">
        <f t="shared" si="252"/>
        <v>0.12694730313268901</v>
      </c>
      <c r="AX222" s="372">
        <f>SUM(AX198:AX221)</f>
        <v>938024</v>
      </c>
      <c r="AY222" s="52">
        <f t="shared" si="269"/>
        <v>173537</v>
      </c>
      <c r="AZ222" s="58">
        <f t="shared" si="270"/>
        <v>0.22699797380465594</v>
      </c>
      <c r="BA222" s="58"/>
      <c r="BB222" s="65">
        <f>SUM(BB198:BB221)</f>
        <v>861536.56293000001</v>
      </c>
      <c r="BC222" s="58"/>
      <c r="BD222" s="58"/>
      <c r="BE222" s="372">
        <f>SUM(BE198:BE221)</f>
        <v>1002473</v>
      </c>
      <c r="BF222" s="52">
        <f t="shared" si="253"/>
        <v>64449</v>
      </c>
      <c r="BG222" s="58">
        <f t="shared" si="254"/>
        <v>6.870719725721304E-2</v>
      </c>
      <c r="BH222" s="65">
        <f>SUM(BH198:BH221)</f>
        <v>0</v>
      </c>
      <c r="BI222" s="65"/>
      <c r="BJ222" s="65"/>
      <c r="BK222" s="65"/>
      <c r="BL222" s="39">
        <f t="shared" si="271"/>
        <v>1002473</v>
      </c>
      <c r="BM222" s="39">
        <f t="shared" si="255"/>
        <v>140936.43706999999</v>
      </c>
      <c r="BN222" s="30">
        <f>SUM(BN198:BN221)</f>
        <v>1033696</v>
      </c>
      <c r="BO222" s="39">
        <f t="shared" si="266"/>
        <v>31223</v>
      </c>
      <c r="BP222" s="51">
        <f t="shared" si="256"/>
        <v>0.16358729638901129</v>
      </c>
      <c r="BQ222" s="99">
        <f t="shared" si="267"/>
        <v>3.1145976001348663E-2</v>
      </c>
      <c r="BR222" s="658"/>
      <c r="BV222" s="668">
        <f t="shared" si="273"/>
        <v>1033696</v>
      </c>
      <c r="BW222" s="645">
        <f t="shared" si="257"/>
        <v>31223</v>
      </c>
      <c r="BX222" s="551">
        <f t="shared" si="258"/>
        <v>3.1145976001348663E-2</v>
      </c>
    </row>
    <row r="223" spans="1:76" s="63" customFormat="1" ht="18" customHeight="1">
      <c r="A223" s="64"/>
      <c r="D223" s="327"/>
      <c r="E223" s="356"/>
      <c r="G223" s="10"/>
      <c r="H223" s="14"/>
      <c r="J223" s="10"/>
      <c r="K223" s="14"/>
      <c r="L223" s="46"/>
      <c r="M223" s="52"/>
      <c r="N223" s="48"/>
      <c r="O223" s="47"/>
      <c r="P223" s="46"/>
      <c r="Q223" s="36"/>
      <c r="R223" s="47"/>
      <c r="S223" s="12"/>
      <c r="T223" s="36"/>
      <c r="U223" s="47"/>
      <c r="V223" s="46"/>
      <c r="W223" s="45"/>
      <c r="X223" s="47"/>
      <c r="Y223" s="12"/>
      <c r="Z223" s="98"/>
      <c r="AA223" s="208"/>
      <c r="AB223" s="165"/>
      <c r="AC223" s="97"/>
      <c r="AF223" s="69"/>
      <c r="AG223" s="69"/>
      <c r="AM223" s="258"/>
      <c r="AX223" s="69"/>
      <c r="AY223" s="52"/>
      <c r="AZ223" s="58"/>
      <c r="BA223" s="58"/>
      <c r="BB223" s="58"/>
      <c r="BC223" s="58"/>
      <c r="BD223" s="58"/>
      <c r="BE223" s="69"/>
      <c r="BF223" s="52"/>
      <c r="BG223" s="58"/>
      <c r="BH223" s="65"/>
      <c r="BI223" s="65"/>
      <c r="BJ223" s="65"/>
      <c r="BK223" s="65"/>
      <c r="BL223" s="39"/>
      <c r="BM223" s="39"/>
      <c r="BN223" s="39"/>
      <c r="BO223" s="39">
        <f t="shared" si="266"/>
        <v>0</v>
      </c>
      <c r="BP223" s="51"/>
      <c r="BQ223" s="99" t="e">
        <f t="shared" si="267"/>
        <v>#DIV/0!</v>
      </c>
      <c r="BR223" s="40"/>
      <c r="BV223" s="282">
        <f t="shared" si="273"/>
        <v>0</v>
      </c>
      <c r="BW223" s="39">
        <f t="shared" si="257"/>
        <v>0</v>
      </c>
      <c r="BX223" s="51" t="e">
        <f t="shared" si="258"/>
        <v>#DIV/0!</v>
      </c>
    </row>
    <row r="224" spans="1:76" s="63" customFormat="1" ht="18" customHeight="1">
      <c r="A224" s="73" t="s">
        <v>197</v>
      </c>
      <c r="D224" s="327"/>
      <c r="E224" s="356"/>
      <c r="G224" s="10"/>
      <c r="H224" s="14"/>
      <c r="J224" s="10"/>
      <c r="K224" s="14"/>
      <c r="L224" s="46"/>
      <c r="M224" s="52"/>
      <c r="N224" s="48"/>
      <c r="O224" s="47"/>
      <c r="P224" s="46"/>
      <c r="Q224" s="36"/>
      <c r="R224" s="47"/>
      <c r="S224" s="12"/>
      <c r="T224" s="36"/>
      <c r="U224" s="47"/>
      <c r="V224" s="46"/>
      <c r="W224" s="45"/>
      <c r="X224" s="47"/>
      <c r="Y224" s="12"/>
      <c r="Z224" s="98"/>
      <c r="AA224" s="208"/>
      <c r="AB224" s="165"/>
      <c r="AC224" s="97"/>
      <c r="AF224" s="69"/>
      <c r="AG224" s="69"/>
      <c r="AX224" s="69"/>
      <c r="AY224" s="52"/>
      <c r="AZ224" s="58"/>
      <c r="BA224" s="58"/>
      <c r="BB224" s="58"/>
      <c r="BC224" s="58"/>
      <c r="BD224" s="58"/>
      <c r="BE224" s="69"/>
      <c r="BF224" s="52"/>
      <c r="BG224" s="58"/>
      <c r="BH224" s="65"/>
      <c r="BI224" s="65"/>
      <c r="BJ224" s="65"/>
      <c r="BK224" s="65"/>
      <c r="BL224" s="39"/>
      <c r="BM224" s="39"/>
      <c r="BN224" s="39"/>
      <c r="BO224" s="39">
        <f t="shared" si="266"/>
        <v>0</v>
      </c>
      <c r="BP224" s="51"/>
      <c r="BQ224" s="99" t="e">
        <f t="shared" si="267"/>
        <v>#DIV/0!</v>
      </c>
      <c r="BR224" s="40"/>
      <c r="BV224" s="282">
        <f t="shared" si="273"/>
        <v>0</v>
      </c>
      <c r="BW224" s="39">
        <f t="shared" si="257"/>
        <v>0</v>
      </c>
      <c r="BX224" s="51" t="e">
        <f t="shared" si="258"/>
        <v>#DIV/0!</v>
      </c>
    </row>
    <row r="225" spans="1:76" s="63" customFormat="1" ht="18" customHeight="1">
      <c r="A225" s="253" t="s">
        <v>400</v>
      </c>
      <c r="D225" s="327"/>
      <c r="E225" s="356"/>
      <c r="G225" s="10"/>
      <c r="H225" s="14"/>
      <c r="J225" s="10"/>
      <c r="K225" s="14"/>
      <c r="L225" s="46"/>
      <c r="M225" s="52"/>
      <c r="N225" s="48"/>
      <c r="O225" s="47"/>
      <c r="P225" s="46"/>
      <c r="Q225" s="36"/>
      <c r="R225" s="47"/>
      <c r="S225" s="12"/>
      <c r="T225" s="36"/>
      <c r="U225" s="47"/>
      <c r="V225" s="46"/>
      <c r="W225" s="45"/>
      <c r="X225" s="180"/>
      <c r="Y225" s="163"/>
      <c r="Z225" s="98"/>
      <c r="AA225" s="202"/>
      <c r="AB225" s="172"/>
      <c r="AC225" s="101"/>
      <c r="AF225" s="69"/>
      <c r="AG225" s="69"/>
      <c r="AX225" s="69"/>
      <c r="AY225" s="52"/>
      <c r="AZ225" s="58"/>
      <c r="BA225" s="58"/>
      <c r="BB225" s="58"/>
      <c r="BC225" s="58"/>
      <c r="BD225" s="58"/>
      <c r="BE225" s="69"/>
      <c r="BF225" s="52"/>
      <c r="BG225" s="58"/>
      <c r="BH225" s="65"/>
      <c r="BI225" s="65"/>
      <c r="BJ225" s="65"/>
      <c r="BK225" s="65"/>
      <c r="BL225" s="39"/>
      <c r="BM225" s="39"/>
      <c r="BN225" s="39"/>
      <c r="BO225" s="39">
        <f t="shared" si="266"/>
        <v>0</v>
      </c>
      <c r="BP225" s="51"/>
      <c r="BQ225" s="99" t="e">
        <f t="shared" si="267"/>
        <v>#DIV/0!</v>
      </c>
      <c r="BR225" s="40"/>
      <c r="BV225" s="282">
        <f t="shared" si="273"/>
        <v>0</v>
      </c>
      <c r="BW225" s="39">
        <f t="shared" si="257"/>
        <v>0</v>
      </c>
      <c r="BX225" s="51" t="e">
        <f t="shared" si="258"/>
        <v>#DIV/0!</v>
      </c>
    </row>
    <row r="226" spans="1:76" s="54" customFormat="1" ht="18" customHeight="1" thickBot="1">
      <c r="A226" s="247" t="s">
        <v>363</v>
      </c>
      <c r="D226" s="359"/>
      <c r="E226" s="356"/>
      <c r="G226" s="10"/>
      <c r="H226" s="14"/>
      <c r="J226" s="10"/>
      <c r="K226" s="14"/>
      <c r="L226" s="209"/>
      <c r="M226" s="75"/>
      <c r="N226" s="210"/>
      <c r="O226" s="211"/>
      <c r="P226" s="209"/>
      <c r="Q226" s="212"/>
      <c r="R226" s="211"/>
      <c r="S226" s="209"/>
      <c r="T226" s="212"/>
      <c r="U226" s="211"/>
      <c r="V226" s="209"/>
      <c r="W226" s="212"/>
      <c r="X226" s="215"/>
      <c r="Y226" s="216"/>
      <c r="Z226" s="217"/>
      <c r="AA226" s="206"/>
      <c r="AB226" s="174"/>
      <c r="AC226" s="129"/>
      <c r="AF226" s="75"/>
      <c r="AG226" s="75"/>
      <c r="AX226" s="75"/>
      <c r="AY226" s="75"/>
      <c r="AZ226" s="77"/>
      <c r="BA226" s="77"/>
      <c r="BB226" s="77"/>
      <c r="BC226" s="77"/>
      <c r="BD226" s="77"/>
      <c r="BE226" s="75"/>
      <c r="BF226" s="75"/>
      <c r="BG226" s="77"/>
      <c r="BH226" s="94"/>
      <c r="BI226" s="94"/>
      <c r="BJ226" s="94"/>
      <c r="BK226" s="94"/>
      <c r="BL226" s="102"/>
      <c r="BM226" s="102"/>
      <c r="BN226" s="102"/>
      <c r="BO226" s="39">
        <f t="shared" si="266"/>
        <v>0</v>
      </c>
      <c r="BP226" s="55"/>
      <c r="BQ226" s="99" t="e">
        <f t="shared" si="267"/>
        <v>#DIV/0!</v>
      </c>
      <c r="BR226" s="102"/>
      <c r="BV226" s="282">
        <f t="shared" si="273"/>
        <v>0</v>
      </c>
      <c r="BW226" s="39">
        <f t="shared" si="257"/>
        <v>0</v>
      </c>
      <c r="BX226" s="51" t="e">
        <f t="shared" si="258"/>
        <v>#DIV/0!</v>
      </c>
    </row>
    <row r="227" spans="1:76" s="63" customFormat="1" ht="18" hidden="1" customHeight="1">
      <c r="D227" s="327">
        <f t="shared" si="233"/>
        <v>0</v>
      </c>
      <c r="E227" s="356" t="e">
        <f t="shared" si="236"/>
        <v>#DIV/0!</v>
      </c>
      <c r="G227" s="10">
        <f t="shared" si="234"/>
        <v>0</v>
      </c>
      <c r="H227" s="14" t="e">
        <f t="shared" si="237"/>
        <v>#DIV/0!</v>
      </c>
      <c r="J227" s="10">
        <f t="shared" si="235"/>
        <v>0</v>
      </c>
      <c r="K227" s="14" t="e">
        <f t="shared" si="238"/>
        <v>#DIV/0!</v>
      </c>
      <c r="M227" s="52"/>
      <c r="N227" s="60"/>
      <c r="O227" s="81"/>
      <c r="P227" s="69"/>
      <c r="Q227" s="60"/>
      <c r="R227" s="52"/>
      <c r="S227" s="52"/>
      <c r="T227" s="60"/>
      <c r="U227" s="52"/>
      <c r="V227" s="69"/>
      <c r="W227" s="60"/>
      <c r="X227" s="166"/>
      <c r="Y227" s="157"/>
      <c r="Z227" s="95"/>
      <c r="AA227" s="202"/>
      <c r="AB227" s="172">
        <f t="shared" ref="AB227:AB241" si="277">AA224-X227</f>
        <v>0</v>
      </c>
      <c r="AC227" s="101"/>
      <c r="AF227" s="69"/>
      <c r="AG227" s="69"/>
      <c r="AX227" s="69"/>
      <c r="AY227" s="52">
        <f t="shared" si="269"/>
        <v>0</v>
      </c>
      <c r="AZ227" s="58" t="e">
        <f t="shared" si="270"/>
        <v>#DIV/0!</v>
      </c>
      <c r="BA227" s="58"/>
      <c r="BB227" s="58"/>
      <c r="BC227" s="58"/>
      <c r="BD227" s="58"/>
      <c r="BE227" s="69"/>
      <c r="BF227" s="52">
        <f t="shared" ref="BF227:BF242" si="278">BE227-AX227</f>
        <v>0</v>
      </c>
      <c r="BG227" s="58" t="e">
        <f t="shared" ref="BG227:BG242" si="279">BF227/AX227</f>
        <v>#DIV/0!</v>
      </c>
      <c r="BH227" s="65"/>
      <c r="BI227" s="65"/>
      <c r="BJ227" s="65"/>
      <c r="BK227" s="65"/>
      <c r="BL227" s="39">
        <f t="shared" si="271"/>
        <v>0</v>
      </c>
      <c r="BM227" s="39">
        <f t="shared" ref="BM227:BM242" si="280">BL227-AS227</f>
        <v>0</v>
      </c>
      <c r="BN227" s="39"/>
      <c r="BO227" s="39">
        <f t="shared" si="266"/>
        <v>0</v>
      </c>
      <c r="BP227" s="51" t="e">
        <f t="shared" ref="BP227:BP242" si="281">BM227/AS227</f>
        <v>#DIV/0!</v>
      </c>
      <c r="BQ227" s="99" t="e">
        <f t="shared" si="267"/>
        <v>#DIV/0!</v>
      </c>
      <c r="BR227" s="40"/>
      <c r="BV227" s="282">
        <f t="shared" si="273"/>
        <v>0</v>
      </c>
      <c r="BW227" s="39">
        <f t="shared" si="257"/>
        <v>0</v>
      </c>
      <c r="BX227" s="51" t="e">
        <f t="shared" si="258"/>
        <v>#DIV/0!</v>
      </c>
    </row>
    <row r="228" spans="1:76" s="63" customFormat="1" ht="18" hidden="1" customHeight="1">
      <c r="A228" s="53"/>
      <c r="D228" s="327">
        <f t="shared" si="233"/>
        <v>0</v>
      </c>
      <c r="E228" s="356" t="e">
        <f t="shared" si="236"/>
        <v>#DIV/0!</v>
      </c>
      <c r="G228" s="10">
        <f t="shared" si="234"/>
        <v>0</v>
      </c>
      <c r="H228" s="14" t="e">
        <f t="shared" si="237"/>
        <v>#DIV/0!</v>
      </c>
      <c r="J228" s="10">
        <f t="shared" si="235"/>
        <v>0</v>
      </c>
      <c r="K228" s="14" t="e">
        <f t="shared" si="238"/>
        <v>#DIV/0!</v>
      </c>
      <c r="M228" s="52"/>
      <c r="N228" s="60"/>
      <c r="O228" s="81"/>
      <c r="P228" s="69"/>
      <c r="Q228" s="60"/>
      <c r="R228" s="52"/>
      <c r="S228" s="52"/>
      <c r="T228" s="60"/>
      <c r="U228" s="52"/>
      <c r="V228" s="69"/>
      <c r="W228" s="60"/>
      <c r="X228" s="166"/>
      <c r="Y228" s="157"/>
      <c r="Z228" s="95"/>
      <c r="AA228" s="202">
        <v>363234</v>
      </c>
      <c r="AB228" s="172">
        <f t="shared" si="277"/>
        <v>0</v>
      </c>
      <c r="AC228" s="101"/>
      <c r="AF228" s="69"/>
      <c r="AG228" s="69"/>
      <c r="AX228" s="69"/>
      <c r="AY228" s="52">
        <f t="shared" si="269"/>
        <v>0</v>
      </c>
      <c r="AZ228" s="58" t="e">
        <f t="shared" si="270"/>
        <v>#DIV/0!</v>
      </c>
      <c r="BA228" s="58"/>
      <c r="BB228" s="58"/>
      <c r="BC228" s="58"/>
      <c r="BD228" s="58"/>
      <c r="BE228" s="69"/>
      <c r="BF228" s="52">
        <f t="shared" si="278"/>
        <v>0</v>
      </c>
      <c r="BG228" s="58" t="e">
        <f t="shared" si="279"/>
        <v>#DIV/0!</v>
      </c>
      <c r="BH228" s="65"/>
      <c r="BI228" s="65"/>
      <c r="BJ228" s="65"/>
      <c r="BK228" s="65"/>
      <c r="BL228" s="39">
        <f t="shared" si="271"/>
        <v>0</v>
      </c>
      <c r="BM228" s="39">
        <f t="shared" si="280"/>
        <v>0</v>
      </c>
      <c r="BN228" s="39"/>
      <c r="BO228" s="39">
        <f t="shared" si="266"/>
        <v>0</v>
      </c>
      <c r="BP228" s="51" t="e">
        <f t="shared" si="281"/>
        <v>#DIV/0!</v>
      </c>
      <c r="BQ228" s="99" t="e">
        <f t="shared" si="267"/>
        <v>#DIV/0!</v>
      </c>
      <c r="BR228" s="40"/>
      <c r="BV228" s="282">
        <f t="shared" si="273"/>
        <v>0</v>
      </c>
      <c r="BW228" s="39">
        <f t="shared" si="257"/>
        <v>0</v>
      </c>
      <c r="BX228" s="51" t="e">
        <f t="shared" si="258"/>
        <v>#DIV/0!</v>
      </c>
    </row>
    <row r="229" spans="1:76" s="63" customFormat="1" ht="18" hidden="1" customHeight="1">
      <c r="A229" s="53"/>
      <c r="D229" s="327">
        <f t="shared" si="233"/>
        <v>0</v>
      </c>
      <c r="E229" s="356" t="e">
        <f t="shared" si="236"/>
        <v>#DIV/0!</v>
      </c>
      <c r="G229" s="10">
        <f t="shared" si="234"/>
        <v>0</v>
      </c>
      <c r="H229" s="14" t="e">
        <f t="shared" si="237"/>
        <v>#DIV/0!</v>
      </c>
      <c r="J229" s="10">
        <f t="shared" si="235"/>
        <v>0</v>
      </c>
      <c r="K229" s="14" t="e">
        <f t="shared" si="238"/>
        <v>#DIV/0!</v>
      </c>
      <c r="M229" s="52"/>
      <c r="N229" s="60"/>
      <c r="O229" s="81"/>
      <c r="P229" s="69"/>
      <c r="Q229" s="60"/>
      <c r="R229" s="52"/>
      <c r="S229" s="52"/>
      <c r="T229" s="60"/>
      <c r="U229" s="52"/>
      <c r="V229" s="69"/>
      <c r="W229" s="60"/>
      <c r="X229" s="166"/>
      <c r="Y229" s="157"/>
      <c r="Z229" s="95"/>
      <c r="AA229" s="202">
        <v>56491</v>
      </c>
      <c r="AB229" s="172">
        <f t="shared" si="277"/>
        <v>0</v>
      </c>
      <c r="AC229" s="101"/>
      <c r="AF229" s="69"/>
      <c r="AG229" s="69"/>
      <c r="AX229" s="69"/>
      <c r="AY229" s="52">
        <f t="shared" si="269"/>
        <v>0</v>
      </c>
      <c r="AZ229" s="58" t="e">
        <f t="shared" si="270"/>
        <v>#DIV/0!</v>
      </c>
      <c r="BA229" s="58"/>
      <c r="BB229" s="58"/>
      <c r="BC229" s="58"/>
      <c r="BD229" s="58"/>
      <c r="BE229" s="69"/>
      <c r="BF229" s="52">
        <f t="shared" si="278"/>
        <v>0</v>
      </c>
      <c r="BG229" s="58" t="e">
        <f t="shared" si="279"/>
        <v>#DIV/0!</v>
      </c>
      <c r="BH229" s="65"/>
      <c r="BI229" s="65"/>
      <c r="BJ229" s="65"/>
      <c r="BK229" s="65"/>
      <c r="BL229" s="39">
        <f t="shared" si="271"/>
        <v>0</v>
      </c>
      <c r="BM229" s="39">
        <f t="shared" si="280"/>
        <v>0</v>
      </c>
      <c r="BN229" s="39"/>
      <c r="BO229" s="39">
        <f t="shared" si="266"/>
        <v>0</v>
      </c>
      <c r="BP229" s="51" t="e">
        <f t="shared" si="281"/>
        <v>#DIV/0!</v>
      </c>
      <c r="BQ229" s="99" t="e">
        <f t="shared" si="267"/>
        <v>#DIV/0!</v>
      </c>
      <c r="BR229" s="40"/>
      <c r="BV229" s="282">
        <f t="shared" si="273"/>
        <v>0</v>
      </c>
      <c r="BW229" s="39">
        <f t="shared" si="257"/>
        <v>0</v>
      </c>
      <c r="BX229" s="51" t="e">
        <f t="shared" si="258"/>
        <v>#DIV/0!</v>
      </c>
    </row>
    <row r="230" spans="1:76" s="63" customFormat="1" ht="18" hidden="1" customHeight="1">
      <c r="A230" s="53"/>
      <c r="D230" s="327">
        <f t="shared" si="233"/>
        <v>0</v>
      </c>
      <c r="E230" s="356" t="e">
        <f t="shared" si="236"/>
        <v>#DIV/0!</v>
      </c>
      <c r="G230" s="10">
        <f t="shared" si="234"/>
        <v>0</v>
      </c>
      <c r="H230" s="14" t="e">
        <f t="shared" si="237"/>
        <v>#DIV/0!</v>
      </c>
      <c r="J230" s="10">
        <f t="shared" si="235"/>
        <v>0</v>
      </c>
      <c r="K230" s="14" t="e">
        <f t="shared" si="238"/>
        <v>#DIV/0!</v>
      </c>
      <c r="M230" s="52"/>
      <c r="N230" s="60"/>
      <c r="O230" s="81"/>
      <c r="P230" s="69"/>
      <c r="Q230" s="60"/>
      <c r="R230" s="52"/>
      <c r="S230" s="52"/>
      <c r="T230" s="60"/>
      <c r="U230" s="52"/>
      <c r="V230" s="69"/>
      <c r="W230" s="60"/>
      <c r="X230" s="166"/>
      <c r="Y230" s="157"/>
      <c r="Z230" s="95"/>
      <c r="AA230" s="202">
        <v>265000</v>
      </c>
      <c r="AB230" s="172">
        <f t="shared" si="277"/>
        <v>0</v>
      </c>
      <c r="AC230" s="101"/>
      <c r="AF230" s="69"/>
      <c r="AG230" s="69"/>
      <c r="AX230" s="69"/>
      <c r="AY230" s="52">
        <f t="shared" si="269"/>
        <v>0</v>
      </c>
      <c r="AZ230" s="58" t="e">
        <f t="shared" si="270"/>
        <v>#DIV/0!</v>
      </c>
      <c r="BA230" s="58"/>
      <c r="BB230" s="58"/>
      <c r="BC230" s="58"/>
      <c r="BD230" s="58"/>
      <c r="BE230" s="69"/>
      <c r="BF230" s="52">
        <f t="shared" si="278"/>
        <v>0</v>
      </c>
      <c r="BG230" s="58" t="e">
        <f t="shared" si="279"/>
        <v>#DIV/0!</v>
      </c>
      <c r="BH230" s="65"/>
      <c r="BI230" s="65"/>
      <c r="BJ230" s="65"/>
      <c r="BK230" s="65"/>
      <c r="BL230" s="39">
        <f t="shared" si="271"/>
        <v>0</v>
      </c>
      <c r="BM230" s="39">
        <f t="shared" si="280"/>
        <v>0</v>
      </c>
      <c r="BN230" s="39"/>
      <c r="BO230" s="39">
        <f t="shared" si="266"/>
        <v>0</v>
      </c>
      <c r="BP230" s="51" t="e">
        <f t="shared" si="281"/>
        <v>#DIV/0!</v>
      </c>
      <c r="BQ230" s="99" t="e">
        <f t="shared" si="267"/>
        <v>#DIV/0!</v>
      </c>
      <c r="BR230" s="40"/>
      <c r="BV230" s="282">
        <f t="shared" si="273"/>
        <v>0</v>
      </c>
      <c r="BW230" s="39">
        <f t="shared" si="257"/>
        <v>0</v>
      </c>
      <c r="BX230" s="51" t="e">
        <f t="shared" si="258"/>
        <v>#DIV/0!</v>
      </c>
    </row>
    <row r="231" spans="1:76" s="63" customFormat="1" ht="18" hidden="1" customHeight="1">
      <c r="A231" s="53"/>
      <c r="D231" s="327">
        <f t="shared" si="233"/>
        <v>0</v>
      </c>
      <c r="E231" s="356" t="e">
        <f t="shared" si="236"/>
        <v>#DIV/0!</v>
      </c>
      <c r="G231" s="10">
        <f t="shared" si="234"/>
        <v>0</v>
      </c>
      <c r="H231" s="14" t="e">
        <f t="shared" si="237"/>
        <v>#DIV/0!</v>
      </c>
      <c r="J231" s="10">
        <f t="shared" si="235"/>
        <v>0</v>
      </c>
      <c r="K231" s="14" t="e">
        <f t="shared" si="238"/>
        <v>#DIV/0!</v>
      </c>
      <c r="M231" s="52"/>
      <c r="N231" s="60"/>
      <c r="O231" s="81"/>
      <c r="P231" s="69"/>
      <c r="Q231" s="60"/>
      <c r="R231" s="52"/>
      <c r="S231" s="52"/>
      <c r="T231" s="60"/>
      <c r="U231" s="52"/>
      <c r="V231" s="69"/>
      <c r="W231" s="60"/>
      <c r="X231" s="166"/>
      <c r="Y231" s="157"/>
      <c r="Z231" s="95"/>
      <c r="AA231" s="202">
        <v>7603</v>
      </c>
      <c r="AB231" s="172">
        <f t="shared" si="277"/>
        <v>363234</v>
      </c>
      <c r="AC231" s="101"/>
      <c r="AF231" s="69"/>
      <c r="AG231" s="69"/>
      <c r="AX231" s="69"/>
      <c r="AY231" s="52">
        <f t="shared" si="269"/>
        <v>0</v>
      </c>
      <c r="AZ231" s="58" t="e">
        <f t="shared" si="270"/>
        <v>#DIV/0!</v>
      </c>
      <c r="BA231" s="58"/>
      <c r="BB231" s="58"/>
      <c r="BC231" s="58"/>
      <c r="BD231" s="58"/>
      <c r="BE231" s="69"/>
      <c r="BF231" s="52">
        <f t="shared" si="278"/>
        <v>0</v>
      </c>
      <c r="BG231" s="58" t="e">
        <f t="shared" si="279"/>
        <v>#DIV/0!</v>
      </c>
      <c r="BH231" s="65"/>
      <c r="BI231" s="65"/>
      <c r="BJ231" s="65"/>
      <c r="BK231" s="65"/>
      <c r="BL231" s="39">
        <f t="shared" si="271"/>
        <v>0</v>
      </c>
      <c r="BM231" s="39">
        <f t="shared" si="280"/>
        <v>0</v>
      </c>
      <c r="BN231" s="39"/>
      <c r="BO231" s="39">
        <f t="shared" si="266"/>
        <v>0</v>
      </c>
      <c r="BP231" s="51" t="e">
        <f t="shared" si="281"/>
        <v>#DIV/0!</v>
      </c>
      <c r="BQ231" s="99" t="e">
        <f t="shared" si="267"/>
        <v>#DIV/0!</v>
      </c>
      <c r="BR231" s="40"/>
      <c r="BV231" s="282">
        <f t="shared" si="273"/>
        <v>0</v>
      </c>
      <c r="BW231" s="39">
        <f t="shared" si="257"/>
        <v>0</v>
      </c>
      <c r="BX231" s="51" t="e">
        <f t="shared" si="258"/>
        <v>#DIV/0!</v>
      </c>
    </row>
    <row r="232" spans="1:76" s="63" customFormat="1" ht="18" hidden="1" customHeight="1">
      <c r="A232" s="53"/>
      <c r="D232" s="327">
        <f t="shared" si="233"/>
        <v>0</v>
      </c>
      <c r="E232" s="356" t="e">
        <f t="shared" si="236"/>
        <v>#DIV/0!</v>
      </c>
      <c r="G232" s="10">
        <f t="shared" si="234"/>
        <v>0</v>
      </c>
      <c r="H232" s="14" t="e">
        <f t="shared" si="237"/>
        <v>#DIV/0!</v>
      </c>
      <c r="J232" s="10">
        <f t="shared" si="235"/>
        <v>0</v>
      </c>
      <c r="K232" s="14" t="e">
        <f t="shared" si="238"/>
        <v>#DIV/0!</v>
      </c>
      <c r="M232" s="52"/>
      <c r="N232" s="60"/>
      <c r="O232" s="81"/>
      <c r="P232" s="69"/>
      <c r="Q232" s="60"/>
      <c r="R232" s="52"/>
      <c r="S232" s="52"/>
      <c r="T232" s="60"/>
      <c r="U232" s="52"/>
      <c r="V232" s="69"/>
      <c r="W232" s="60"/>
      <c r="X232" s="166"/>
      <c r="Y232" s="157"/>
      <c r="Z232" s="95"/>
      <c r="AA232" s="202">
        <v>32624</v>
      </c>
      <c r="AB232" s="172">
        <f t="shared" si="277"/>
        <v>56491</v>
      </c>
      <c r="AC232" s="101"/>
      <c r="AF232" s="69"/>
      <c r="AG232" s="69"/>
      <c r="AX232" s="69"/>
      <c r="AY232" s="52">
        <f t="shared" si="269"/>
        <v>0</v>
      </c>
      <c r="AZ232" s="58" t="e">
        <f t="shared" si="270"/>
        <v>#DIV/0!</v>
      </c>
      <c r="BA232" s="58"/>
      <c r="BB232" s="58"/>
      <c r="BC232" s="58"/>
      <c r="BD232" s="58"/>
      <c r="BE232" s="69"/>
      <c r="BF232" s="52">
        <f t="shared" si="278"/>
        <v>0</v>
      </c>
      <c r="BG232" s="58" t="e">
        <f t="shared" si="279"/>
        <v>#DIV/0!</v>
      </c>
      <c r="BH232" s="65"/>
      <c r="BI232" s="65"/>
      <c r="BJ232" s="65"/>
      <c r="BK232" s="65"/>
      <c r="BL232" s="39">
        <f t="shared" si="271"/>
        <v>0</v>
      </c>
      <c r="BM232" s="39">
        <f t="shared" si="280"/>
        <v>0</v>
      </c>
      <c r="BN232" s="39"/>
      <c r="BO232" s="39">
        <f t="shared" si="266"/>
        <v>0</v>
      </c>
      <c r="BP232" s="51" t="e">
        <f t="shared" si="281"/>
        <v>#DIV/0!</v>
      </c>
      <c r="BQ232" s="99" t="e">
        <f t="shared" si="267"/>
        <v>#DIV/0!</v>
      </c>
      <c r="BR232" s="40"/>
      <c r="BV232" s="282">
        <f t="shared" si="273"/>
        <v>0</v>
      </c>
      <c r="BW232" s="39">
        <f t="shared" si="257"/>
        <v>0</v>
      </c>
      <c r="BX232" s="51" t="e">
        <f t="shared" si="258"/>
        <v>#DIV/0!</v>
      </c>
    </row>
    <row r="233" spans="1:76" s="63" customFormat="1" ht="18" hidden="1" customHeight="1">
      <c r="A233" s="53"/>
      <c r="D233" s="327">
        <f t="shared" si="233"/>
        <v>0</v>
      </c>
      <c r="E233" s="356" t="e">
        <f t="shared" si="236"/>
        <v>#DIV/0!</v>
      </c>
      <c r="G233" s="10">
        <f t="shared" si="234"/>
        <v>0</v>
      </c>
      <c r="H233" s="14" t="e">
        <f t="shared" si="237"/>
        <v>#DIV/0!</v>
      </c>
      <c r="J233" s="10">
        <f t="shared" si="235"/>
        <v>0</v>
      </c>
      <c r="K233" s="14" t="e">
        <f t="shared" si="238"/>
        <v>#DIV/0!</v>
      </c>
      <c r="M233" s="52"/>
      <c r="N233" s="60"/>
      <c r="O233" s="81"/>
      <c r="P233" s="69"/>
      <c r="Q233" s="60"/>
      <c r="R233" s="52"/>
      <c r="S233" s="52"/>
      <c r="T233" s="60"/>
      <c r="U233" s="52"/>
      <c r="V233" s="69"/>
      <c r="W233" s="60"/>
      <c r="X233" s="166"/>
      <c r="Y233" s="157"/>
      <c r="Z233" s="95"/>
      <c r="AA233" s="202">
        <v>96696</v>
      </c>
      <c r="AB233" s="172">
        <f t="shared" si="277"/>
        <v>265000</v>
      </c>
      <c r="AC233" s="101"/>
      <c r="AF233" s="69"/>
      <c r="AG233" s="69"/>
      <c r="AX233" s="69"/>
      <c r="AY233" s="52">
        <f t="shared" si="269"/>
        <v>0</v>
      </c>
      <c r="AZ233" s="58" t="e">
        <f t="shared" si="270"/>
        <v>#DIV/0!</v>
      </c>
      <c r="BA233" s="58"/>
      <c r="BB233" s="58"/>
      <c r="BC233" s="58"/>
      <c r="BD233" s="58"/>
      <c r="BE233" s="69"/>
      <c r="BF233" s="52">
        <f t="shared" si="278"/>
        <v>0</v>
      </c>
      <c r="BG233" s="58" t="e">
        <f t="shared" si="279"/>
        <v>#DIV/0!</v>
      </c>
      <c r="BH233" s="65"/>
      <c r="BI233" s="65"/>
      <c r="BJ233" s="65"/>
      <c r="BK233" s="65"/>
      <c r="BL233" s="39">
        <f t="shared" si="271"/>
        <v>0</v>
      </c>
      <c r="BM233" s="39">
        <f t="shared" si="280"/>
        <v>0</v>
      </c>
      <c r="BN233" s="39"/>
      <c r="BO233" s="39">
        <f t="shared" si="266"/>
        <v>0</v>
      </c>
      <c r="BP233" s="51" t="e">
        <f t="shared" si="281"/>
        <v>#DIV/0!</v>
      </c>
      <c r="BQ233" s="99" t="e">
        <f t="shared" si="267"/>
        <v>#DIV/0!</v>
      </c>
      <c r="BR233" s="40"/>
      <c r="BV233" s="282">
        <f t="shared" si="273"/>
        <v>0</v>
      </c>
      <c r="BW233" s="39">
        <f t="shared" si="257"/>
        <v>0</v>
      </c>
      <c r="BX233" s="51" t="e">
        <f t="shared" si="258"/>
        <v>#DIV/0!</v>
      </c>
    </row>
    <row r="234" spans="1:76" s="63" customFormat="1" ht="18" hidden="1" customHeight="1">
      <c r="A234" s="53"/>
      <c r="D234" s="327">
        <f t="shared" si="233"/>
        <v>0</v>
      </c>
      <c r="E234" s="356" t="e">
        <f t="shared" si="236"/>
        <v>#DIV/0!</v>
      </c>
      <c r="G234" s="10">
        <f t="shared" si="234"/>
        <v>0</v>
      </c>
      <c r="H234" s="14" t="e">
        <f t="shared" si="237"/>
        <v>#DIV/0!</v>
      </c>
      <c r="J234" s="10">
        <f t="shared" si="235"/>
        <v>0</v>
      </c>
      <c r="K234" s="14" t="e">
        <f t="shared" si="238"/>
        <v>#DIV/0!</v>
      </c>
      <c r="M234" s="52"/>
      <c r="N234" s="60"/>
      <c r="O234" s="81"/>
      <c r="P234" s="69"/>
      <c r="Q234" s="60"/>
      <c r="R234" s="52"/>
      <c r="S234" s="52"/>
      <c r="T234" s="60"/>
      <c r="U234" s="52"/>
      <c r="V234" s="69"/>
      <c r="W234" s="60"/>
      <c r="X234" s="166"/>
      <c r="Y234" s="157"/>
      <c r="Z234" s="95"/>
      <c r="AA234" s="202">
        <v>7919</v>
      </c>
      <c r="AB234" s="172">
        <f t="shared" si="277"/>
        <v>7603</v>
      </c>
      <c r="AC234" s="101"/>
      <c r="AF234" s="69"/>
      <c r="AG234" s="69"/>
      <c r="AX234" s="69"/>
      <c r="AY234" s="52">
        <f t="shared" si="269"/>
        <v>0</v>
      </c>
      <c r="AZ234" s="58" t="e">
        <f t="shared" si="270"/>
        <v>#DIV/0!</v>
      </c>
      <c r="BA234" s="58"/>
      <c r="BB234" s="58"/>
      <c r="BC234" s="58"/>
      <c r="BD234" s="58"/>
      <c r="BE234" s="69"/>
      <c r="BF234" s="52">
        <f t="shared" si="278"/>
        <v>0</v>
      </c>
      <c r="BG234" s="58" t="e">
        <f t="shared" si="279"/>
        <v>#DIV/0!</v>
      </c>
      <c r="BH234" s="65"/>
      <c r="BI234" s="65"/>
      <c r="BJ234" s="65"/>
      <c r="BK234" s="65"/>
      <c r="BL234" s="39">
        <f t="shared" si="271"/>
        <v>0</v>
      </c>
      <c r="BM234" s="39">
        <f t="shared" si="280"/>
        <v>0</v>
      </c>
      <c r="BN234" s="39"/>
      <c r="BO234" s="39">
        <f t="shared" si="266"/>
        <v>0</v>
      </c>
      <c r="BP234" s="51" t="e">
        <f t="shared" si="281"/>
        <v>#DIV/0!</v>
      </c>
      <c r="BQ234" s="99" t="e">
        <f t="shared" si="267"/>
        <v>#DIV/0!</v>
      </c>
      <c r="BR234" s="40"/>
      <c r="BV234" s="282">
        <f t="shared" si="273"/>
        <v>0</v>
      </c>
      <c r="BW234" s="39">
        <f t="shared" si="257"/>
        <v>0</v>
      </c>
      <c r="BX234" s="51" t="e">
        <f t="shared" si="258"/>
        <v>#DIV/0!</v>
      </c>
    </row>
    <row r="235" spans="1:76" s="63" customFormat="1" ht="18" hidden="1" customHeight="1">
      <c r="A235" s="53"/>
      <c r="D235" s="327">
        <f t="shared" si="233"/>
        <v>0</v>
      </c>
      <c r="E235" s="356" t="e">
        <f t="shared" si="236"/>
        <v>#DIV/0!</v>
      </c>
      <c r="G235" s="10">
        <f t="shared" si="234"/>
        <v>0</v>
      </c>
      <c r="H235" s="14" t="e">
        <f t="shared" si="237"/>
        <v>#DIV/0!</v>
      </c>
      <c r="J235" s="10">
        <f t="shared" si="235"/>
        <v>0</v>
      </c>
      <c r="K235" s="14" t="e">
        <f t="shared" si="238"/>
        <v>#DIV/0!</v>
      </c>
      <c r="M235" s="52"/>
      <c r="N235" s="60"/>
      <c r="O235" s="81"/>
      <c r="P235" s="69"/>
      <c r="Q235" s="60"/>
      <c r="R235" s="52"/>
      <c r="S235" s="52"/>
      <c r="T235" s="60"/>
      <c r="U235" s="52"/>
      <c r="V235" s="69"/>
      <c r="W235" s="60"/>
      <c r="X235" s="166"/>
      <c r="Y235" s="157"/>
      <c r="Z235" s="95"/>
      <c r="AA235" s="202">
        <v>98889</v>
      </c>
      <c r="AB235" s="172">
        <f t="shared" si="277"/>
        <v>32624</v>
      </c>
      <c r="AC235" s="101"/>
      <c r="AF235" s="69"/>
      <c r="AG235" s="69"/>
      <c r="AX235" s="69"/>
      <c r="AY235" s="52">
        <f t="shared" si="269"/>
        <v>0</v>
      </c>
      <c r="AZ235" s="58" t="e">
        <f t="shared" si="270"/>
        <v>#DIV/0!</v>
      </c>
      <c r="BA235" s="58"/>
      <c r="BB235" s="58"/>
      <c r="BC235" s="58"/>
      <c r="BD235" s="58"/>
      <c r="BE235" s="69"/>
      <c r="BF235" s="52">
        <f t="shared" si="278"/>
        <v>0</v>
      </c>
      <c r="BG235" s="58" t="e">
        <f t="shared" si="279"/>
        <v>#DIV/0!</v>
      </c>
      <c r="BH235" s="65"/>
      <c r="BI235" s="65"/>
      <c r="BJ235" s="65"/>
      <c r="BK235" s="65"/>
      <c r="BL235" s="39">
        <f t="shared" si="271"/>
        <v>0</v>
      </c>
      <c r="BM235" s="39">
        <f t="shared" si="280"/>
        <v>0</v>
      </c>
      <c r="BN235" s="39"/>
      <c r="BO235" s="39">
        <f t="shared" si="266"/>
        <v>0</v>
      </c>
      <c r="BP235" s="51" t="e">
        <f t="shared" si="281"/>
        <v>#DIV/0!</v>
      </c>
      <c r="BQ235" s="99" t="e">
        <f t="shared" si="267"/>
        <v>#DIV/0!</v>
      </c>
      <c r="BR235" s="40"/>
      <c r="BV235" s="282">
        <f t="shared" si="273"/>
        <v>0</v>
      </c>
      <c r="BW235" s="39">
        <f t="shared" si="257"/>
        <v>0</v>
      </c>
      <c r="BX235" s="51" t="e">
        <f t="shared" si="258"/>
        <v>#DIV/0!</v>
      </c>
    </row>
    <row r="236" spans="1:76" s="63" customFormat="1" ht="18" hidden="1" customHeight="1">
      <c r="A236" s="53"/>
      <c r="D236" s="327">
        <f t="shared" si="233"/>
        <v>0</v>
      </c>
      <c r="E236" s="356" t="e">
        <f t="shared" si="236"/>
        <v>#DIV/0!</v>
      </c>
      <c r="G236" s="10">
        <f t="shared" si="234"/>
        <v>0</v>
      </c>
      <c r="H236" s="14" t="e">
        <f t="shared" si="237"/>
        <v>#DIV/0!</v>
      </c>
      <c r="J236" s="10">
        <f t="shared" si="235"/>
        <v>0</v>
      </c>
      <c r="K236" s="14" t="e">
        <f t="shared" si="238"/>
        <v>#DIV/0!</v>
      </c>
      <c r="M236" s="52"/>
      <c r="N236" s="60"/>
      <c r="O236" s="81"/>
      <c r="P236" s="69"/>
      <c r="Q236" s="60"/>
      <c r="R236" s="52"/>
      <c r="S236" s="52"/>
      <c r="T236" s="60"/>
      <c r="U236" s="52"/>
      <c r="V236" s="69"/>
      <c r="W236" s="60"/>
      <c r="X236" s="166"/>
      <c r="Y236" s="157"/>
      <c r="Z236" s="95"/>
      <c r="AA236" s="202">
        <v>2400</v>
      </c>
      <c r="AB236" s="172">
        <f t="shared" si="277"/>
        <v>96696</v>
      </c>
      <c r="AC236" s="101"/>
      <c r="AF236" s="69"/>
      <c r="AG236" s="69"/>
      <c r="AX236" s="69"/>
      <c r="AY236" s="52">
        <f t="shared" si="269"/>
        <v>0</v>
      </c>
      <c r="AZ236" s="58" t="e">
        <f t="shared" si="270"/>
        <v>#DIV/0!</v>
      </c>
      <c r="BA236" s="58"/>
      <c r="BB236" s="58"/>
      <c r="BC236" s="58"/>
      <c r="BD236" s="58"/>
      <c r="BE236" s="69"/>
      <c r="BF236" s="52">
        <f t="shared" si="278"/>
        <v>0</v>
      </c>
      <c r="BG236" s="58" t="e">
        <f t="shared" si="279"/>
        <v>#DIV/0!</v>
      </c>
      <c r="BH236" s="65"/>
      <c r="BI236" s="65"/>
      <c r="BJ236" s="65"/>
      <c r="BK236" s="65"/>
      <c r="BL236" s="39">
        <f t="shared" si="271"/>
        <v>0</v>
      </c>
      <c r="BM236" s="39">
        <f t="shared" si="280"/>
        <v>0</v>
      </c>
      <c r="BN236" s="39"/>
      <c r="BO236" s="39">
        <f t="shared" si="266"/>
        <v>0</v>
      </c>
      <c r="BP236" s="51" t="e">
        <f t="shared" si="281"/>
        <v>#DIV/0!</v>
      </c>
      <c r="BQ236" s="99" t="e">
        <f t="shared" si="267"/>
        <v>#DIV/0!</v>
      </c>
      <c r="BR236" s="40"/>
      <c r="BV236" s="282">
        <f t="shared" si="273"/>
        <v>0</v>
      </c>
      <c r="BW236" s="39">
        <f t="shared" si="257"/>
        <v>0</v>
      </c>
      <c r="BX236" s="51" t="e">
        <f t="shared" si="258"/>
        <v>#DIV/0!</v>
      </c>
    </row>
    <row r="237" spans="1:76" s="63" customFormat="1" ht="18" hidden="1" customHeight="1">
      <c r="A237" s="53"/>
      <c r="D237" s="327">
        <f t="shared" si="233"/>
        <v>0</v>
      </c>
      <c r="E237" s="356" t="e">
        <f t="shared" si="236"/>
        <v>#DIV/0!</v>
      </c>
      <c r="G237" s="10">
        <f t="shared" si="234"/>
        <v>0</v>
      </c>
      <c r="H237" s="14" t="e">
        <f t="shared" si="237"/>
        <v>#DIV/0!</v>
      </c>
      <c r="J237" s="10">
        <f t="shared" si="235"/>
        <v>0</v>
      </c>
      <c r="K237" s="14" t="e">
        <f t="shared" si="238"/>
        <v>#DIV/0!</v>
      </c>
      <c r="M237" s="52"/>
      <c r="N237" s="60"/>
      <c r="O237" s="81"/>
      <c r="P237" s="69"/>
      <c r="Q237" s="60"/>
      <c r="R237" s="52"/>
      <c r="S237" s="52"/>
      <c r="T237" s="60"/>
      <c r="U237" s="52"/>
      <c r="V237" s="69"/>
      <c r="W237" s="60"/>
      <c r="X237" s="166"/>
      <c r="Y237" s="157"/>
      <c r="Z237" s="95"/>
      <c r="AA237" s="202">
        <v>17</v>
      </c>
      <c r="AB237" s="172">
        <f t="shared" si="277"/>
        <v>7919</v>
      </c>
      <c r="AC237" s="101"/>
      <c r="AF237" s="69"/>
      <c r="AG237" s="69"/>
      <c r="AX237" s="69"/>
      <c r="AY237" s="52">
        <f t="shared" si="269"/>
        <v>0</v>
      </c>
      <c r="AZ237" s="58" t="e">
        <f t="shared" si="270"/>
        <v>#DIV/0!</v>
      </c>
      <c r="BA237" s="58"/>
      <c r="BB237" s="58"/>
      <c r="BC237" s="58"/>
      <c r="BD237" s="58"/>
      <c r="BE237" s="69"/>
      <c r="BF237" s="52">
        <f t="shared" si="278"/>
        <v>0</v>
      </c>
      <c r="BG237" s="58" t="e">
        <f t="shared" si="279"/>
        <v>#DIV/0!</v>
      </c>
      <c r="BH237" s="65"/>
      <c r="BI237" s="65"/>
      <c r="BJ237" s="65"/>
      <c r="BK237" s="65"/>
      <c r="BL237" s="39">
        <f t="shared" si="271"/>
        <v>0</v>
      </c>
      <c r="BM237" s="39">
        <f t="shared" si="280"/>
        <v>0</v>
      </c>
      <c r="BN237" s="39"/>
      <c r="BO237" s="39">
        <f t="shared" si="266"/>
        <v>0</v>
      </c>
      <c r="BP237" s="51" t="e">
        <f t="shared" si="281"/>
        <v>#DIV/0!</v>
      </c>
      <c r="BQ237" s="99" t="e">
        <f t="shared" si="267"/>
        <v>#DIV/0!</v>
      </c>
      <c r="BR237" s="40"/>
      <c r="BV237" s="282">
        <f t="shared" si="273"/>
        <v>0</v>
      </c>
      <c r="BW237" s="39">
        <f t="shared" si="257"/>
        <v>0</v>
      </c>
      <c r="BX237" s="51" t="e">
        <f t="shared" si="258"/>
        <v>#DIV/0!</v>
      </c>
    </row>
    <row r="238" spans="1:76" s="63" customFormat="1" ht="18" hidden="1" customHeight="1">
      <c r="A238" s="53"/>
      <c r="D238" s="327">
        <f t="shared" si="233"/>
        <v>0</v>
      </c>
      <c r="E238" s="356" t="e">
        <f t="shared" si="236"/>
        <v>#DIV/0!</v>
      </c>
      <c r="G238" s="10">
        <f t="shared" si="234"/>
        <v>0</v>
      </c>
      <c r="H238" s="14" t="e">
        <f t="shared" si="237"/>
        <v>#DIV/0!</v>
      </c>
      <c r="J238" s="10">
        <f t="shared" si="235"/>
        <v>0</v>
      </c>
      <c r="K238" s="14" t="e">
        <f t="shared" si="238"/>
        <v>#DIV/0!</v>
      </c>
      <c r="M238" s="52"/>
      <c r="N238" s="60"/>
      <c r="O238" s="81"/>
      <c r="P238" s="69"/>
      <c r="Q238" s="60"/>
      <c r="R238" s="52"/>
      <c r="S238" s="52"/>
      <c r="T238" s="60"/>
      <c r="U238" s="52"/>
      <c r="V238" s="69"/>
      <c r="W238" s="60"/>
      <c r="X238" s="166"/>
      <c r="Y238" s="157"/>
      <c r="Z238" s="95"/>
      <c r="AA238" s="202">
        <v>180000</v>
      </c>
      <c r="AB238" s="172">
        <f t="shared" si="277"/>
        <v>98889</v>
      </c>
      <c r="AC238" s="101"/>
      <c r="AF238" s="69"/>
      <c r="AG238" s="69"/>
      <c r="AX238" s="69"/>
      <c r="AY238" s="52">
        <f t="shared" si="269"/>
        <v>0</v>
      </c>
      <c r="AZ238" s="58" t="e">
        <f t="shared" si="270"/>
        <v>#DIV/0!</v>
      </c>
      <c r="BA238" s="58"/>
      <c r="BB238" s="58"/>
      <c r="BC238" s="58"/>
      <c r="BD238" s="58"/>
      <c r="BE238" s="69"/>
      <c r="BF238" s="52">
        <f t="shared" si="278"/>
        <v>0</v>
      </c>
      <c r="BG238" s="58" t="e">
        <f t="shared" si="279"/>
        <v>#DIV/0!</v>
      </c>
      <c r="BH238" s="65"/>
      <c r="BI238" s="65"/>
      <c r="BJ238" s="65"/>
      <c r="BK238" s="65"/>
      <c r="BL238" s="39">
        <f t="shared" si="271"/>
        <v>0</v>
      </c>
      <c r="BM238" s="39">
        <f t="shared" si="280"/>
        <v>0</v>
      </c>
      <c r="BN238" s="39"/>
      <c r="BO238" s="39">
        <f t="shared" si="266"/>
        <v>0</v>
      </c>
      <c r="BP238" s="51" t="e">
        <f t="shared" si="281"/>
        <v>#DIV/0!</v>
      </c>
      <c r="BQ238" s="99" t="e">
        <f t="shared" si="267"/>
        <v>#DIV/0!</v>
      </c>
      <c r="BR238" s="40"/>
      <c r="BV238" s="282">
        <f t="shared" si="273"/>
        <v>0</v>
      </c>
      <c r="BW238" s="39">
        <f t="shared" si="257"/>
        <v>0</v>
      </c>
      <c r="BX238" s="51" t="e">
        <f t="shared" si="258"/>
        <v>#DIV/0!</v>
      </c>
    </row>
    <row r="239" spans="1:76" s="63" customFormat="1" ht="18" hidden="1" customHeight="1">
      <c r="A239" s="53"/>
      <c r="D239" s="327">
        <f t="shared" si="233"/>
        <v>0</v>
      </c>
      <c r="E239" s="356" t="e">
        <f t="shared" si="236"/>
        <v>#DIV/0!</v>
      </c>
      <c r="G239" s="10">
        <f t="shared" si="234"/>
        <v>0</v>
      </c>
      <c r="H239" s="14" t="e">
        <f t="shared" si="237"/>
        <v>#DIV/0!</v>
      </c>
      <c r="J239" s="10">
        <f t="shared" si="235"/>
        <v>0</v>
      </c>
      <c r="K239" s="14" t="e">
        <f t="shared" si="238"/>
        <v>#DIV/0!</v>
      </c>
      <c r="M239" s="52"/>
      <c r="N239" s="60"/>
      <c r="O239" s="81"/>
      <c r="P239" s="69"/>
      <c r="Q239" s="60"/>
      <c r="R239" s="52"/>
      <c r="S239" s="52"/>
      <c r="T239" s="60"/>
      <c r="U239" s="52"/>
      <c r="V239" s="69"/>
      <c r="W239" s="60"/>
      <c r="X239" s="166"/>
      <c r="Y239" s="157"/>
      <c r="Z239" s="95"/>
      <c r="AA239" s="202">
        <v>108680</v>
      </c>
      <c r="AB239" s="172">
        <f t="shared" si="277"/>
        <v>2400</v>
      </c>
      <c r="AC239" s="101"/>
      <c r="AF239" s="69"/>
      <c r="AG239" s="69"/>
      <c r="AX239" s="69"/>
      <c r="AY239" s="52">
        <f t="shared" si="269"/>
        <v>0</v>
      </c>
      <c r="AZ239" s="58" t="e">
        <f t="shared" si="270"/>
        <v>#DIV/0!</v>
      </c>
      <c r="BA239" s="58"/>
      <c r="BB239" s="58"/>
      <c r="BC239" s="58"/>
      <c r="BD239" s="58"/>
      <c r="BE239" s="69"/>
      <c r="BF239" s="52">
        <f t="shared" si="278"/>
        <v>0</v>
      </c>
      <c r="BG239" s="58" t="e">
        <f t="shared" si="279"/>
        <v>#DIV/0!</v>
      </c>
      <c r="BH239" s="65"/>
      <c r="BI239" s="65"/>
      <c r="BJ239" s="65"/>
      <c r="BK239" s="65"/>
      <c r="BL239" s="39">
        <f t="shared" si="271"/>
        <v>0</v>
      </c>
      <c r="BM239" s="39">
        <f t="shared" si="280"/>
        <v>0</v>
      </c>
      <c r="BN239" s="39"/>
      <c r="BO239" s="39">
        <f t="shared" si="266"/>
        <v>0</v>
      </c>
      <c r="BP239" s="51" t="e">
        <f t="shared" si="281"/>
        <v>#DIV/0!</v>
      </c>
      <c r="BQ239" s="99" t="e">
        <f t="shared" si="267"/>
        <v>#DIV/0!</v>
      </c>
      <c r="BR239" s="40"/>
      <c r="BV239" s="282">
        <f t="shared" si="273"/>
        <v>0</v>
      </c>
      <c r="BW239" s="39">
        <f t="shared" si="257"/>
        <v>0</v>
      </c>
      <c r="BX239" s="51" t="e">
        <f t="shared" si="258"/>
        <v>#DIV/0!</v>
      </c>
    </row>
    <row r="240" spans="1:76" s="63" customFormat="1" ht="18" hidden="1" customHeight="1">
      <c r="A240" s="53"/>
      <c r="D240" s="327">
        <f t="shared" si="233"/>
        <v>0</v>
      </c>
      <c r="E240" s="356" t="e">
        <f t="shared" si="236"/>
        <v>#DIV/0!</v>
      </c>
      <c r="G240" s="10">
        <f t="shared" si="234"/>
        <v>0</v>
      </c>
      <c r="H240" s="14" t="e">
        <f t="shared" si="237"/>
        <v>#DIV/0!</v>
      </c>
      <c r="J240" s="10">
        <f t="shared" si="235"/>
        <v>0</v>
      </c>
      <c r="K240" s="14" t="e">
        <f t="shared" si="238"/>
        <v>#DIV/0!</v>
      </c>
      <c r="M240" s="52"/>
      <c r="N240" s="60"/>
      <c r="O240" s="81"/>
      <c r="P240" s="69"/>
      <c r="Q240" s="60"/>
      <c r="R240" s="52"/>
      <c r="S240" s="52"/>
      <c r="T240" s="60"/>
      <c r="U240" s="52"/>
      <c r="V240" s="69"/>
      <c r="W240" s="60"/>
      <c r="X240" s="166"/>
      <c r="Y240" s="157"/>
      <c r="Z240" s="95"/>
      <c r="AA240" s="202">
        <v>9770</v>
      </c>
      <c r="AB240" s="172">
        <f t="shared" si="277"/>
        <v>17</v>
      </c>
      <c r="AC240" s="101"/>
      <c r="AF240" s="69"/>
      <c r="AG240" s="69"/>
      <c r="AX240" s="69"/>
      <c r="AY240" s="52">
        <f t="shared" si="269"/>
        <v>0</v>
      </c>
      <c r="AZ240" s="58" t="e">
        <f t="shared" si="270"/>
        <v>#DIV/0!</v>
      </c>
      <c r="BA240" s="58"/>
      <c r="BB240" s="58"/>
      <c r="BC240" s="58"/>
      <c r="BD240" s="58"/>
      <c r="BE240" s="69"/>
      <c r="BF240" s="52">
        <f t="shared" si="278"/>
        <v>0</v>
      </c>
      <c r="BG240" s="58" t="e">
        <f t="shared" si="279"/>
        <v>#DIV/0!</v>
      </c>
      <c r="BH240" s="65"/>
      <c r="BI240" s="65"/>
      <c r="BJ240" s="65"/>
      <c r="BK240" s="65"/>
      <c r="BL240" s="39">
        <f t="shared" si="271"/>
        <v>0</v>
      </c>
      <c r="BM240" s="39">
        <f t="shared" si="280"/>
        <v>0</v>
      </c>
      <c r="BN240" s="39"/>
      <c r="BO240" s="39">
        <f t="shared" si="266"/>
        <v>0</v>
      </c>
      <c r="BP240" s="51" t="e">
        <f t="shared" si="281"/>
        <v>#DIV/0!</v>
      </c>
      <c r="BQ240" s="99" t="e">
        <f t="shared" si="267"/>
        <v>#DIV/0!</v>
      </c>
      <c r="BR240" s="40"/>
      <c r="BV240" s="282">
        <f t="shared" si="273"/>
        <v>0</v>
      </c>
      <c r="BW240" s="39">
        <f t="shared" si="257"/>
        <v>0</v>
      </c>
      <c r="BX240" s="51" t="e">
        <f t="shared" si="258"/>
        <v>#DIV/0!</v>
      </c>
    </row>
    <row r="241" spans="1:76" ht="18" hidden="1" customHeight="1" thickBot="1">
      <c r="D241" s="327">
        <f t="shared" si="233"/>
        <v>0</v>
      </c>
      <c r="E241" s="356" t="e">
        <f t="shared" si="236"/>
        <v>#DIV/0!</v>
      </c>
      <c r="G241" s="10">
        <f t="shared" si="234"/>
        <v>0</v>
      </c>
      <c r="H241" s="14" t="e">
        <f t="shared" si="237"/>
        <v>#DIV/0!</v>
      </c>
      <c r="J241" s="10">
        <f t="shared" si="235"/>
        <v>0</v>
      </c>
      <c r="K241" s="14" t="e">
        <f t="shared" si="238"/>
        <v>#DIV/0!</v>
      </c>
      <c r="AA241" s="136">
        <f>SUM(AA228:AA240)</f>
        <v>1229323</v>
      </c>
      <c r="AB241" s="172">
        <f t="shared" si="277"/>
        <v>180000</v>
      </c>
      <c r="AY241" s="52">
        <f t="shared" si="269"/>
        <v>0</v>
      </c>
      <c r="AZ241" s="58" t="e">
        <f t="shared" si="270"/>
        <v>#DIV/0!</v>
      </c>
      <c r="BF241" s="52">
        <f t="shared" si="278"/>
        <v>0</v>
      </c>
      <c r="BG241" s="58" t="e">
        <f t="shared" si="279"/>
        <v>#DIV/0!</v>
      </c>
      <c r="BH241" s="65"/>
      <c r="BI241" s="65"/>
      <c r="BJ241" s="65"/>
      <c r="BK241" s="65"/>
      <c r="BL241" s="39">
        <f t="shared" si="271"/>
        <v>0</v>
      </c>
      <c r="BM241" s="39">
        <f t="shared" si="280"/>
        <v>0</v>
      </c>
      <c r="BN241" s="39"/>
      <c r="BO241" s="39">
        <f t="shared" si="266"/>
        <v>0</v>
      </c>
      <c r="BP241" s="51" t="e">
        <f t="shared" si="281"/>
        <v>#DIV/0!</v>
      </c>
      <c r="BQ241" s="99" t="e">
        <f t="shared" si="267"/>
        <v>#DIV/0!</v>
      </c>
      <c r="BV241" s="282">
        <f t="shared" si="273"/>
        <v>0</v>
      </c>
      <c r="BW241" s="39">
        <f t="shared" si="257"/>
        <v>0</v>
      </c>
      <c r="BX241" s="51" t="e">
        <f t="shared" si="258"/>
        <v>#DIV/0!</v>
      </c>
    </row>
    <row r="242" spans="1:76" s="116" customFormat="1" ht="18" customHeight="1">
      <c r="A242" s="116" t="s">
        <v>120</v>
      </c>
      <c r="B242" s="142">
        <f>+B222+B188+B166+B133+B109+B74+B41</f>
        <v>3216212</v>
      </c>
      <c r="C242" s="142">
        <f>+C222+C188+C166+C133+C109+C74+C41</f>
        <v>3526215</v>
      </c>
      <c r="D242" s="368">
        <f t="shared" si="233"/>
        <v>310003</v>
      </c>
      <c r="E242" s="369">
        <f t="shared" si="236"/>
        <v>9.638761375182979E-2</v>
      </c>
      <c r="F242" s="142">
        <f>+F222+F188+F166+F133+F109+F74+F41</f>
        <v>3570540</v>
      </c>
      <c r="G242" s="367">
        <f t="shared" si="234"/>
        <v>44325</v>
      </c>
      <c r="H242" s="370">
        <f t="shared" si="237"/>
        <v>1.2570135400138675E-2</v>
      </c>
      <c r="I242" s="367">
        <f>+I222+I188+I166+I133+I109+I74+I41</f>
        <v>3608249</v>
      </c>
      <c r="J242" s="367">
        <f t="shared" si="235"/>
        <v>37709</v>
      </c>
      <c r="K242" s="370">
        <f t="shared" si="238"/>
        <v>1.0561147613526245E-2</v>
      </c>
      <c r="L242" s="142">
        <f>+L222+L188+L166+L133+L109+L74+L41</f>
        <v>3986249</v>
      </c>
      <c r="M242" s="142">
        <f>+M222+M188+M166+M133+M109+M74+M41</f>
        <v>119050</v>
      </c>
      <c r="N242" s="143" t="s">
        <v>78</v>
      </c>
      <c r="O242" s="142">
        <f>+O222+O188+O166+O133+O109+O74+O41</f>
        <v>4449363</v>
      </c>
      <c r="P242" s="142">
        <f>O242-L242</f>
        <v>463114</v>
      </c>
      <c r="Q242" s="133">
        <f>P242/L242</f>
        <v>0.11617789054321494</v>
      </c>
      <c r="R242" s="142">
        <f>+R222+R188+R166+R133+R109+R74+R41</f>
        <v>5194334</v>
      </c>
      <c r="S242" s="132">
        <f>R242-O242</f>
        <v>744971</v>
      </c>
      <c r="T242" s="133">
        <f>S242/O242</f>
        <v>0.16743318088454459</v>
      </c>
      <c r="U242" s="142">
        <f>+U222+U188+U166+U133+U109+U74+U41</f>
        <v>5490146</v>
      </c>
      <c r="V242" s="142">
        <f>U242-R242</f>
        <v>295812</v>
      </c>
      <c r="W242" s="144">
        <f>V242/R242</f>
        <v>5.6948975556827881E-2</v>
      </c>
      <c r="X242" s="183">
        <f>SUM(X222,X188,X166,X133,X109,X74,X41)</f>
        <v>6283891</v>
      </c>
      <c r="Y242" s="169">
        <f>X242-U242</f>
        <v>793745</v>
      </c>
      <c r="Z242" s="134">
        <f>Y242/U242</f>
        <v>0.1445763008852588</v>
      </c>
      <c r="AA242" s="203">
        <f>SUM(AA188,AA222,AA166,AA133,AA109,AA74,AA41)</f>
        <v>6256680</v>
      </c>
      <c r="AB242" s="159">
        <f>AA242-X242</f>
        <v>-27211</v>
      </c>
      <c r="AC242" s="135">
        <f>AB242/X242</f>
        <v>-4.3302788033719869E-3</v>
      </c>
      <c r="AD242" s="142">
        <f>+AD222+AD188+AD166+AD133+AD109+AD74+AD41</f>
        <v>5186888</v>
      </c>
      <c r="AE242" s="142">
        <f>+AE222+AE188+AE166+AE133+AE109+AE74+AE41</f>
        <v>813170</v>
      </c>
      <c r="AF242" s="142">
        <f>+AF222+AF188+AF166+AF133+AF109+AF74+AF41</f>
        <v>5823850</v>
      </c>
      <c r="AG242" s="132">
        <f t="shared" ref="AG242" si="282">AF242-AA242</f>
        <v>-432830</v>
      </c>
      <c r="AH242" s="133">
        <f t="shared" ref="AH242" si="283">AG242/AA242</f>
        <v>-6.917886163268698E-2</v>
      </c>
      <c r="AI242" s="142">
        <f t="shared" ref="AI242:AO242" si="284">+AI222+AI188+AI166+AI133+AI109+AI74+AI41</f>
        <v>3449739</v>
      </c>
      <c r="AJ242" s="142">
        <f t="shared" si="284"/>
        <v>5158606</v>
      </c>
      <c r="AK242" s="142">
        <f t="shared" si="284"/>
        <v>5590843</v>
      </c>
      <c r="AL242" s="142">
        <f t="shared" si="284"/>
        <v>101819</v>
      </c>
      <c r="AM242" s="142">
        <f t="shared" si="284"/>
        <v>5692662</v>
      </c>
      <c r="AN242" s="142">
        <f t="shared" si="284"/>
        <v>5268442</v>
      </c>
      <c r="AO242" s="142">
        <f t="shared" si="284"/>
        <v>6135094</v>
      </c>
      <c r="AP242" s="144">
        <f>+AN242/AD242-1</f>
        <v>1.5723107959917382E-2</v>
      </c>
      <c r="AQ242" s="144">
        <f>+AO242/AF242-1</f>
        <v>5.3442997329945063E-2</v>
      </c>
      <c r="AR242" s="142">
        <f>+AR222+AR188+AR166+AR133+AR109+AR74+AR41</f>
        <v>111299</v>
      </c>
      <c r="AS242" s="142">
        <f>+AS222+AS188+AS166+AS133+AS109+AS74+AS41</f>
        <v>6164783.4165400006</v>
      </c>
      <c r="AT242" s="142">
        <f>+AT222+AT188+AT166+AT133+AT109+AT74+AT41</f>
        <v>340933.41654000082</v>
      </c>
      <c r="AU242" s="397">
        <f>AT242/AF242</f>
        <v>5.8540899326047342E-2</v>
      </c>
      <c r="AV242" s="142">
        <f>+AV222+AV188+AV166+AV133+AV109+AV74+AV41</f>
        <v>328353.41654000035</v>
      </c>
      <c r="AW242" s="397">
        <f>+AV242/AF242</f>
        <v>5.6380816219511208E-2</v>
      </c>
      <c r="AX242" s="142">
        <f>+AX222+AX188+AX166+AX133+AX109+AX74+AX41</f>
        <v>6213682</v>
      </c>
      <c r="AY242" s="107">
        <f t="shared" si="269"/>
        <v>389832</v>
      </c>
      <c r="AZ242" s="125">
        <f t="shared" si="270"/>
        <v>6.6937163560187848E-2</v>
      </c>
      <c r="BA242" s="125"/>
      <c r="BB242" s="125"/>
      <c r="BC242" s="125"/>
      <c r="BD242" s="125"/>
      <c r="BE242" s="142">
        <f>+BE222+BE188+BE166+BE133+BE109+BE74+BE41</f>
        <v>6445514</v>
      </c>
      <c r="BF242" s="107">
        <f t="shared" si="278"/>
        <v>231832</v>
      </c>
      <c r="BG242" s="125">
        <f t="shared" si="279"/>
        <v>3.7309923488199108E-2</v>
      </c>
      <c r="BH242" s="110">
        <f>SUM(BH222,BH188,BH133,BH109,BH74,BH41,BH166)</f>
        <v>108124</v>
      </c>
      <c r="BI242" s="110"/>
      <c r="BJ242" s="110"/>
      <c r="BK242" s="110">
        <f>BK188+BK166+BK133+BK109+BK74+BK41</f>
        <v>3499</v>
      </c>
      <c r="BL242" s="562">
        <f>BE242+BH242+BI242+BJ242+BK242</f>
        <v>6557137</v>
      </c>
      <c r="BM242" s="562">
        <f t="shared" si="280"/>
        <v>392353.58345999941</v>
      </c>
      <c r="BN242" s="562">
        <f>BN222+BN188+BN166+BN133+BN109+BN74+BN41</f>
        <v>6748667</v>
      </c>
      <c r="BO242" s="39">
        <f t="shared" si="266"/>
        <v>303153</v>
      </c>
      <c r="BP242" s="108">
        <f t="shared" si="281"/>
        <v>6.364434189323212E-2</v>
      </c>
      <c r="BQ242" s="99">
        <f t="shared" si="267"/>
        <v>4.7033176873093441E-2</v>
      </c>
      <c r="BR242" s="659"/>
      <c r="BV242" s="646">
        <f>BV222+BV188+BV166+BV133+BV109+BV74+BV41</f>
        <v>7008660.0350000001</v>
      </c>
      <c r="BW242" s="647">
        <f t="shared" si="257"/>
        <v>451523.03500000015</v>
      </c>
      <c r="BX242" s="648">
        <f t="shared" si="258"/>
        <v>6.8859783622028964E-2</v>
      </c>
    </row>
    <row r="243" spans="1:76" ht="18" customHeight="1">
      <c r="A243" s="220"/>
      <c r="AA243" s="62"/>
      <c r="AB243" s="172"/>
      <c r="AM243" s="52"/>
      <c r="AN243" s="52"/>
      <c r="AO243" s="58" t="e">
        <f>+AO242/AF243-1</f>
        <v>#DIV/0!</v>
      </c>
      <c r="BN243" s="39"/>
      <c r="BO243" s="39">
        <f t="shared" si="266"/>
        <v>0</v>
      </c>
      <c r="BQ243" s="99" t="e">
        <f t="shared" si="267"/>
        <v>#DIV/0!</v>
      </c>
    </row>
    <row r="244" spans="1:76" ht="18" customHeight="1">
      <c r="AA244" s="218"/>
      <c r="AB244" s="172"/>
      <c r="AN244" s="52"/>
      <c r="AO244" s="52"/>
      <c r="BN244" s="39"/>
    </row>
    <row r="245" spans="1:76" ht="18" customHeight="1">
      <c r="AA245" s="218"/>
      <c r="AB245" s="172"/>
      <c r="BN245" s="39"/>
      <c r="BV245" s="39">
        <f>7050420-6762028</f>
        <v>288392</v>
      </c>
    </row>
    <row r="246" spans="1:76" ht="18" customHeight="1">
      <c r="AB246" s="172"/>
      <c r="BN246" s="39"/>
    </row>
    <row r="247" spans="1:76" ht="18" customHeight="1">
      <c r="AB247" s="172"/>
      <c r="BN247" s="39"/>
    </row>
    <row r="248" spans="1:76" ht="18" customHeight="1">
      <c r="AB248" s="172"/>
      <c r="BN248" s="39"/>
    </row>
    <row r="249" spans="1:76" ht="18" customHeight="1">
      <c r="AB249" s="172"/>
      <c r="AQ249" s="220"/>
      <c r="BN249" s="39"/>
    </row>
    <row r="250" spans="1:76" ht="18" customHeight="1">
      <c r="AB250" s="172"/>
      <c r="AQ250" s="220"/>
      <c r="BN250" s="39"/>
    </row>
    <row r="251" spans="1:76" ht="18" customHeight="1">
      <c r="AB251" s="172"/>
      <c r="AQ251" s="220"/>
      <c r="BN251" s="39"/>
    </row>
    <row r="252" spans="1:76" ht="18" customHeight="1">
      <c r="AB252" s="172"/>
      <c r="AQ252" s="220"/>
      <c r="BN252" s="39"/>
    </row>
    <row r="253" spans="1:76" ht="18" customHeight="1">
      <c r="AQ253" s="220"/>
      <c r="BN253" s="39"/>
    </row>
    <row r="254" spans="1:76" ht="18" customHeight="1">
      <c r="BN254" s="39"/>
    </row>
    <row r="255" spans="1:76" ht="18" customHeight="1">
      <c r="BN255" s="39"/>
    </row>
    <row r="256" spans="1:76" ht="18" customHeight="1">
      <c r="BN256" s="39"/>
    </row>
    <row r="257" spans="36:66" ht="18" customHeight="1">
      <c r="BN257" s="39"/>
    </row>
    <row r="258" spans="36:66" ht="18" customHeight="1">
      <c r="AJ258" s="50">
        <f>9.55*1.01416</f>
        <v>9.6852280000000004</v>
      </c>
      <c r="AK258" s="50">
        <v>9.4600000000000009</v>
      </c>
      <c r="AL258" s="50">
        <f>+AK258-AJ258</f>
        <v>-0.22522799999999954</v>
      </c>
      <c r="AM258" s="50">
        <f>+AK258/AJ258-1</f>
        <v>-2.3254795860252253E-2</v>
      </c>
      <c r="BN258" s="39"/>
    </row>
  </sheetData>
  <customSheetViews>
    <customSheetView guid="{567C3053-2D8E-4705-8DC7-18896C5303CA}" scale="85" showPageBreaks="1" hiddenRows="1" hiddenColumns="1" topLeftCell="A211">
      <pane xSplit="1" topLeftCell="BN1" activePane="topRight" state="frozen"/>
      <selection pane="topRight" activeCell="BN213" sqref="BN213"/>
      <pageMargins left="0.75" right="0.75" top="1" bottom="1" header="0.5" footer="0.5"/>
      <pageSetup orientation="portrait" r:id="rId1"/>
      <headerFooter alignWithMargins="0"/>
    </customSheetView>
    <customSheetView guid="{9D4F0482-B164-4671-805A-E0D2D4DD4720}" scale="85" hiddenRows="1" hiddenColumns="1" topLeftCell="A4">
      <pane xSplit="1" ySplit="2" topLeftCell="AD49" activePane="bottomRight" state="frozen"/>
      <selection pane="bottomRight" activeCell="A56" sqref="A56:XFD56"/>
      <pageMargins left="0.75" right="0.75" top="1" bottom="1" header="0.5" footer="0.5"/>
      <pageSetup orientation="portrait" r:id="rId2"/>
      <headerFooter alignWithMargins="0"/>
    </customSheetView>
    <customSheetView guid="{78CA186D-B240-44D5-8A24-D241DE0B0FD9}" scale="80" hiddenRows="1" hiddenColumns="1" topLeftCell="A4">
      <pane xSplit="1" ySplit="3" topLeftCell="BE172" activePane="bottomRight" state="frozen"/>
      <selection pane="bottomRight" activeCell="BO58" sqref="BO58"/>
      <pageMargins left="0.75" right="0.75" top="1" bottom="1" header="0.5" footer="0.5"/>
      <pageSetup orientation="portrait" r:id="rId3"/>
      <headerFooter alignWithMargins="0"/>
    </customSheetView>
    <customSheetView guid="{455630F5-40FC-47DB-8AD4-712C20B8FB91}" hiddenRows="1" hiddenColumns="1" topLeftCell="A4">
      <pane xSplit="1" ySplit="3" topLeftCell="BR28" activePane="bottomRight" state="frozen"/>
      <selection pane="bottomRight" activeCell="BT41" sqref="BT41"/>
      <pageMargins left="0.75" right="0.75" top="1" bottom="1" header="0.5" footer="0.5"/>
      <pageSetup orientation="portrait" r:id="rId4"/>
      <headerFooter alignWithMargins="0"/>
    </customSheetView>
    <customSheetView guid="{AEFEB150-9213-45F5-A178-7AC71E46DB11}" scale="85" hiddenRows="1" topLeftCell="A4">
      <pane xSplit="1" ySplit="2" topLeftCell="BL199" activePane="bottomRight" state="frozen"/>
      <selection pane="bottomRight" activeCell="BP204" sqref="BP204"/>
      <pageMargins left="0.75" right="0.75" top="1" bottom="1" header="0.5" footer="0.5"/>
      <pageSetup orientation="portrait" r:id="rId5"/>
      <headerFooter alignWithMargins="0"/>
    </customSheetView>
    <customSheetView guid="{1E5198E1-BA46-4CE0-8628-4F695B0D7A3B}" scale="85" hiddenRows="1" topLeftCell="A4">
      <pane xSplit="1" ySplit="2" topLeftCell="AX6" activePane="bottomRight" state="frozen"/>
      <selection pane="bottomRight" activeCell="BB32" sqref="BB32"/>
      <pageMargins left="0.75" right="0.75" top="1" bottom="1" header="0.5" footer="0.5"/>
      <pageSetup orientation="portrait" r:id="rId6"/>
      <headerFooter alignWithMargins="0"/>
    </customSheetView>
    <customSheetView guid="{F784130D-F647-4ABA-8943-C79CA5B0FDC4}" scale="85" hiddenRows="1" topLeftCell="A4">
      <pane xSplit="1" ySplit="5" topLeftCell="BD43" activePane="bottomRight" state="frozen"/>
      <selection pane="bottomRight" activeCell="BG54" sqref="BG54"/>
      <pageMargins left="0.75" right="0.75" top="1" bottom="1" header="0.5" footer="0.5"/>
      <pageSetup orientation="portrait" r:id="rId7"/>
      <headerFooter alignWithMargins="0"/>
    </customSheetView>
    <customSheetView guid="{8F508F4D-4777-42BE-9707-8CB9355F7BDB}" scale="85" hiddenRows="1" topLeftCell="A4">
      <pane xSplit="1" ySplit="6" topLeftCell="AH46" activePane="bottomRight" state="frozen"/>
      <selection pane="bottomRight" activeCell="AS6" sqref="AS6"/>
      <pageMargins left="0.75" right="0.75" top="1" bottom="1" header="0.5" footer="0.5"/>
      <pageSetup orientation="portrait" r:id="rId8"/>
      <headerFooter alignWithMargins="0"/>
    </customSheetView>
    <customSheetView guid="{94DA13B6-7351-40F3-8CF7-A4211EC439DA}" scale="85" hiddenRows="1" topLeftCell="A3">
      <pane xSplit="1" ySplit="5" topLeftCell="AY138" activePane="bottomRight" state="frozen"/>
      <selection pane="bottomRight" activeCell="BC167" sqref="BC167"/>
      <pageMargins left="0.75" right="0.75" top="1" bottom="1" header="0.5" footer="0.5"/>
      <pageSetup orientation="portrait" r:id="rId9"/>
      <headerFooter alignWithMargins="0"/>
    </customSheetView>
    <customSheetView guid="{E44F5FE1-54FC-4AB3-84F9-7D65ACF2DDE7}" scale="85" hiddenRows="1" hiddenColumns="1" topLeftCell="A4">
      <pane xSplit="1" ySplit="2" topLeftCell="AT47" activePane="bottomRight" state="frozen"/>
      <selection pane="bottomRight" activeCell="AX55" sqref="AX55"/>
      <pageMargins left="0.75" right="0.75" top="1" bottom="1" header="0.5" footer="0.5"/>
      <pageSetup orientation="portrait" r:id="rId10"/>
      <headerFooter alignWithMargins="0"/>
    </customSheetView>
    <customSheetView guid="{50528D02-548E-47E0-94D7-D1E79CD3569C}" hiddenRows="1" hiddenColumns="1" topLeftCell="A4">
      <pane xSplit="1" ySplit="3" topLeftCell="BM115" activePane="bottomRight" state="frozen"/>
      <selection pane="bottomRight" activeCell="BS130" sqref="BS130"/>
      <pageMargins left="0.75" right="0.75" top="1" bottom="1" header="0.5" footer="0.5"/>
      <pageSetup orientation="portrait" r:id="rId11"/>
      <headerFooter alignWithMargins="0"/>
    </customSheetView>
    <customSheetView guid="{A2518DB3-3A80-4035-9307-EC50A7C923F2}" hiddenRows="1" hiddenColumns="1" topLeftCell="A4">
      <pane xSplit="1" ySplit="3" topLeftCell="BS148" activePane="bottomRight" state="frozen"/>
      <selection pane="bottomRight" activeCell="BS148" sqref="BS148"/>
      <pageMargins left="0.75" right="0.75" top="1" bottom="1" header="0.5" footer="0.5"/>
      <pageSetup orientation="portrait" r:id="rId12"/>
      <headerFooter alignWithMargins="0"/>
    </customSheetView>
    <customSheetView guid="{E81D05A4-5B21-42D3-A8D3-906ABCABC0F4}" scale="80" hiddenRows="1" hiddenColumns="1" topLeftCell="A4">
      <pane xSplit="1" ySplit="3" topLeftCell="BV91" activePane="bottomRight" state="frozen"/>
      <selection pane="bottomRight" activeCell="BV103" sqref="BV103"/>
      <pageMargins left="0.75" right="0.75" top="1" bottom="1" header="0.5" footer="0.5"/>
      <pageSetup orientation="portrait" r:id="rId13"/>
      <headerFooter alignWithMargins="0"/>
    </customSheetView>
  </customSheetViews>
  <mergeCells count="6">
    <mergeCell ref="AB4:AC4"/>
    <mergeCell ref="M4:N4"/>
    <mergeCell ref="P4:Q4"/>
    <mergeCell ref="V4:W4"/>
    <mergeCell ref="S4:T4"/>
    <mergeCell ref="Y4:Z4"/>
  </mergeCells>
  <phoneticPr fontId="0" type="noConversion"/>
  <pageMargins left="0.75" right="0.75" top="1" bottom="1" header="0.5" footer="0.5"/>
  <pageSetup orientation="portrait" r:id="rId14"/>
  <headerFooter alignWithMargins="0"/>
  <legacyDrawing r:id="rId15"/>
</worksheet>
</file>

<file path=xl/worksheets/sheet5.xml><?xml version="1.0" encoding="utf-8"?>
<worksheet xmlns="http://schemas.openxmlformats.org/spreadsheetml/2006/main" xmlns:r="http://schemas.openxmlformats.org/officeDocument/2006/relationships">
  <dimension ref="A1:IP254"/>
  <sheetViews>
    <sheetView tabSelected="1" topLeftCell="A8" zoomScale="85" zoomScaleNormal="80" workbookViewId="0">
      <pane xSplit="1" topLeftCell="BS1" activePane="topRight" state="frozen"/>
      <selection activeCell="A8" sqref="A8"/>
      <selection pane="topRight" activeCell="A243" sqref="A243"/>
    </sheetView>
  </sheetViews>
  <sheetFormatPr defaultColWidth="8.7265625" defaultRowHeight="18" customHeight="1"/>
  <cols>
    <col min="1" max="1" width="44.453125" style="50" customWidth="1"/>
    <col min="2" max="4" width="11.453125" style="50" customWidth="1"/>
    <col min="5" max="5" width="11.453125" style="51" customWidth="1"/>
    <col min="6" max="6" width="11.81640625" style="50" customWidth="1"/>
    <col min="7" max="7" width="11.453125" style="50" customWidth="1"/>
    <col min="8" max="8" width="11.453125" style="51" customWidth="1"/>
    <col min="9" max="10" width="11.453125" style="50" customWidth="1"/>
    <col min="11" max="11" width="11.453125" style="51" customWidth="1"/>
    <col min="12" max="13" width="11.453125" style="50" customWidth="1"/>
    <col min="14" max="14" width="11.453125" style="51" customWidth="1"/>
    <col min="15" max="23" width="11.453125" style="50" customWidth="1"/>
    <col min="24" max="24" width="15" style="50" customWidth="1"/>
    <col min="25" max="28" width="11.453125" style="50" customWidth="1"/>
    <col min="29" max="29" width="11.453125" style="65" customWidth="1"/>
    <col min="30" max="30" width="11.453125" style="50" customWidth="1"/>
    <col min="31" max="31" width="11.453125" style="166" customWidth="1"/>
    <col min="32" max="32" width="11.453125" style="157" customWidth="1"/>
    <col min="33" max="33" width="12.1796875" style="157" customWidth="1"/>
    <col min="34" max="34" width="11.453125" style="157" customWidth="1"/>
    <col min="35" max="35" width="11.453125" style="202" customWidth="1"/>
    <col min="36" max="39" width="11.453125" style="50" hidden="1" customWidth="1"/>
    <col min="40" max="40" width="11.453125" style="52" customWidth="1"/>
    <col min="41" max="41" width="11.453125" style="100" customWidth="1"/>
    <col min="42" max="45" width="11.453125" style="52" hidden="1" customWidth="1"/>
    <col min="46" max="46" width="11.453125" style="52" customWidth="1"/>
    <col min="47" max="47" width="11.453125" style="26" customWidth="1"/>
    <col min="48" max="48" width="11.453125" style="99" customWidth="1"/>
    <col min="49" max="49" width="11.453125" style="62" customWidth="1"/>
    <col min="50" max="50" width="15.1796875" style="50" customWidth="1"/>
    <col min="51" max="55" width="11.453125" style="50" customWidth="1"/>
    <col min="56" max="57" width="11.453125" style="282" customWidth="1"/>
    <col min="58" max="62" width="11.453125" style="50" customWidth="1"/>
    <col min="63" max="64" width="11.453125" style="318" customWidth="1"/>
    <col min="65" max="65" width="11.453125" style="52" customWidth="1"/>
    <col min="66" max="66" width="11.453125" style="318" customWidth="1"/>
    <col min="67" max="69" width="11.453125" style="50" customWidth="1"/>
    <col min="70" max="72" width="17.54296875" style="50" customWidth="1"/>
    <col min="73" max="74" width="17.54296875" style="52" customWidth="1"/>
    <col min="75" max="75" width="17.54296875" style="50" customWidth="1"/>
    <col min="76" max="76" width="17.54296875" style="50" hidden="1" customWidth="1"/>
    <col min="77" max="78" width="17.54296875" style="50" customWidth="1"/>
    <col min="80" max="80" width="28.453125" style="50" customWidth="1"/>
    <col min="81" max="250" width="47" style="50" bestFit="1" customWidth="1"/>
    <col min="251" max="16384" width="8.7265625" style="50"/>
  </cols>
  <sheetData>
    <row r="1" spans="1:80" ht="12.75" hidden="1" customHeight="1">
      <c r="A1" s="50" t="s">
        <v>114</v>
      </c>
      <c r="AP1" s="52" t="s">
        <v>139</v>
      </c>
    </row>
    <row r="2" spans="1:80" ht="24" hidden="1" customHeight="1">
      <c r="A2" s="53" t="s">
        <v>153</v>
      </c>
      <c r="B2" s="53"/>
      <c r="C2" s="53"/>
      <c r="D2" s="53"/>
      <c r="E2" s="381"/>
      <c r="F2" s="53"/>
      <c r="G2" s="53"/>
      <c r="H2" s="381"/>
      <c r="I2" s="53"/>
      <c r="J2" s="53"/>
      <c r="K2" s="381"/>
      <c r="R2" s="52"/>
    </row>
    <row r="3" spans="1:80" ht="13" hidden="1" thickBot="1">
      <c r="L3" s="54"/>
      <c r="M3" s="54"/>
      <c r="N3" s="55"/>
      <c r="O3" s="54"/>
      <c r="P3" s="54"/>
      <c r="Q3" s="54"/>
      <c r="R3" s="54"/>
      <c r="U3" s="54"/>
    </row>
    <row r="4" spans="1:80" ht="18" customHeight="1" thickBot="1">
      <c r="A4" s="446"/>
      <c r="B4" s="447" t="s">
        <v>365</v>
      </c>
      <c r="C4" s="449" t="s">
        <v>368</v>
      </c>
      <c r="D4" s="450" t="s">
        <v>375</v>
      </c>
      <c r="E4" s="451"/>
      <c r="F4" s="447" t="s">
        <v>367</v>
      </c>
      <c r="G4" s="455" t="s">
        <v>373</v>
      </c>
      <c r="H4" s="456"/>
      <c r="I4" s="449" t="s">
        <v>366</v>
      </c>
      <c r="J4" s="450" t="s">
        <v>374</v>
      </c>
      <c r="K4" s="451"/>
      <c r="L4" s="447" t="s">
        <v>47</v>
      </c>
      <c r="M4" s="714" t="s">
        <v>91</v>
      </c>
      <c r="N4" s="715"/>
      <c r="O4" s="449" t="s">
        <v>46</v>
      </c>
      <c r="P4" s="716" t="s">
        <v>92</v>
      </c>
      <c r="Q4" s="717"/>
      <c r="R4" s="462" t="s">
        <v>44</v>
      </c>
      <c r="S4" s="714" t="s">
        <v>96</v>
      </c>
      <c r="T4" s="715"/>
      <c r="U4" s="465" t="s">
        <v>95</v>
      </c>
      <c r="V4" s="716" t="s">
        <v>128</v>
      </c>
      <c r="W4" s="717"/>
      <c r="X4" s="482" t="s">
        <v>106</v>
      </c>
      <c r="Y4" s="714" t="s">
        <v>216</v>
      </c>
      <c r="Z4" s="715"/>
      <c r="AA4" s="720" t="s">
        <v>250</v>
      </c>
      <c r="AB4" s="479" t="s">
        <v>217</v>
      </c>
      <c r="AC4" s="483"/>
      <c r="AD4" s="251" t="s">
        <v>156</v>
      </c>
      <c r="AE4" s="251" t="s">
        <v>156</v>
      </c>
      <c r="AF4" s="490" t="s">
        <v>156</v>
      </c>
      <c r="AG4" s="474" t="s">
        <v>200</v>
      </c>
      <c r="AH4" s="484"/>
      <c r="AI4" s="257" t="s">
        <v>156</v>
      </c>
      <c r="AJ4" s="257" t="s">
        <v>156</v>
      </c>
      <c r="AK4" s="257" t="s">
        <v>225</v>
      </c>
      <c r="AL4" s="257" t="s">
        <v>225</v>
      </c>
      <c r="AM4" s="257" t="s">
        <v>225</v>
      </c>
      <c r="AN4" s="257" t="s">
        <v>225</v>
      </c>
      <c r="AO4" s="257" t="s">
        <v>225</v>
      </c>
      <c r="AP4" s="257" t="s">
        <v>225</v>
      </c>
      <c r="AQ4" s="257"/>
      <c r="AR4" s="50"/>
      <c r="AS4" s="50"/>
      <c r="AT4" s="50"/>
      <c r="AU4" s="50"/>
      <c r="AV4" s="50"/>
      <c r="AW4" s="50"/>
      <c r="AX4" s="220"/>
      <c r="AY4" s="220"/>
      <c r="AZ4" s="220"/>
      <c r="BA4" s="220"/>
      <c r="BB4" s="220"/>
      <c r="BC4" s="220"/>
      <c r="BD4" s="300"/>
      <c r="BE4" s="300"/>
      <c r="BK4" s="319" t="s">
        <v>225</v>
      </c>
      <c r="BL4" s="618" t="s">
        <v>225</v>
      </c>
      <c r="BM4" s="619" t="s">
        <v>404</v>
      </c>
      <c r="BN4" s="620"/>
      <c r="BO4" s="470" t="s">
        <v>225</v>
      </c>
      <c r="BP4" s="486" t="s">
        <v>394</v>
      </c>
      <c r="BQ4" s="480"/>
      <c r="BR4" s="477" t="s">
        <v>385</v>
      </c>
      <c r="BS4" s="474" t="s">
        <v>395</v>
      </c>
      <c r="BT4" s="475"/>
      <c r="BU4" s="614" t="s">
        <v>385</v>
      </c>
      <c r="BV4" s="615" t="s">
        <v>406</v>
      </c>
      <c r="BW4" s="654" t="s">
        <v>423</v>
      </c>
      <c r="BX4" s="629" t="s">
        <v>423</v>
      </c>
      <c r="BY4" s="630" t="s">
        <v>434</v>
      </c>
      <c r="BZ4" s="629"/>
    </row>
    <row r="5" spans="1:80" ht="50.25" customHeight="1" thickBot="1">
      <c r="A5" s="517" t="s">
        <v>43</v>
      </c>
      <c r="B5" s="448" t="s">
        <v>372</v>
      </c>
      <c r="C5" s="452" t="s">
        <v>372</v>
      </c>
      <c r="D5" s="453" t="s">
        <v>89</v>
      </c>
      <c r="E5" s="454" t="s">
        <v>90</v>
      </c>
      <c r="F5" s="448" t="s">
        <v>372</v>
      </c>
      <c r="G5" s="457" t="s">
        <v>89</v>
      </c>
      <c r="H5" s="458" t="s">
        <v>90</v>
      </c>
      <c r="I5" s="452" t="s">
        <v>76</v>
      </c>
      <c r="J5" s="453" t="s">
        <v>89</v>
      </c>
      <c r="K5" s="454" t="s">
        <v>90</v>
      </c>
      <c r="L5" s="459" t="s">
        <v>76</v>
      </c>
      <c r="M5" s="457" t="s">
        <v>89</v>
      </c>
      <c r="N5" s="458" t="s">
        <v>90</v>
      </c>
      <c r="O5" s="460" t="s">
        <v>76</v>
      </c>
      <c r="P5" s="453" t="s">
        <v>89</v>
      </c>
      <c r="Q5" s="461" t="s">
        <v>90</v>
      </c>
      <c r="R5" s="463" t="s">
        <v>76</v>
      </c>
      <c r="S5" s="464" t="s">
        <v>89</v>
      </c>
      <c r="T5" s="458" t="s">
        <v>90</v>
      </c>
      <c r="U5" s="466" t="s">
        <v>76</v>
      </c>
      <c r="V5" s="453" t="s">
        <v>89</v>
      </c>
      <c r="W5" s="454" t="s">
        <v>90</v>
      </c>
      <c r="X5" s="463" t="s">
        <v>76</v>
      </c>
      <c r="Y5" s="457" t="s">
        <v>89</v>
      </c>
      <c r="Z5" s="458" t="s">
        <v>90</v>
      </c>
      <c r="AA5" s="721"/>
      <c r="AB5" s="472" t="s">
        <v>89</v>
      </c>
      <c r="AC5" s="473" t="s">
        <v>90</v>
      </c>
      <c r="AD5" s="250" t="s">
        <v>222</v>
      </c>
      <c r="AE5" s="250" t="s">
        <v>223</v>
      </c>
      <c r="AF5" s="489" t="s">
        <v>76</v>
      </c>
      <c r="AG5" s="463" t="s">
        <v>89</v>
      </c>
      <c r="AH5" s="476" t="s">
        <v>90</v>
      </c>
      <c r="AI5" s="252" t="s">
        <v>228</v>
      </c>
      <c r="AJ5" s="252" t="s">
        <v>229</v>
      </c>
      <c r="AK5" s="252" t="s">
        <v>226</v>
      </c>
      <c r="AL5" s="252" t="s">
        <v>227</v>
      </c>
      <c r="AM5" s="252" t="s">
        <v>230</v>
      </c>
      <c r="AN5" s="252" t="s">
        <v>240</v>
      </c>
      <c r="AO5" s="252" t="s">
        <v>231</v>
      </c>
      <c r="AP5" s="252" t="s">
        <v>232</v>
      </c>
      <c r="AQ5" s="252" t="s">
        <v>239</v>
      </c>
      <c r="AR5" s="252" t="s">
        <v>233</v>
      </c>
      <c r="AS5" s="254" t="s">
        <v>234</v>
      </c>
      <c r="AT5" s="252" t="s">
        <v>235</v>
      </c>
      <c r="AU5" s="254" t="s">
        <v>236</v>
      </c>
      <c r="AV5" s="252" t="s">
        <v>237</v>
      </c>
      <c r="AW5" s="254" t="s">
        <v>238</v>
      </c>
      <c r="AX5" s="220"/>
      <c r="AY5" s="254" t="s">
        <v>345</v>
      </c>
      <c r="AZ5" s="254" t="s">
        <v>346</v>
      </c>
      <c r="BA5" s="254" t="s">
        <v>347</v>
      </c>
      <c r="BB5" s="288" t="s">
        <v>348</v>
      </c>
      <c r="BC5" s="288" t="s">
        <v>349</v>
      </c>
      <c r="BD5" s="301" t="s">
        <v>352</v>
      </c>
      <c r="BE5" s="301" t="s">
        <v>353</v>
      </c>
      <c r="BF5" s="288" t="s">
        <v>354</v>
      </c>
      <c r="BI5" s="254" t="s">
        <v>357</v>
      </c>
      <c r="BJ5" s="254" t="s">
        <v>364</v>
      </c>
      <c r="BK5" s="399" t="s">
        <v>376</v>
      </c>
      <c r="BL5" s="621" t="s">
        <v>76</v>
      </c>
      <c r="BM5" s="622" t="s">
        <v>89</v>
      </c>
      <c r="BN5" s="621" t="s">
        <v>405</v>
      </c>
      <c r="BO5" s="485" t="s">
        <v>392</v>
      </c>
      <c r="BP5" s="488" t="s">
        <v>89</v>
      </c>
      <c r="BQ5" s="487" t="s">
        <v>90</v>
      </c>
      <c r="BR5" s="478" t="s">
        <v>392</v>
      </c>
      <c r="BS5" s="463" t="s">
        <v>89</v>
      </c>
      <c r="BT5" s="476" t="s">
        <v>90</v>
      </c>
      <c r="BU5" s="616" t="s">
        <v>402</v>
      </c>
      <c r="BV5" s="617" t="s">
        <v>89</v>
      </c>
      <c r="BW5" s="655" t="s">
        <v>386</v>
      </c>
      <c r="BX5" s="629" t="s">
        <v>440</v>
      </c>
      <c r="BY5" s="629" t="s">
        <v>433</v>
      </c>
      <c r="BZ5" s="629" t="s">
        <v>90</v>
      </c>
    </row>
    <row r="6" spans="1:80" s="109" customFormat="1" ht="13">
      <c r="A6" s="104" t="s">
        <v>0</v>
      </c>
      <c r="B6" s="116"/>
      <c r="C6" s="116"/>
      <c r="D6" s="116"/>
      <c r="E6" s="309"/>
      <c r="F6" s="116"/>
      <c r="G6" s="116"/>
      <c r="H6" s="309"/>
      <c r="I6" s="116"/>
      <c r="J6" s="116"/>
      <c r="K6" s="309"/>
      <c r="L6" s="105"/>
      <c r="M6" s="105"/>
      <c r="N6" s="106"/>
      <c r="O6" s="105"/>
      <c r="P6" s="105"/>
      <c r="Q6" s="105"/>
      <c r="R6" s="107"/>
      <c r="S6" s="107"/>
      <c r="T6" s="108"/>
      <c r="U6" s="108"/>
      <c r="V6" s="108"/>
      <c r="W6" s="108"/>
      <c r="AC6" s="110"/>
      <c r="AE6" s="175"/>
      <c r="AF6" s="158"/>
      <c r="AG6" s="158"/>
      <c r="AH6" s="158"/>
      <c r="AI6" s="158"/>
      <c r="AJ6" s="112" t="s">
        <v>138</v>
      </c>
      <c r="AK6" s="112"/>
      <c r="AL6" s="112"/>
      <c r="AM6" s="112"/>
      <c r="AN6" s="159"/>
      <c r="AO6" s="113"/>
      <c r="AP6" s="159"/>
      <c r="AQ6" s="159"/>
      <c r="AR6" s="159"/>
      <c r="AS6" s="159"/>
      <c r="AT6" s="159"/>
      <c r="AU6" s="200"/>
      <c r="AV6" s="114"/>
      <c r="AW6" s="107"/>
      <c r="BD6" s="293"/>
      <c r="BE6" s="302"/>
      <c r="BF6" s="248" t="s">
        <v>138</v>
      </c>
      <c r="BG6" s="248" t="s">
        <v>355</v>
      </c>
      <c r="BH6" s="248" t="s">
        <v>356</v>
      </c>
      <c r="BK6" s="320"/>
      <c r="BL6" s="320"/>
      <c r="BM6" s="107"/>
      <c r="BN6" s="320"/>
      <c r="BO6" s="491"/>
      <c r="BU6" s="107"/>
      <c r="BV6" s="107"/>
      <c r="BW6" s="562"/>
    </row>
    <row r="7" spans="1:80" ht="18" customHeight="1">
      <c r="A7" s="53" t="s">
        <v>1</v>
      </c>
      <c r="B7" s="326">
        <f>'FY 2013 by Agency'!B7*Inflator!$E$2</f>
        <v>14268.07735247209</v>
      </c>
      <c r="C7" s="326">
        <f>'FY 2013 by Agency'!C7*Inflator!$E$3</f>
        <v>16111.614374034005</v>
      </c>
      <c r="D7" s="326">
        <f>C7-B7</f>
        <v>1843.537021561915</v>
      </c>
      <c r="E7" s="355">
        <f>(C7-B7)/B7</f>
        <v>0.12920710870988539</v>
      </c>
      <c r="F7" s="10">
        <f>'FY 2013 by Agency'!F7*Inflator!$E$4</f>
        <v>16200.970688998857</v>
      </c>
      <c r="G7" s="10">
        <f>F7-C7</f>
        <v>89.356314964852572</v>
      </c>
      <c r="H7" s="14">
        <f>(F7-C7)/C7</f>
        <v>5.5460807893256232E-3</v>
      </c>
      <c r="I7" s="10">
        <f>'FY 2013 by Agency'!I7*Inflator!$E$5</f>
        <v>14402.010412792863</v>
      </c>
      <c r="J7" s="10">
        <f>I7-F7</f>
        <v>-1798.9602762059949</v>
      </c>
      <c r="K7" s="14">
        <f>(I7-F7)/F7</f>
        <v>-0.1110402771994128</v>
      </c>
      <c r="L7" s="10">
        <f>'FY 2013 by Agency'!L7*Inflator!$E$6</f>
        <v>14598.677571792074</v>
      </c>
      <c r="M7" s="10">
        <f>L7-I7</f>
        <v>196.6671589992111</v>
      </c>
      <c r="N7" s="14">
        <f>(L7-I7)/I7</f>
        <v>1.3655535120604948E-2</v>
      </c>
      <c r="O7" s="10">
        <f>'FY 2013 by Agency'!O7*Inflator!$E$7</f>
        <v>14790.449841605066</v>
      </c>
      <c r="P7" s="52">
        <f>O7-L7</f>
        <v>191.77226981299282</v>
      </c>
      <c r="Q7" s="58">
        <f t="shared" ref="Q7:Q34" si="0">P7/L7</f>
        <v>1.3136276821644444E-2</v>
      </c>
      <c r="R7" s="52">
        <f>'FY 2013 by Agency'!R7*Inflator!$E$8</f>
        <v>15490.543109300746</v>
      </c>
      <c r="S7" s="52">
        <f t="shared" ref="S7:S41" si="1">R7-O7</f>
        <v>700.09326769567997</v>
      </c>
      <c r="T7" s="58">
        <f t="shared" ref="T7:T34" si="2">S7/O7</f>
        <v>4.733414299045454E-2</v>
      </c>
      <c r="U7" s="52">
        <f>'FY 2013 by Agency'!U7*Inflator!$E$9</f>
        <v>18775.752652519892</v>
      </c>
      <c r="V7" s="52">
        <f>U7-R7</f>
        <v>3285.2095432191454</v>
      </c>
      <c r="W7" s="58">
        <f>V7/R7</f>
        <v>0.21207839647963395</v>
      </c>
      <c r="X7" s="52">
        <f>'FY 2013 by Agency'!X7*Inflator!$E$10</f>
        <v>20312.46490949508</v>
      </c>
      <c r="Y7" s="39">
        <f>X7-U7</f>
        <v>1536.7122569751882</v>
      </c>
      <c r="Z7" s="58">
        <f>Y7/U7</f>
        <v>8.1845574204927871E-2</v>
      </c>
      <c r="AA7" s="52">
        <f>'FY 2013 by Agency'!AA7*Inflator!$E$11</f>
        <v>22078.881172347887</v>
      </c>
      <c r="AB7" s="39">
        <f t="shared" ref="AB7:AB34" si="3">AA7-X7</f>
        <v>1766.4162628528065</v>
      </c>
      <c r="AC7" s="58">
        <f t="shared" ref="AC7:AC34" si="4">AB7/X7</f>
        <v>8.6962181631983701E-2</v>
      </c>
      <c r="AD7" s="52" t="e">
        <f>'FY 2013 by Agency'!AD7*Inflator!#REF!</f>
        <v>#REF!</v>
      </c>
      <c r="AE7" s="52">
        <f>'FY 2013 by Agency'!AE7*Inflator!$B$8</f>
        <v>0</v>
      </c>
      <c r="AF7" s="52">
        <f>'FY 2013 by Agency'!AF7*Inflator!$E$12</f>
        <v>19979.218045112782</v>
      </c>
      <c r="AG7" s="52">
        <f>AF7-AA7</f>
        <v>-2099.6631272351042</v>
      </c>
      <c r="AH7" s="58">
        <f>AG7/AA7</f>
        <v>-9.5098257508843875E-2</v>
      </c>
      <c r="AI7" s="52">
        <f>'FY 2013 by Agency'!AI7*Inflator!$B$8</f>
        <v>0</v>
      </c>
      <c r="AJ7" s="52">
        <f>'FY 2013 by Agency'!AJ7*Inflator!$B$8</f>
        <v>0</v>
      </c>
      <c r="AK7" s="52">
        <f>'FY 2013 by Agency'!AK7</f>
        <v>20211</v>
      </c>
      <c r="AL7" s="52">
        <f>'FY 2013 by Agency'!AL7</f>
        <v>0</v>
      </c>
      <c r="AM7" s="52">
        <f>'FY 2013 by Agency'!AM7</f>
        <v>20211</v>
      </c>
      <c r="AN7" s="52">
        <f>'FY 2013 by Agency'!AN7</f>
        <v>19175</v>
      </c>
      <c r="AO7" s="52">
        <f>'FY 2013 by Agency'!AO7</f>
        <v>19175</v>
      </c>
      <c r="AP7" s="52">
        <f>'FY 2013 by Agency'!AP7</f>
        <v>0</v>
      </c>
      <c r="AQ7" s="52">
        <f>'FY 2013 by Agency'!AQ7</f>
        <v>0</v>
      </c>
      <c r="AR7" s="52">
        <f>'FY 2013 by Agency'!AR7</f>
        <v>0</v>
      </c>
      <c r="AS7" s="52">
        <f>'FY 2013 by Agency'!AS7</f>
        <v>18265.161779999999</v>
      </c>
      <c r="AT7" s="52" t="e">
        <f>AR7-AD7</f>
        <v>#REF!</v>
      </c>
      <c r="AU7" s="58" t="e">
        <f>AT7/AD7</f>
        <v>#REF!</v>
      </c>
      <c r="AV7" s="52">
        <f>AS7-AF7</f>
        <v>-1714.0562651127839</v>
      </c>
      <c r="AW7" s="58">
        <f>AV7/AF7</f>
        <v>-8.5791959487226677E-2</v>
      </c>
      <c r="AX7" s="281" t="s">
        <v>251</v>
      </c>
      <c r="AY7" s="282">
        <v>19434</v>
      </c>
      <c r="AZ7" s="282">
        <f>+AY7-AO7</f>
        <v>259</v>
      </c>
      <c r="BA7" s="282">
        <f>+AZ7+AV7</f>
        <v>-1455.0562651127839</v>
      </c>
      <c r="BB7" s="282">
        <f>+AZ7+AS7</f>
        <v>18524.161779999999</v>
      </c>
      <c r="BC7" s="58">
        <f>+BB7/AF7-1</f>
        <v>-7.2828489174465605E-2</v>
      </c>
      <c r="BD7" s="294">
        <v>0</v>
      </c>
      <c r="BE7" s="51">
        <f t="shared" ref="BE7:BE38" si="5">BD7/AY7</f>
        <v>0</v>
      </c>
      <c r="BF7" s="50">
        <v>185</v>
      </c>
      <c r="BI7" s="65">
        <v>19225</v>
      </c>
      <c r="BJ7" s="282">
        <f>BI7-AY7</f>
        <v>-209</v>
      </c>
      <c r="BK7" s="65">
        <f>BI7+AP7+AQ7</f>
        <v>19225</v>
      </c>
      <c r="BL7" s="568">
        <f>'FY 2013 by Agency'!AS7*Inflator!$E$13</f>
        <v>18939.584903399453</v>
      </c>
      <c r="BM7" s="52">
        <f>BL7-AF7</f>
        <v>-1039.6331417133297</v>
      </c>
      <c r="BN7" s="51">
        <f>BM7/AF7</f>
        <v>-5.2035727292522323E-2</v>
      </c>
      <c r="BO7" s="52">
        <f>'FY 2013 by Agency'!AX7*Inflator!$E$13</f>
        <v>19934.864205065613</v>
      </c>
      <c r="BP7" s="52">
        <f>BO7-AF7</f>
        <v>-44.353840047169797</v>
      </c>
      <c r="BQ7" s="51">
        <f>BP7/AF7</f>
        <v>-2.2199987981020818E-3</v>
      </c>
      <c r="BR7" s="52">
        <f>'FY 2013 by Agency'!BE7*Inflator!$E$14</f>
        <v>19304.373842938192</v>
      </c>
      <c r="BS7" s="52">
        <f>BR7-BO7</f>
        <v>-630.49036212742067</v>
      </c>
      <c r="BT7" s="51">
        <f>BS7/BO7</f>
        <v>-3.1627522296701065E-2</v>
      </c>
      <c r="BU7" s="10">
        <f>'FY 2013 by Agency'!BL7*Inflator!$E$14</f>
        <v>19304.373842938192</v>
      </c>
      <c r="BV7" s="10">
        <f>BU7-BL7</f>
        <v>364.78893953873921</v>
      </c>
      <c r="BW7" s="39">
        <v>20194</v>
      </c>
      <c r="BX7" s="39">
        <f>'FY 2013 by Agency'!BV7*Inflator!E15</f>
        <v>20204.102999999999</v>
      </c>
      <c r="BY7" s="39">
        <f>BW7-BR7</f>
        <v>889.62615706180804</v>
      </c>
      <c r="BZ7" s="51">
        <f>BY7/BR7</f>
        <v>4.6084175757259573E-2</v>
      </c>
      <c r="CB7" s="39"/>
    </row>
    <row r="8" spans="1:80" ht="18" customHeight="1">
      <c r="A8" s="53" t="s">
        <v>201</v>
      </c>
      <c r="B8" s="326">
        <f>'FY 2013 by Agency'!B8*Inflator!$E$2</f>
        <v>1421.2527910685806</v>
      </c>
      <c r="C8" s="326">
        <f>'FY 2013 by Agency'!C8*Inflator!$E$3</f>
        <v>1672.740340030912</v>
      </c>
      <c r="D8" s="326">
        <f t="shared" ref="D8:D69" si="6">C8-B8</f>
        <v>251.4875489623314</v>
      </c>
      <c r="E8" s="355">
        <f t="shared" ref="E8:E69" si="7">(C8-B8)/B8</f>
        <v>0.17694779601681446</v>
      </c>
      <c r="F8" s="10">
        <f>'FY 2013 by Agency'!F8*Inflator!$E$4</f>
        <v>1659.548534449943</v>
      </c>
      <c r="G8" s="10">
        <f t="shared" ref="G8:G69" si="8">F8-C8</f>
        <v>-13.191805580969003</v>
      </c>
      <c r="H8" s="14">
        <f t="shared" ref="H8:H69" si="9">(F8-C8)/C8</f>
        <v>-7.886343902440484E-3</v>
      </c>
      <c r="I8" s="10">
        <f>'FY 2013 by Agency'!I8*Inflator!$E$5</f>
        <v>1805.7798438081074</v>
      </c>
      <c r="J8" s="10">
        <f t="shared" ref="J8:J69" si="10">I8-F8</f>
        <v>146.23130935816448</v>
      </c>
      <c r="K8" s="14">
        <f t="shared" ref="K8:K69" si="11">(I8-F8)/F8</f>
        <v>8.8115114636664008E-2</v>
      </c>
      <c r="L8" s="10">
        <f>'FY 2013 by Agency'!L8*Inflator!$E$6</f>
        <v>1920.7161032351869</v>
      </c>
      <c r="M8" s="10">
        <f t="shared" ref="M8:M69" si="12">L8-I8</f>
        <v>114.93625942707945</v>
      </c>
      <c r="N8" s="14">
        <f t="shared" ref="N8:N69" si="13">(L8-I8)/I8</f>
        <v>6.3649098654627159E-2</v>
      </c>
      <c r="O8" s="10">
        <f>'FY 2013 by Agency'!O8*Inflator!$E$7</f>
        <v>1989.0439985920448</v>
      </c>
      <c r="P8" s="52">
        <f t="shared" ref="P8:P34" si="14">O8-L8</f>
        <v>68.32789535685788</v>
      </c>
      <c r="Q8" s="58">
        <f t="shared" si="0"/>
        <v>3.557417738195081E-2</v>
      </c>
      <c r="R8" s="52">
        <f>'FY 2013 by Agency'!R8*Inflator!$E$8</f>
        <v>2223.8099117447387</v>
      </c>
      <c r="S8" s="52">
        <f t="shared" si="1"/>
        <v>234.76591315269388</v>
      </c>
      <c r="T8" s="58">
        <f t="shared" si="2"/>
        <v>0.11802952238305144</v>
      </c>
      <c r="U8" s="52">
        <f>'FY 2013 by Agency'!U8*Inflator!$E$9</f>
        <v>2195.856100795756</v>
      </c>
      <c r="V8" s="52">
        <f t="shared" ref="V8:V34" si="15">U8-R8</f>
        <v>-27.953810948982664</v>
      </c>
      <c r="W8" s="58">
        <f t="shared" ref="W8:W34" si="16">V8/R8</f>
        <v>-1.2570233994078608E-2</v>
      </c>
      <c r="X8" s="52">
        <f>'FY 2013 by Agency'!X8*Inflator!$E$10</f>
        <v>2610.2769133058118</v>
      </c>
      <c r="Y8" s="39">
        <f t="shared" ref="Y8:Y33" si="17">X8-U8</f>
        <v>414.42081251005584</v>
      </c>
      <c r="Z8" s="58">
        <f>Y8/U8</f>
        <v>0.18872858397227119</v>
      </c>
      <c r="AA8" s="52">
        <f>'FY 2013 by Agency'!AA8*Inflator!$E$11</f>
        <v>4369.0117871933744</v>
      </c>
      <c r="AB8" s="39">
        <f t="shared" si="3"/>
        <v>1758.7348738875626</v>
      </c>
      <c r="AC8" s="58">
        <f t="shared" si="4"/>
        <v>0.67377329390704177</v>
      </c>
      <c r="AD8" s="52" t="e">
        <f>'FY 2013 by Agency'!AD8*Inflator!#REF!</f>
        <v>#REF!</v>
      </c>
      <c r="AE8" s="52">
        <f>'FY 2013 by Agency'!AE8*Inflator!$B$8</f>
        <v>0</v>
      </c>
      <c r="AF8" s="52">
        <f>'FY 2013 by Agency'!AF8*Inflator!$E$12</f>
        <v>4106.9812030075191</v>
      </c>
      <c r="AG8" s="52">
        <f t="shared" ref="AG8:AG34" si="18">AF8-AA8</f>
        <v>-262.03058418585533</v>
      </c>
      <c r="AH8" s="58">
        <f t="shared" ref="AH8:AH34" si="19">AG8/AA8</f>
        <v>-5.9974794518506465E-2</v>
      </c>
      <c r="AI8" s="52">
        <f>'FY 2013 by Agency'!AI8*Inflator!$B$8</f>
        <v>0</v>
      </c>
      <c r="AJ8" s="52">
        <f>'FY 2013 by Agency'!AJ8*Inflator!$B$8</f>
        <v>0</v>
      </c>
      <c r="AK8" s="52">
        <f>'FY 2013 by Agency'!AK8</f>
        <v>4151</v>
      </c>
      <c r="AL8" s="52">
        <f>'FY 2013 by Agency'!AL8</f>
        <v>0</v>
      </c>
      <c r="AM8" s="52">
        <f>'FY 2013 by Agency'!AM8</f>
        <v>4151</v>
      </c>
      <c r="AN8" s="52">
        <f>'FY 2013 by Agency'!AN8</f>
        <v>3968</v>
      </c>
      <c r="AO8" s="52">
        <f>'FY 2013 by Agency'!AO8</f>
        <v>3968</v>
      </c>
      <c r="AP8" s="52">
        <f>'FY 2013 by Agency'!AP8</f>
        <v>0</v>
      </c>
      <c r="AQ8" s="52">
        <f>'FY 2013 by Agency'!AQ8</f>
        <v>0</v>
      </c>
      <c r="AR8" s="52">
        <f>'FY 2013 by Agency'!AR8</f>
        <v>0</v>
      </c>
      <c r="AS8" s="52">
        <f>'FY 2013 by Agency'!AS8</f>
        <v>3435.5985900000001</v>
      </c>
      <c r="AT8" s="52" t="e">
        <f t="shared" ref="AT8:AT41" si="20">AR8-AD8</f>
        <v>#REF!</v>
      </c>
      <c r="AU8" s="58" t="e">
        <f t="shared" ref="AU8:AU41" si="21">AT8/AD8</f>
        <v>#REF!</v>
      </c>
      <c r="AV8" s="52">
        <f t="shared" ref="AV8:AV41" si="22">AS8-AF8</f>
        <v>-671.38261300751901</v>
      </c>
      <c r="AW8" s="58">
        <f t="shared" ref="AW8:AW41" si="23">AV8/AF8</f>
        <v>-0.16347350519059337</v>
      </c>
      <c r="AX8" s="281" t="s">
        <v>252</v>
      </c>
      <c r="AY8" s="282">
        <v>4083.875</v>
      </c>
      <c r="AZ8" s="282">
        <f t="shared" ref="AZ8:AZ38" si="24">+AY8-AO8</f>
        <v>115.875</v>
      </c>
      <c r="BA8" s="282">
        <f t="shared" ref="BA8:BA38" si="25">+AZ8+AV8</f>
        <v>-555.50761300751901</v>
      </c>
      <c r="BB8" s="282">
        <f t="shared" ref="BB8:BB36" si="26">+AZ8+AS8</f>
        <v>3551.4735900000001</v>
      </c>
      <c r="BC8" s="58">
        <f t="shared" ref="BC8:BC36" si="27">+BB8/AF8-1</f>
        <v>-0.13525935122389265</v>
      </c>
      <c r="BD8" s="294">
        <v>0</v>
      </c>
      <c r="BE8" s="51">
        <f t="shared" si="5"/>
        <v>0</v>
      </c>
      <c r="BF8" s="50">
        <v>187</v>
      </c>
      <c r="BI8" s="65">
        <v>3840</v>
      </c>
      <c r="BJ8" s="282">
        <f t="shared" ref="BJ8:BJ41" si="28">BI8-AY8</f>
        <v>-243.875</v>
      </c>
      <c r="BK8" s="65">
        <f t="shared" ref="BK8:BK40" si="29">BI8+AP8+AQ8</f>
        <v>3840</v>
      </c>
      <c r="BL8" s="568">
        <f>'FY 2013 by Agency'!AS8*Inflator!$E$13</f>
        <v>3562.4546868538305</v>
      </c>
      <c r="BM8" s="52">
        <f t="shared" ref="BM8:BM41" si="30">BL8-AF8</f>
        <v>-544.52651615368859</v>
      </c>
      <c r="BN8" s="51">
        <f t="shared" ref="BN8:BN41" si="31">BM8/AF8</f>
        <v>-0.13258558762210426</v>
      </c>
      <c r="BO8" s="52">
        <f>'FY 2013 by Agency'!AX8*Inflator!$E$13</f>
        <v>3981.7882209337818</v>
      </c>
      <c r="BP8" s="52">
        <f t="shared" ref="BP8:BP72" si="32">BO8-AF8</f>
        <v>-125.19298207373731</v>
      </c>
      <c r="BQ8" s="51">
        <f t="shared" ref="BQ8:BQ72" si="33">BP8/AF8</f>
        <v>-3.0482969335739643E-2</v>
      </c>
      <c r="BR8" s="52">
        <f>'FY 2013 by Agency'!BE8*Inflator!$E$14</f>
        <v>3739.9307255897284</v>
      </c>
      <c r="BS8" s="52">
        <f t="shared" ref="BS8:BS72" si="34">BR8-BO8</f>
        <v>-241.8574953440534</v>
      </c>
      <c r="BT8" s="51">
        <f t="shared" ref="BT8:BT72" si="35">BS8/BO8</f>
        <v>-6.0740923907634303E-2</v>
      </c>
      <c r="BU8" s="52">
        <f>'FY 2013 by Agency'!BL8*Inflator!$E$14</f>
        <v>3740.9453568229324</v>
      </c>
      <c r="BV8" s="10">
        <f t="shared" ref="BV8:BV41" si="36">BU8-BL8</f>
        <v>178.49066996910187</v>
      </c>
      <c r="BW8" s="39">
        <v>3751</v>
      </c>
      <c r="BX8" s="39">
        <f>'FY 2013 by Agency'!BV8*Inflator!E15</f>
        <v>4320.9209999999994</v>
      </c>
      <c r="BY8" s="39">
        <f t="shared" ref="BY8:BY71" si="37">BW8-BR8</f>
        <v>11.069274410271646</v>
      </c>
      <c r="BZ8" s="51">
        <f t="shared" ref="BZ8:BZ71" si="38">BY8/BR8</f>
        <v>2.9597538624264747E-3</v>
      </c>
      <c r="CB8" s="39"/>
    </row>
    <row r="9" spans="1:80" ht="18" customHeight="1">
      <c r="A9" s="53" t="s">
        <v>202</v>
      </c>
      <c r="B9" s="326">
        <f>'FY 2013 by Agency'!B9*Inflator!$E$2</f>
        <v>628.65709728867625</v>
      </c>
      <c r="C9" s="326">
        <f>'FY 2013 by Agency'!C9*Inflator!$E$3</f>
        <v>778.59891808346219</v>
      </c>
      <c r="D9" s="326">
        <f t="shared" si="6"/>
        <v>149.94182079478594</v>
      </c>
      <c r="E9" s="355">
        <f t="shared" si="7"/>
        <v>0.2385112988328093</v>
      </c>
      <c r="F9" s="10">
        <f>'FY 2013 by Agency'!F9*Inflator!$E$4</f>
        <v>673.90864103540162</v>
      </c>
      <c r="G9" s="10">
        <f t="shared" si="8"/>
        <v>-104.69027704806058</v>
      </c>
      <c r="H9" s="14">
        <f t="shared" si="9"/>
        <v>-0.1344598285671369</v>
      </c>
      <c r="I9" s="10">
        <f>'FY 2013 by Agency'!I9*Inflator!$E$5</f>
        <v>1065.2711044998143</v>
      </c>
      <c r="J9" s="10">
        <f t="shared" si="10"/>
        <v>391.36246346441271</v>
      </c>
      <c r="K9" s="14">
        <f t="shared" si="11"/>
        <v>0.58073519114270233</v>
      </c>
      <c r="L9" s="10">
        <f>'FY 2013 by Agency'!L9*Inflator!$E$6</f>
        <v>962.2108324245728</v>
      </c>
      <c r="M9" s="10">
        <f t="shared" si="12"/>
        <v>-103.06027207524153</v>
      </c>
      <c r="N9" s="14">
        <f t="shared" si="13"/>
        <v>-9.674558113883347E-2</v>
      </c>
      <c r="O9" s="10">
        <f>'FY 2013 by Agency'!O9*Inflator!$E$7</f>
        <v>1068.0795494544172</v>
      </c>
      <c r="P9" s="52">
        <f t="shared" si="14"/>
        <v>105.86871702984445</v>
      </c>
      <c r="Q9" s="58">
        <f t="shared" si="0"/>
        <v>0.11002652793159387</v>
      </c>
      <c r="R9" s="52">
        <f>'FY 2013 by Agency'!R9*Inflator!$E$8</f>
        <v>1102.6775288526815</v>
      </c>
      <c r="S9" s="52">
        <f t="shared" si="1"/>
        <v>34.597979398264215</v>
      </c>
      <c r="T9" s="58">
        <f t="shared" si="2"/>
        <v>3.2392699041880461E-2</v>
      </c>
      <c r="U9" s="52">
        <f>'FY 2013 by Agency'!U9*Inflator!$E$9</f>
        <v>994.83885941644553</v>
      </c>
      <c r="V9" s="52">
        <f t="shared" si="15"/>
        <v>-107.83866943623593</v>
      </c>
      <c r="W9" s="58">
        <f t="shared" si="16"/>
        <v>-9.7797104424935874E-2</v>
      </c>
      <c r="X9" s="52">
        <f>'FY 2013 by Agency'!X9*Inflator!$E$10</f>
        <v>1019.7237218164498</v>
      </c>
      <c r="Y9" s="39">
        <f t="shared" si="17"/>
        <v>24.884862400004295</v>
      </c>
      <c r="Z9" s="58">
        <f>Y9/U9</f>
        <v>2.5013962979493286E-2</v>
      </c>
      <c r="AA9" s="52">
        <f>'FY 2013 by Agency'!AA9*Inflator!$E$11</f>
        <v>1182.101306148455</v>
      </c>
      <c r="AB9" s="39">
        <f t="shared" si="3"/>
        <v>162.3775843320052</v>
      </c>
      <c r="AC9" s="58">
        <f t="shared" si="4"/>
        <v>0.15923684117376369</v>
      </c>
      <c r="AD9" s="52" t="e">
        <f>'FY 2013 by Agency'!AD9*Inflator!#REF!</f>
        <v>#REF!</v>
      </c>
      <c r="AE9" s="52">
        <f>'FY 2013 by Agency'!AE9*Inflator!$B$8</f>
        <v>0</v>
      </c>
      <c r="AF9" s="52">
        <f>'FY 2013 by Agency'!AF9*Inflator!$E$12</f>
        <v>979.37343358396004</v>
      </c>
      <c r="AG9" s="52">
        <f t="shared" si="18"/>
        <v>-202.72787256449499</v>
      </c>
      <c r="AH9" s="58">
        <f t="shared" si="19"/>
        <v>-0.17149788390389889</v>
      </c>
      <c r="AI9" s="52">
        <f>'FY 2013 by Agency'!AI9*Inflator!$B$8</f>
        <v>0</v>
      </c>
      <c r="AJ9" s="52">
        <f>'FY 2013 by Agency'!AJ9*Inflator!$B$8</f>
        <v>0</v>
      </c>
      <c r="AK9" s="52">
        <f>'FY 2013 by Agency'!AK9</f>
        <v>1023</v>
      </c>
      <c r="AL9" s="52">
        <f>'FY 2013 by Agency'!AL9</f>
        <v>0</v>
      </c>
      <c r="AM9" s="52">
        <f>'FY 2013 by Agency'!AM9</f>
        <v>1023</v>
      </c>
      <c r="AN9" s="52">
        <f>'FY 2013 by Agency'!AN9</f>
        <v>962</v>
      </c>
      <c r="AO9" s="52">
        <f>'FY 2013 by Agency'!AO9</f>
        <v>962</v>
      </c>
      <c r="AP9" s="52">
        <f>'FY 2013 by Agency'!AP9</f>
        <v>0</v>
      </c>
      <c r="AQ9" s="52">
        <f>'FY 2013 by Agency'!AQ9</f>
        <v>0</v>
      </c>
      <c r="AR9" s="52">
        <f>'FY 2013 by Agency'!AR9</f>
        <v>0</v>
      </c>
      <c r="AS9" s="52">
        <f>'FY 2013 by Agency'!AS9</f>
        <v>833.00954999999999</v>
      </c>
      <c r="AT9" s="52" t="e">
        <f t="shared" si="20"/>
        <v>#REF!</v>
      </c>
      <c r="AU9" s="58" t="e">
        <f t="shared" si="21"/>
        <v>#REF!</v>
      </c>
      <c r="AV9" s="52">
        <f t="shared" si="22"/>
        <v>-146.36388358396005</v>
      </c>
      <c r="AW9" s="58">
        <f t="shared" si="23"/>
        <v>-0.14944645072549081</v>
      </c>
      <c r="AX9" s="281" t="s">
        <v>253</v>
      </c>
      <c r="AY9" s="282">
        <v>968</v>
      </c>
      <c r="AZ9" s="282">
        <f t="shared" si="24"/>
        <v>6</v>
      </c>
      <c r="BA9" s="282">
        <f t="shared" si="25"/>
        <v>-140.36388358396005</v>
      </c>
      <c r="BB9" s="282">
        <f t="shared" si="26"/>
        <v>839.00954999999999</v>
      </c>
      <c r="BC9" s="58">
        <f t="shared" si="27"/>
        <v>-0.14332008483251035</v>
      </c>
      <c r="BD9" s="294">
        <v>0</v>
      </c>
      <c r="BE9" s="51">
        <f t="shared" si="5"/>
        <v>0</v>
      </c>
      <c r="BF9" s="50">
        <v>76</v>
      </c>
      <c r="BI9" s="65">
        <v>889</v>
      </c>
      <c r="BJ9" s="282">
        <f t="shared" si="28"/>
        <v>-79</v>
      </c>
      <c r="BK9" s="65">
        <f t="shared" si="29"/>
        <v>889</v>
      </c>
      <c r="BL9" s="569">
        <f>'FY 2013 by Agency'!AS9*Inflator!$E$13</f>
        <v>863.76760784253906</v>
      </c>
      <c r="BM9" s="52">
        <f t="shared" si="30"/>
        <v>-115.60582574142097</v>
      </c>
      <c r="BN9" s="51">
        <f t="shared" si="31"/>
        <v>-0.11804059797534858</v>
      </c>
      <c r="BO9" s="52">
        <f>'FY 2013 by Agency'!AX9*Inflator!$E$13</f>
        <v>921.82545010680519</v>
      </c>
      <c r="BP9" s="52">
        <f t="shared" si="32"/>
        <v>-57.547983477154844</v>
      </c>
      <c r="BQ9" s="51">
        <f t="shared" si="33"/>
        <v>-5.876000053070804E-2</v>
      </c>
      <c r="BR9" s="52">
        <f>'FY 2013 by Agency'!BE9*Inflator!$E$14</f>
        <v>902.00716631830403</v>
      </c>
      <c r="BS9" s="52">
        <f t="shared" si="34"/>
        <v>-19.818283788501162</v>
      </c>
      <c r="BT9" s="51">
        <f t="shared" si="35"/>
        <v>-2.1498954911914139E-2</v>
      </c>
      <c r="BU9" s="52">
        <f>'FY 2013 by Agency'!BL9*Inflator!$E$14</f>
        <v>902.00716631830403</v>
      </c>
      <c r="BV9" s="10">
        <f t="shared" si="36"/>
        <v>38.239558475764966</v>
      </c>
      <c r="BW9" s="39">
        <v>894</v>
      </c>
      <c r="BX9" s="39">
        <f>'FY 2013 by Agency'!BV9*Inflator!E15</f>
        <v>894.25</v>
      </c>
      <c r="BY9" s="39">
        <f t="shared" si="37"/>
        <v>-8.00716631830403</v>
      </c>
      <c r="BZ9" s="51">
        <f t="shared" si="38"/>
        <v>-8.877053993912979E-3</v>
      </c>
      <c r="CB9" s="39"/>
    </row>
    <row r="10" spans="1:80" ht="18" customHeight="1">
      <c r="A10" s="53" t="s">
        <v>203</v>
      </c>
      <c r="B10" s="326">
        <f>'FY 2013 by Agency'!B10*Inflator!$E$2</f>
        <v>7095.4250398724089</v>
      </c>
      <c r="C10" s="326">
        <f>'FY 2013 by Agency'!C10*Inflator!$E$3</f>
        <v>8118.173879443586</v>
      </c>
      <c r="D10" s="326">
        <f t="shared" si="6"/>
        <v>1022.7488395711771</v>
      </c>
      <c r="E10" s="355">
        <f t="shared" si="7"/>
        <v>0.14414201176446623</v>
      </c>
      <c r="F10" s="10">
        <f>'FY 2013 by Agency'!F10*Inflator!$E$4</f>
        <v>9188.9577464788727</v>
      </c>
      <c r="G10" s="10">
        <f t="shared" si="8"/>
        <v>1070.7838670352867</v>
      </c>
      <c r="H10" s="14">
        <f t="shared" si="9"/>
        <v>0.13189959748788696</v>
      </c>
      <c r="I10" s="10">
        <f>'FY 2013 by Agency'!I10*Inflator!$E$5</f>
        <v>7368.4410561547056</v>
      </c>
      <c r="J10" s="10">
        <f t="shared" si="10"/>
        <v>-1820.516690324167</v>
      </c>
      <c r="K10" s="14">
        <f t="shared" si="11"/>
        <v>-0.19812004152720944</v>
      </c>
      <c r="L10" s="10">
        <f>'FY 2013 by Agency'!L10*Inflator!$E$6</f>
        <v>7616.1643038894936</v>
      </c>
      <c r="M10" s="10">
        <f t="shared" si="12"/>
        <v>247.72324773478795</v>
      </c>
      <c r="N10" s="14">
        <f t="shared" si="13"/>
        <v>3.3619492352167199E-2</v>
      </c>
      <c r="O10" s="10">
        <f>'FY 2013 by Agency'!O10*Inflator!$E$7</f>
        <v>7222.9926082365355</v>
      </c>
      <c r="P10" s="52">
        <f t="shared" si="14"/>
        <v>-393.17169565295808</v>
      </c>
      <c r="Q10" s="58">
        <f t="shared" si="0"/>
        <v>-5.162332113189437E-2</v>
      </c>
      <c r="R10" s="52">
        <f>'FY 2013 by Agency'!R10*Inflator!$E$8</f>
        <v>11896.460285132382</v>
      </c>
      <c r="S10" s="52">
        <f t="shared" si="1"/>
        <v>4673.4676768958461</v>
      </c>
      <c r="T10" s="58">
        <f t="shared" si="2"/>
        <v>0.64702650693101771</v>
      </c>
      <c r="U10" s="52">
        <f>'FY 2013 by Agency'!U10*Inflator!$E$9</f>
        <v>14246.588196286471</v>
      </c>
      <c r="V10" s="52">
        <f t="shared" si="15"/>
        <v>2350.1279111540898</v>
      </c>
      <c r="W10" s="58">
        <f t="shared" si="16"/>
        <v>0.19754850222895004</v>
      </c>
      <c r="X10" s="52">
        <f>'FY 2013 by Agency'!X10*Inflator!$E$10</f>
        <v>10658.001270244524</v>
      </c>
      <c r="Y10" s="39">
        <f t="shared" si="17"/>
        <v>-3588.5869260419477</v>
      </c>
      <c r="Z10" s="58">
        <f>Y10/U10</f>
        <v>-0.2518909704273864</v>
      </c>
      <c r="AA10" s="52">
        <f>'FY 2013 by Agency'!AA10*Inflator!$E$11</f>
        <v>10380.191780821919</v>
      </c>
      <c r="AB10" s="39">
        <f t="shared" si="3"/>
        <v>-277.80948942260511</v>
      </c>
      <c r="AC10" s="58">
        <f t="shared" si="4"/>
        <v>-2.6065815004001347E-2</v>
      </c>
      <c r="AD10" s="52" t="e">
        <f>'FY 2013 by Agency'!AD10*Inflator!#REF!</f>
        <v>#REF!</v>
      </c>
      <c r="AE10" s="52">
        <f>'FY 2013 by Agency'!AE10*Inflator!$B$8</f>
        <v>0</v>
      </c>
      <c r="AF10" s="52">
        <f>'FY 2013 by Agency'!AF10*Inflator!$E$12</f>
        <v>7841.3746867167929</v>
      </c>
      <c r="AG10" s="52">
        <f t="shared" si="18"/>
        <v>-2538.8170941051258</v>
      </c>
      <c r="AH10" s="58">
        <f t="shared" si="19"/>
        <v>-0.24458286973037974</v>
      </c>
      <c r="AI10" s="52">
        <f>'FY 2013 by Agency'!AI10*Inflator!$B$8</f>
        <v>0</v>
      </c>
      <c r="AJ10" s="52">
        <f>'FY 2013 by Agency'!AJ10*Inflator!$B$8</f>
        <v>0</v>
      </c>
      <c r="AK10" s="52">
        <f>'FY 2013 by Agency'!AK10</f>
        <v>5451</v>
      </c>
      <c r="AL10" s="52">
        <f>'FY 2013 by Agency'!AL10</f>
        <v>0</v>
      </c>
      <c r="AM10" s="52">
        <f>'FY 2013 by Agency'!AM10</f>
        <v>5451</v>
      </c>
      <c r="AN10" s="52">
        <f>'FY 2013 by Agency'!AN10</f>
        <v>4544</v>
      </c>
      <c r="AO10" s="52">
        <f>'FY 2013 by Agency'!AO10</f>
        <v>4544</v>
      </c>
      <c r="AP10" s="52">
        <f>'FY 2013 by Agency'!AP10</f>
        <v>6</v>
      </c>
      <c r="AQ10" s="52">
        <f>'FY 2013 by Agency'!AQ10</f>
        <v>89</v>
      </c>
      <c r="AR10" s="52">
        <f>'FY 2013 by Agency'!AR10</f>
        <v>95</v>
      </c>
      <c r="AS10" s="52">
        <f>'FY 2013 by Agency'!AS10</f>
        <v>8105.1669300000003</v>
      </c>
      <c r="AT10" s="52" t="e">
        <f t="shared" si="20"/>
        <v>#REF!</v>
      </c>
      <c r="AU10" s="58" t="e">
        <f t="shared" si="21"/>
        <v>#REF!</v>
      </c>
      <c r="AV10" s="52">
        <f t="shared" si="22"/>
        <v>263.79224328320743</v>
      </c>
      <c r="AW10" s="58">
        <f t="shared" si="23"/>
        <v>3.3641071090515381E-2</v>
      </c>
      <c r="AX10" s="281" t="s">
        <v>254</v>
      </c>
      <c r="AY10" s="282">
        <v>4544</v>
      </c>
      <c r="AZ10" s="282">
        <f t="shared" si="24"/>
        <v>0</v>
      </c>
      <c r="BA10" s="282">
        <f t="shared" si="25"/>
        <v>263.79224328320743</v>
      </c>
      <c r="BB10" s="282">
        <f t="shared" si="26"/>
        <v>8105.1669300000003</v>
      </c>
      <c r="BC10" s="58">
        <f t="shared" si="27"/>
        <v>3.3641071090515284E-2</v>
      </c>
      <c r="BD10" s="294">
        <v>48.789000000000001</v>
      </c>
      <c r="BE10" s="51">
        <f t="shared" si="5"/>
        <v>1.0737015845070422E-2</v>
      </c>
      <c r="BI10" s="219">
        <v>8681</v>
      </c>
      <c r="BJ10" s="282">
        <f t="shared" si="28"/>
        <v>4137</v>
      </c>
      <c r="BK10" s="65">
        <f t="shared" si="29"/>
        <v>8776</v>
      </c>
      <c r="BL10" s="569">
        <f>'FY 2013 by Agency'!AS10*Inflator!$E$13</f>
        <v>8404.4422423375054</v>
      </c>
      <c r="BM10" s="52">
        <f t="shared" si="30"/>
        <v>563.06755562071248</v>
      </c>
      <c r="BN10" s="51">
        <f t="shared" si="31"/>
        <v>7.1807250401456149E-2</v>
      </c>
      <c r="BO10" s="52">
        <f>'FY 2013 by Agency'!AX10*Inflator!$E$13</f>
        <v>9001.5373817516029</v>
      </c>
      <c r="BP10" s="52">
        <f t="shared" si="32"/>
        <v>1160.16269503481</v>
      </c>
      <c r="BQ10" s="51">
        <f t="shared" si="33"/>
        <v>0.14795399293954331</v>
      </c>
      <c r="BR10" s="52">
        <f>'FY 2013 by Agency'!BE10*Inflator!$E$14</f>
        <v>8379.839355031354</v>
      </c>
      <c r="BS10" s="52">
        <f t="shared" si="34"/>
        <v>-621.69802672024889</v>
      </c>
      <c r="BT10" s="51">
        <f t="shared" si="35"/>
        <v>-6.9065760697787942E-2</v>
      </c>
      <c r="BU10" s="52">
        <f>'FY 2013 by Agency'!BL10*Inflator!$E$14</f>
        <v>8462.0244849208721</v>
      </c>
      <c r="BV10" s="10">
        <f t="shared" si="36"/>
        <v>57.582242583366678</v>
      </c>
      <c r="BW10" s="495">
        <v>8435</v>
      </c>
      <c r="BX10" s="39">
        <f>'FY 2013 by Agency'!BV10*Inflator!E15</f>
        <v>8763.1689999999999</v>
      </c>
      <c r="BY10" s="39">
        <f t="shared" si="37"/>
        <v>55.160644968646011</v>
      </c>
      <c r="BZ10" s="51">
        <f t="shared" si="38"/>
        <v>6.5825420550009606E-3</v>
      </c>
      <c r="CB10" s="39"/>
    </row>
    <row r="11" spans="1:80" ht="18" customHeight="1">
      <c r="A11" s="53" t="s">
        <v>204</v>
      </c>
      <c r="B11" s="329" t="s">
        <v>78</v>
      </c>
      <c r="C11" s="329" t="s">
        <v>78</v>
      </c>
      <c r="D11" s="329" t="s">
        <v>78</v>
      </c>
      <c r="E11" s="329" t="s">
        <v>78</v>
      </c>
      <c r="F11" s="329" t="s">
        <v>78</v>
      </c>
      <c r="G11" s="329" t="s">
        <v>78</v>
      </c>
      <c r="H11" s="329" t="s">
        <v>78</v>
      </c>
      <c r="I11" s="329" t="s">
        <v>78</v>
      </c>
      <c r="J11" s="329" t="s">
        <v>78</v>
      </c>
      <c r="K11" s="329" t="s">
        <v>78</v>
      </c>
      <c r="L11" s="329" t="s">
        <v>78</v>
      </c>
      <c r="M11" s="329" t="s">
        <v>78</v>
      </c>
      <c r="N11" s="329" t="s">
        <v>78</v>
      </c>
      <c r="O11" s="329" t="s">
        <v>78</v>
      </c>
      <c r="P11" s="329" t="s">
        <v>78</v>
      </c>
      <c r="Q11" s="329" t="s">
        <v>78</v>
      </c>
      <c r="R11" s="329" t="s">
        <v>78</v>
      </c>
      <c r="S11" s="329" t="s">
        <v>78</v>
      </c>
      <c r="T11" s="329" t="s">
        <v>78</v>
      </c>
      <c r="U11" s="329" t="s">
        <v>78</v>
      </c>
      <c r="V11" s="329" t="s">
        <v>78</v>
      </c>
      <c r="W11" s="329" t="s">
        <v>78</v>
      </c>
      <c r="X11" s="52" t="e">
        <f>'FY 2013 by Agency'!X11*Inflator!$E$10</f>
        <v>#VALUE!</v>
      </c>
      <c r="Y11" s="329" t="s">
        <v>78</v>
      </c>
      <c r="Z11" s="61"/>
      <c r="AA11" s="52" t="e">
        <f>'FY 2013 by Agency'!AA11*Inflator!$E$11</f>
        <v>#VALUE!</v>
      </c>
      <c r="AB11" s="39" t="e">
        <f t="shared" si="3"/>
        <v>#VALUE!</v>
      </c>
      <c r="AC11" s="58" t="e">
        <f t="shared" si="4"/>
        <v>#VALUE!</v>
      </c>
      <c r="AD11" s="52" t="e">
        <f>'FY 2013 by Agency'!AD11*Inflator!#REF!</f>
        <v>#VALUE!</v>
      </c>
      <c r="AE11" s="52" t="e">
        <f>'FY 2013 by Agency'!AE11*Inflator!$B$8</f>
        <v>#VALUE!</v>
      </c>
      <c r="AF11" s="52">
        <f>'FY 2013 by Agency'!AF11*Inflator!$E$12</f>
        <v>0</v>
      </c>
      <c r="AG11" s="52" t="e">
        <f t="shared" si="18"/>
        <v>#VALUE!</v>
      </c>
      <c r="AH11" s="58" t="e">
        <f t="shared" si="19"/>
        <v>#VALUE!</v>
      </c>
      <c r="AI11" s="52">
        <f>'FY 2013 by Agency'!AI11*Inflator!$B$8</f>
        <v>0</v>
      </c>
      <c r="AJ11" s="52">
        <f>'FY 2013 by Agency'!AJ11*Inflator!$B$8</f>
        <v>0</v>
      </c>
      <c r="AK11" s="52">
        <f>'FY 2013 by Agency'!AK11</f>
        <v>3017</v>
      </c>
      <c r="AL11" s="52">
        <f>'FY 2013 by Agency'!AL11</f>
        <v>0</v>
      </c>
      <c r="AM11" s="52">
        <f>'FY 2013 by Agency'!AM11</f>
        <v>3017</v>
      </c>
      <c r="AN11" s="52">
        <f>'FY 2013 by Agency'!AN11</f>
        <v>2676</v>
      </c>
      <c r="AO11" s="52">
        <f>'FY 2013 by Agency'!AO11</f>
        <v>2676</v>
      </c>
      <c r="AP11" s="52">
        <f>'FY 2013 by Agency'!AP11</f>
        <v>13</v>
      </c>
      <c r="AQ11" s="52">
        <f>'FY 2013 by Agency'!AQ11</f>
        <v>8</v>
      </c>
      <c r="AR11" s="52">
        <f>'FY 2013 by Agency'!AR11</f>
        <v>21</v>
      </c>
      <c r="AS11" s="52">
        <f>'FY 2013 by Agency'!AS11</f>
        <v>21</v>
      </c>
      <c r="AT11" s="52" t="e">
        <f t="shared" si="20"/>
        <v>#VALUE!</v>
      </c>
      <c r="AU11" s="58" t="e">
        <f t="shared" si="21"/>
        <v>#VALUE!</v>
      </c>
      <c r="AV11" s="52">
        <f t="shared" si="22"/>
        <v>21</v>
      </c>
      <c r="AW11" s="58" t="e">
        <f t="shared" si="23"/>
        <v>#DIV/0!</v>
      </c>
      <c r="AX11" s="281" t="s">
        <v>255</v>
      </c>
      <c r="AY11" s="282">
        <v>2231.75</v>
      </c>
      <c r="AZ11" s="282">
        <f t="shared" si="24"/>
        <v>-444.25</v>
      </c>
      <c r="BA11" s="282">
        <f t="shared" si="25"/>
        <v>-423.25</v>
      </c>
      <c r="BB11" s="282">
        <f t="shared" si="26"/>
        <v>-423.25</v>
      </c>
      <c r="BC11" s="58" t="e">
        <f t="shared" si="27"/>
        <v>#DIV/0!</v>
      </c>
      <c r="BD11" s="294">
        <v>20.716000000000001</v>
      </c>
      <c r="BE11" s="51">
        <f t="shared" si="5"/>
        <v>9.2824017026996754E-3</v>
      </c>
      <c r="BI11" s="219">
        <v>0</v>
      </c>
      <c r="BJ11" s="282">
        <f t="shared" si="28"/>
        <v>-2231.75</v>
      </c>
      <c r="BK11" s="65">
        <f t="shared" si="29"/>
        <v>21</v>
      </c>
      <c r="BL11" s="569">
        <f>'FY 2013 by Agency'!AS11*Inflator!$E$13</f>
        <v>21.775404333231617</v>
      </c>
      <c r="BM11" s="52">
        <f t="shared" si="30"/>
        <v>21.775404333231617</v>
      </c>
      <c r="BN11" s="51" t="e">
        <f t="shared" si="31"/>
        <v>#DIV/0!</v>
      </c>
      <c r="BO11" s="52">
        <f>'FY 2013 by Agency'!AX11*Inflator!$E$13</f>
        <v>0</v>
      </c>
      <c r="BP11" s="52">
        <f t="shared" si="32"/>
        <v>0</v>
      </c>
      <c r="BQ11" s="51" t="e">
        <f t="shared" si="33"/>
        <v>#DIV/0!</v>
      </c>
      <c r="BR11" s="52">
        <f>'FY 2013 by Agency'!BE11*Inflator!$E$14</f>
        <v>0</v>
      </c>
      <c r="BS11" s="52">
        <f t="shared" si="34"/>
        <v>0</v>
      </c>
      <c r="BT11" s="51" t="e">
        <f t="shared" si="35"/>
        <v>#DIV/0!</v>
      </c>
      <c r="BU11" s="52">
        <f>'FY 2013 by Agency'!BL11*Inflator!$E$14</f>
        <v>13.19020603165124</v>
      </c>
      <c r="BV11" s="10">
        <f t="shared" si="36"/>
        <v>-8.5851983015803768</v>
      </c>
      <c r="BW11" s="495">
        <v>0</v>
      </c>
      <c r="BX11" s="39">
        <f>'FY 2013 by Agency'!BV11*Inflator!E15</f>
        <v>93.855000000000004</v>
      </c>
      <c r="BY11" s="39">
        <f t="shared" si="37"/>
        <v>0</v>
      </c>
      <c r="BZ11" s="51" t="e">
        <f t="shared" si="38"/>
        <v>#DIV/0!</v>
      </c>
      <c r="CB11" s="39"/>
    </row>
    <row r="12" spans="1:80" ht="18" customHeight="1">
      <c r="A12" s="53" t="s">
        <v>131</v>
      </c>
      <c r="B12" s="329" t="s">
        <v>78</v>
      </c>
      <c r="C12" s="329" t="s">
        <v>78</v>
      </c>
      <c r="D12" s="329" t="s">
        <v>78</v>
      </c>
      <c r="E12" s="329" t="s">
        <v>78</v>
      </c>
      <c r="F12" s="329" t="s">
        <v>78</v>
      </c>
      <c r="G12" s="329" t="s">
        <v>78</v>
      </c>
      <c r="H12" s="329" t="s">
        <v>78</v>
      </c>
      <c r="I12" s="329" t="s">
        <v>78</v>
      </c>
      <c r="J12" s="329" t="s">
        <v>78</v>
      </c>
      <c r="K12" s="329" t="s">
        <v>78</v>
      </c>
      <c r="L12" s="329" t="s">
        <v>78</v>
      </c>
      <c r="M12" s="329" t="s">
        <v>78</v>
      </c>
      <c r="N12" s="329" t="s">
        <v>78</v>
      </c>
      <c r="O12" s="329" t="s">
        <v>78</v>
      </c>
      <c r="P12" s="329" t="s">
        <v>78</v>
      </c>
      <c r="Q12" s="329" t="s">
        <v>78</v>
      </c>
      <c r="R12" s="329" t="s">
        <v>78</v>
      </c>
      <c r="S12" s="329" t="s">
        <v>78</v>
      </c>
      <c r="T12" s="329" t="s">
        <v>78</v>
      </c>
      <c r="U12" s="329" t="s">
        <v>78</v>
      </c>
      <c r="V12" s="329" t="s">
        <v>78</v>
      </c>
      <c r="W12" s="329" t="s">
        <v>78</v>
      </c>
      <c r="X12" s="52" t="e">
        <f>'FY 2013 by Agency'!X12*Inflator!$E$10</f>
        <v>#VALUE!</v>
      </c>
      <c r="Y12" s="329" t="s">
        <v>78</v>
      </c>
      <c r="Z12" s="61"/>
      <c r="AA12" s="52" t="e">
        <f>'FY 2013 by Agency'!AA12*Inflator!$E$11</f>
        <v>#VALUE!</v>
      </c>
      <c r="AB12" s="39" t="e">
        <f t="shared" si="3"/>
        <v>#VALUE!</v>
      </c>
      <c r="AC12" s="58" t="e">
        <f t="shared" si="4"/>
        <v>#VALUE!</v>
      </c>
      <c r="AD12" s="52" t="e">
        <f>'FY 2013 by Agency'!AD12*Inflator!#REF!</f>
        <v>#VALUE!</v>
      </c>
      <c r="AE12" s="52" t="e">
        <f>'FY 2013 by Agency'!AE12*Inflator!$B$8</f>
        <v>#VALUE!</v>
      </c>
      <c r="AF12" s="52">
        <f>'FY 2013 by Agency'!AF12*Inflator!$E$12</f>
        <v>0</v>
      </c>
      <c r="AG12" s="52" t="e">
        <f t="shared" si="18"/>
        <v>#VALUE!</v>
      </c>
      <c r="AH12" s="58" t="e">
        <f t="shared" si="19"/>
        <v>#VALUE!</v>
      </c>
      <c r="AI12" s="52">
        <f>'FY 2013 by Agency'!AI12*Inflator!$B$8</f>
        <v>0</v>
      </c>
      <c r="AJ12" s="52">
        <f>'FY 2013 by Agency'!AJ12*Inflator!$B$8</f>
        <v>0</v>
      </c>
      <c r="AK12" s="52">
        <f>'FY 2013 by Agency'!AK12</f>
        <v>472</v>
      </c>
      <c r="AL12" s="52">
        <f>'FY 2013 by Agency'!AL12</f>
        <v>0</v>
      </c>
      <c r="AM12" s="52">
        <f>'FY 2013 by Agency'!AM12</f>
        <v>472</v>
      </c>
      <c r="AN12" s="52">
        <f>'FY 2013 by Agency'!AN12</f>
        <v>302</v>
      </c>
      <c r="AO12" s="52">
        <f>'FY 2013 by Agency'!AO12</f>
        <v>302</v>
      </c>
      <c r="AP12" s="52">
        <f>'FY 2013 by Agency'!AP12</f>
        <v>110</v>
      </c>
      <c r="AQ12" s="52">
        <f>'FY 2013 by Agency'!AQ12</f>
        <v>0</v>
      </c>
      <c r="AR12" s="52">
        <f>'FY 2013 by Agency'!AR12</f>
        <v>110</v>
      </c>
      <c r="AS12" s="52">
        <f>'FY 2013 by Agency'!AS12</f>
        <v>110</v>
      </c>
      <c r="AT12" s="52" t="e">
        <f t="shared" si="20"/>
        <v>#VALUE!</v>
      </c>
      <c r="AU12" s="58" t="e">
        <f t="shared" si="21"/>
        <v>#VALUE!</v>
      </c>
      <c r="AV12" s="52">
        <f t="shared" si="22"/>
        <v>110</v>
      </c>
      <c r="AW12" s="58" t="e">
        <f t="shared" si="23"/>
        <v>#DIV/0!</v>
      </c>
      <c r="AX12" s="281" t="s">
        <v>256</v>
      </c>
      <c r="AY12" s="282">
        <v>302</v>
      </c>
      <c r="AZ12" s="282">
        <f t="shared" si="24"/>
        <v>0</v>
      </c>
      <c r="BA12" s="282">
        <f t="shared" si="25"/>
        <v>110</v>
      </c>
      <c r="BB12" s="282">
        <f t="shared" si="26"/>
        <v>110</v>
      </c>
      <c r="BC12" s="58" t="e">
        <f t="shared" si="27"/>
        <v>#DIV/0!</v>
      </c>
      <c r="BD12" s="294">
        <v>9.4700000000000006</v>
      </c>
      <c r="BE12" s="51">
        <f t="shared" si="5"/>
        <v>3.1357615894039736E-2</v>
      </c>
      <c r="BI12" s="219">
        <v>0</v>
      </c>
      <c r="BJ12" s="282">
        <f t="shared" si="28"/>
        <v>-302</v>
      </c>
      <c r="BK12" s="65">
        <f t="shared" si="29"/>
        <v>110</v>
      </c>
      <c r="BL12" s="569">
        <f>'FY 2013 by Agency'!AS12*Inflator!$E$13</f>
        <v>114.06164174549895</v>
      </c>
      <c r="BM12" s="52">
        <f t="shared" si="30"/>
        <v>114.06164174549895</v>
      </c>
      <c r="BN12" s="51" t="e">
        <f t="shared" si="31"/>
        <v>#DIV/0!</v>
      </c>
      <c r="BO12" s="52">
        <f>'FY 2013 by Agency'!AX12*Inflator!$E$13</f>
        <v>0</v>
      </c>
      <c r="BP12" s="52">
        <f t="shared" si="32"/>
        <v>0</v>
      </c>
      <c r="BQ12" s="51" t="e">
        <f t="shared" si="33"/>
        <v>#DIV/0!</v>
      </c>
      <c r="BR12" s="52">
        <f>'FY 2013 by Agency'!BE12*Inflator!$E$14</f>
        <v>0</v>
      </c>
      <c r="BS12" s="52">
        <f t="shared" si="34"/>
        <v>0</v>
      </c>
      <c r="BT12" s="51" t="e">
        <f t="shared" si="35"/>
        <v>#DIV/0!</v>
      </c>
      <c r="BU12" s="52">
        <f>'FY 2013 by Agency'!BL12*Inflator!$E$14</f>
        <v>104.50701702000597</v>
      </c>
      <c r="BV12" s="10">
        <f t="shared" si="36"/>
        <v>-9.554624725492971</v>
      </c>
      <c r="BW12" s="495">
        <v>0</v>
      </c>
      <c r="BX12" s="39">
        <f>'FY 2013 by Agency'!BV12*Inflator!E15</f>
        <v>126.22</v>
      </c>
      <c r="BY12" s="39">
        <f t="shared" si="37"/>
        <v>0</v>
      </c>
      <c r="BZ12" s="51" t="e">
        <f t="shared" si="38"/>
        <v>#DIV/0!</v>
      </c>
      <c r="CB12" s="39"/>
    </row>
    <row r="13" spans="1:80" ht="39" customHeight="1">
      <c r="A13" s="53" t="s">
        <v>205</v>
      </c>
      <c r="B13" s="326">
        <f>'FY 2013 by Agency'!B13*Inflator!$E$2</f>
        <v>2551.2097288676237</v>
      </c>
      <c r="C13" s="326">
        <f>'FY 2013 by Agency'!C13*Inflator!$E$3</f>
        <v>3048.7465224111284</v>
      </c>
      <c r="D13" s="326">
        <f t="shared" si="6"/>
        <v>497.5367935435047</v>
      </c>
      <c r="E13" s="355">
        <f t="shared" si="7"/>
        <v>0.19501994991385543</v>
      </c>
      <c r="F13" s="10">
        <f>'FY 2013 by Agency'!F13*Inflator!$E$4</f>
        <v>2973.7350590026645</v>
      </c>
      <c r="G13" s="10">
        <f t="shared" si="8"/>
        <v>-75.011463408463896</v>
      </c>
      <c r="H13" s="14">
        <f t="shared" si="9"/>
        <v>-2.4604034102887772E-2</v>
      </c>
      <c r="I13" s="10">
        <f>'FY 2013 by Agency'!I13*Inflator!$E$5</f>
        <v>3236.2506507995545</v>
      </c>
      <c r="J13" s="10">
        <f t="shared" si="10"/>
        <v>262.51559179689002</v>
      </c>
      <c r="K13" s="14">
        <f t="shared" si="11"/>
        <v>8.8278070032551212E-2</v>
      </c>
      <c r="L13" s="10">
        <f>'FY 2013 by Agency'!L13*Inflator!$E$6</f>
        <v>3290.5387131952016</v>
      </c>
      <c r="M13" s="10">
        <f t="shared" si="12"/>
        <v>54.288062395647103</v>
      </c>
      <c r="N13" s="14">
        <f t="shared" si="13"/>
        <v>1.6774986938120687E-2</v>
      </c>
      <c r="O13" s="10">
        <f>'FY 2013 by Agency'!O13*Inflator!$E$7</f>
        <v>3415.9408658922912</v>
      </c>
      <c r="P13" s="52">
        <f t="shared" si="14"/>
        <v>125.4021526970896</v>
      </c>
      <c r="Q13" s="58">
        <f t="shared" si="0"/>
        <v>3.810991561783534E-2</v>
      </c>
      <c r="R13" s="52">
        <f>'FY 2013 by Agency'!R13*Inflator!$E$8</f>
        <v>3536.4114052953155</v>
      </c>
      <c r="S13" s="52">
        <f t="shared" si="1"/>
        <v>120.4705394030243</v>
      </c>
      <c r="T13" s="58">
        <f t="shared" si="2"/>
        <v>3.5267161854558547E-2</v>
      </c>
      <c r="U13" s="52">
        <f>'FY 2013 by Agency'!U13*Inflator!$E$9</f>
        <v>3959.075596816976</v>
      </c>
      <c r="V13" s="52">
        <f t="shared" si="15"/>
        <v>422.66419152166054</v>
      </c>
      <c r="W13" s="58">
        <f t="shared" si="16"/>
        <v>0.1195178227535337</v>
      </c>
      <c r="X13" s="52">
        <f>'FY 2013 by Agency'!X13*Inflator!$E$10</f>
        <v>3533.9631629088603</v>
      </c>
      <c r="Y13" s="39">
        <f t="shared" si="17"/>
        <v>-425.11243390811569</v>
      </c>
      <c r="Z13" s="58">
        <f t="shared" ref="Z13:Z19" si="39">Y13/U13</f>
        <v>-0.1073766902177615</v>
      </c>
      <c r="AA13" s="52">
        <f>'FY 2013 by Agency'!AA13*Inflator!$E$11</f>
        <v>4659.1245619624087</v>
      </c>
      <c r="AB13" s="39">
        <f t="shared" si="3"/>
        <v>1125.1613990535484</v>
      </c>
      <c r="AC13" s="58">
        <f t="shared" si="4"/>
        <v>0.31838515207595158</v>
      </c>
      <c r="AD13" s="52" t="e">
        <f>'FY 2013 by Agency'!AD13*Inflator!#REF!</f>
        <v>#REF!</v>
      </c>
      <c r="AE13" s="52">
        <f>'FY 2013 by Agency'!AE13*Inflator!$B$8</f>
        <v>0</v>
      </c>
      <c r="AF13" s="52">
        <f>'FY 2013 by Agency'!AF13*Inflator!$E$12</f>
        <v>3137.1885964912285</v>
      </c>
      <c r="AG13" s="52">
        <f t="shared" si="18"/>
        <v>-1521.9359654711802</v>
      </c>
      <c r="AH13" s="58">
        <f t="shared" si="19"/>
        <v>-0.32665706727320154</v>
      </c>
      <c r="AI13" s="52">
        <f>'FY 2013 by Agency'!AI13*Inflator!$B$8</f>
        <v>0</v>
      </c>
      <c r="AJ13" s="52">
        <f>'FY 2013 by Agency'!AJ13*Inflator!$B$8</f>
        <v>0</v>
      </c>
      <c r="AK13" s="52">
        <f>'FY 2013 by Agency'!AK13</f>
        <v>2689</v>
      </c>
      <c r="AL13" s="52">
        <f>'FY 2013 by Agency'!AL13</f>
        <v>150</v>
      </c>
      <c r="AM13" s="52">
        <f>'FY 2013 by Agency'!AM13</f>
        <v>2839</v>
      </c>
      <c r="AN13" s="52">
        <f>'FY 2013 by Agency'!AN13</f>
        <v>2028</v>
      </c>
      <c r="AO13" s="52">
        <f>'FY 2013 by Agency'!AO13</f>
        <v>2727</v>
      </c>
      <c r="AP13" s="52">
        <f>'FY 2013 by Agency'!AP13</f>
        <v>313</v>
      </c>
      <c r="AQ13" s="52">
        <f>'FY 2013 by Agency'!AQ13</f>
        <v>36</v>
      </c>
      <c r="AR13" s="52">
        <f>'FY 2013 by Agency'!AR13</f>
        <v>349</v>
      </c>
      <c r="AS13" s="52">
        <f>'FY 2013 by Agency'!AS13</f>
        <v>3220.0817099999999</v>
      </c>
      <c r="AT13" s="52" t="e">
        <f t="shared" si="20"/>
        <v>#REF!</v>
      </c>
      <c r="AU13" s="58" t="e">
        <f t="shared" si="21"/>
        <v>#REF!</v>
      </c>
      <c r="AV13" s="52">
        <f t="shared" si="22"/>
        <v>82.893113508771421</v>
      </c>
      <c r="AW13" s="58">
        <f t="shared" si="23"/>
        <v>2.6422738372019704E-2</v>
      </c>
      <c r="AX13" s="281" t="s">
        <v>257</v>
      </c>
      <c r="AY13" s="282">
        <v>2855.9981899999998</v>
      </c>
      <c r="AZ13" s="282">
        <f t="shared" si="24"/>
        <v>128.99818999999979</v>
      </c>
      <c r="BA13" s="282">
        <f t="shared" si="25"/>
        <v>211.89130350877122</v>
      </c>
      <c r="BB13" s="282">
        <f t="shared" si="26"/>
        <v>3349.0798999999997</v>
      </c>
      <c r="BC13" s="58">
        <f t="shared" si="27"/>
        <v>6.7541780480064206E-2</v>
      </c>
      <c r="BD13" s="294">
        <v>57.968000000000004</v>
      </c>
      <c r="BE13" s="51">
        <f t="shared" si="5"/>
        <v>2.0296931630758495E-2</v>
      </c>
      <c r="BF13" s="50">
        <v>99</v>
      </c>
      <c r="BI13" s="219">
        <v>2728</v>
      </c>
      <c r="BJ13" s="282">
        <f t="shared" si="28"/>
        <v>-127.99818999999979</v>
      </c>
      <c r="BK13" s="65">
        <f t="shared" si="29"/>
        <v>3077</v>
      </c>
      <c r="BL13" s="569">
        <f>'FY 2013 by Agency'!AS13*Inflator!$E$13</f>
        <v>3338.9800581568511</v>
      </c>
      <c r="BM13" s="52">
        <f t="shared" si="30"/>
        <v>201.79146166562259</v>
      </c>
      <c r="BN13" s="51">
        <f t="shared" si="31"/>
        <v>6.432238785112096E-2</v>
      </c>
      <c r="BO13" s="52">
        <f>'FY 2013 by Agency'!AX13*Inflator!$E$13</f>
        <v>2828.7287152883741</v>
      </c>
      <c r="BP13" s="52">
        <f t="shared" si="32"/>
        <v>-308.45988120285438</v>
      </c>
      <c r="BQ13" s="51">
        <f t="shared" si="33"/>
        <v>-9.8323665191136306E-2</v>
      </c>
      <c r="BR13" s="52">
        <f>'FY 2013 by Agency'!BE13*Inflator!$E$14</f>
        <v>2947.50373245745</v>
      </c>
      <c r="BS13" s="52">
        <f t="shared" si="34"/>
        <v>118.77501716907591</v>
      </c>
      <c r="BT13" s="51">
        <f t="shared" si="35"/>
        <v>4.1988832837569372E-2</v>
      </c>
      <c r="BU13" s="52">
        <f>'FY 2013 by Agency'!BL13*Inflator!$E$14</f>
        <v>3212.322484323679</v>
      </c>
      <c r="BV13" s="10">
        <f t="shared" si="36"/>
        <v>-126.65757383317214</v>
      </c>
      <c r="BW13" s="495">
        <v>3246</v>
      </c>
      <c r="BX13" s="39">
        <f>'FY 2013 by Agency'!BV13*Inflator!E15</f>
        <v>3503.7919999999999</v>
      </c>
      <c r="BY13" s="39">
        <f t="shared" si="37"/>
        <v>298.49626754254996</v>
      </c>
      <c r="BZ13" s="51">
        <f t="shared" si="38"/>
        <v>0.10127087007746784</v>
      </c>
      <c r="CB13" s="39"/>
    </row>
    <row r="14" spans="1:80" ht="19.5" customHeight="1">
      <c r="A14" s="59" t="s">
        <v>160</v>
      </c>
      <c r="B14" s="326">
        <f>'FY 2013 by Agency'!B14*Inflator!$E$2</f>
        <v>0</v>
      </c>
      <c r="C14" s="326">
        <f>'FY 2013 by Agency'!C14*Inflator!$E$3</f>
        <v>723.45363214837721</v>
      </c>
      <c r="D14" s="326">
        <f t="shared" si="6"/>
        <v>723.45363214837721</v>
      </c>
      <c r="E14" s="355" t="e">
        <f t="shared" si="7"/>
        <v>#DIV/0!</v>
      </c>
      <c r="F14" s="10">
        <f>'FY 2013 by Agency'!F14*Inflator!$E$4</f>
        <v>2392.9577464788731</v>
      </c>
      <c r="G14" s="10">
        <f t="shared" si="8"/>
        <v>1669.5041143304959</v>
      </c>
      <c r="H14" s="14">
        <f t="shared" si="9"/>
        <v>2.3076864088341296</v>
      </c>
      <c r="I14" s="10">
        <f>'FY 2013 by Agency'!I14*Inflator!$E$5</f>
        <v>2788.9126069170702</v>
      </c>
      <c r="J14" s="10">
        <f t="shared" si="10"/>
        <v>395.9548604381971</v>
      </c>
      <c r="K14" s="14">
        <f t="shared" si="11"/>
        <v>0.16546671625139492</v>
      </c>
      <c r="L14" s="10">
        <f>'FY 2013 by Agency'!L14*Inflator!$E$6</f>
        <v>2822.4027626317697</v>
      </c>
      <c r="M14" s="10">
        <f t="shared" si="12"/>
        <v>33.49015571469954</v>
      </c>
      <c r="N14" s="14">
        <f t="shared" si="13"/>
        <v>1.2008320243394198E-2</v>
      </c>
      <c r="O14" s="10">
        <f>'FY 2013 by Agency'!O14*Inflator!$E$7</f>
        <v>431.77683914114743</v>
      </c>
      <c r="P14" s="52">
        <f t="shared" si="14"/>
        <v>-2390.6259234906224</v>
      </c>
      <c r="Q14" s="58">
        <f t="shared" si="0"/>
        <v>-0.84701799301722125</v>
      </c>
      <c r="R14" s="52">
        <f>'FY 2013 by Agency'!R14*Inflator!$E$8</f>
        <v>378.3245078071962</v>
      </c>
      <c r="S14" s="52">
        <f t="shared" si="1"/>
        <v>-53.452331333951236</v>
      </c>
      <c r="T14" s="58">
        <f t="shared" si="2"/>
        <v>-0.12379619861100914</v>
      </c>
      <c r="U14" s="52">
        <f>'FY 2013 by Agency'!U14*Inflator!$E$9</f>
        <v>277.15782493368698</v>
      </c>
      <c r="V14" s="52">
        <f t="shared" si="15"/>
        <v>-101.16668287350922</v>
      </c>
      <c r="W14" s="58">
        <f t="shared" si="16"/>
        <v>-0.2674071618037136</v>
      </c>
      <c r="X14" s="52">
        <f>'FY 2013 by Agency'!X14*Inflator!$E$10</f>
        <v>0</v>
      </c>
      <c r="Y14" s="39">
        <f t="shared" si="17"/>
        <v>-277.15782493368698</v>
      </c>
      <c r="Z14" s="58">
        <f t="shared" si="39"/>
        <v>-1</v>
      </c>
      <c r="AA14" s="52">
        <f>'FY 2013 by Agency'!AA14*Inflator!$E$11</f>
        <v>0</v>
      </c>
      <c r="AB14" s="39">
        <f t="shared" si="3"/>
        <v>0</v>
      </c>
      <c r="AC14" s="58" t="e">
        <f t="shared" si="4"/>
        <v>#DIV/0!</v>
      </c>
      <c r="AD14" s="52" t="e">
        <f>'FY 2013 by Agency'!AD14*Inflator!#REF!</f>
        <v>#REF!</v>
      </c>
      <c r="AE14" s="52">
        <f>'FY 2013 by Agency'!AE14*Inflator!$B$8</f>
        <v>0</v>
      </c>
      <c r="AF14" s="52">
        <f>'FY 2013 by Agency'!AF14*Inflator!$E$12</f>
        <v>0</v>
      </c>
      <c r="AG14" s="52">
        <f t="shared" si="18"/>
        <v>0</v>
      </c>
      <c r="AH14" s="58" t="e">
        <f t="shared" si="19"/>
        <v>#DIV/0!</v>
      </c>
      <c r="AI14" s="52">
        <f>'FY 2013 by Agency'!AI14*Inflator!$B$8</f>
        <v>0</v>
      </c>
      <c r="AJ14" s="52">
        <f>'FY 2013 by Agency'!AJ14*Inflator!$B$8</f>
        <v>0</v>
      </c>
      <c r="AK14" s="52">
        <f>'FY 2013 by Agency'!AK14</f>
        <v>0</v>
      </c>
      <c r="AL14" s="52">
        <f>'FY 2013 by Agency'!AL14</f>
        <v>0</v>
      </c>
      <c r="AM14" s="52">
        <f>'FY 2013 by Agency'!AM14</f>
        <v>0</v>
      </c>
      <c r="AN14" s="52">
        <f>'FY 2013 by Agency'!AN14</f>
        <v>0</v>
      </c>
      <c r="AO14" s="52">
        <f>'FY 2013 by Agency'!AO14</f>
        <v>0</v>
      </c>
      <c r="AP14" s="52">
        <f>'FY 2013 by Agency'!AP14</f>
        <v>0</v>
      </c>
      <c r="AQ14" s="52">
        <f>'FY 2013 by Agency'!AQ14</f>
        <v>0</v>
      </c>
      <c r="AR14" s="52">
        <f>'FY 2013 by Agency'!AR14</f>
        <v>0</v>
      </c>
      <c r="AS14" s="52">
        <f>'FY 2013 by Agency'!AS14</f>
        <v>0</v>
      </c>
      <c r="AT14" s="52" t="e">
        <f t="shared" si="20"/>
        <v>#REF!</v>
      </c>
      <c r="AU14" s="58" t="e">
        <f t="shared" si="21"/>
        <v>#REF!</v>
      </c>
      <c r="AV14" s="52">
        <f t="shared" si="22"/>
        <v>0</v>
      </c>
      <c r="AW14" s="58" t="e">
        <f t="shared" si="23"/>
        <v>#DIV/0!</v>
      </c>
      <c r="AZ14" s="282">
        <f t="shared" si="24"/>
        <v>0</v>
      </c>
      <c r="BA14" s="282">
        <f t="shared" si="25"/>
        <v>0</v>
      </c>
      <c r="BB14" s="282">
        <f t="shared" si="26"/>
        <v>0</v>
      </c>
      <c r="BC14" s="58"/>
      <c r="BD14" s="294"/>
      <c r="BE14" s="51"/>
      <c r="BI14" s="65"/>
      <c r="BJ14" s="282">
        <f t="shared" si="28"/>
        <v>0</v>
      </c>
      <c r="BK14" s="65">
        <f t="shared" si="29"/>
        <v>0</v>
      </c>
      <c r="BL14" s="569">
        <f>'FY 2013 by Agency'!AS14*Inflator!$E$13</f>
        <v>0</v>
      </c>
      <c r="BM14" s="52">
        <f t="shared" si="30"/>
        <v>0</v>
      </c>
      <c r="BN14" s="51" t="e">
        <f t="shared" si="31"/>
        <v>#DIV/0!</v>
      </c>
      <c r="BO14" s="52">
        <f>'FY 2013 by Agency'!AX14*Inflator!$E$13</f>
        <v>0</v>
      </c>
      <c r="BP14" s="52">
        <f t="shared" si="32"/>
        <v>0</v>
      </c>
      <c r="BQ14" s="51" t="e">
        <f t="shared" si="33"/>
        <v>#DIV/0!</v>
      </c>
      <c r="BR14" s="52">
        <f>'FY 2013 by Agency'!BE14*Inflator!$E$14</f>
        <v>0</v>
      </c>
      <c r="BS14" s="52">
        <f t="shared" si="34"/>
        <v>0</v>
      </c>
      <c r="BT14" s="51" t="e">
        <f t="shared" si="35"/>
        <v>#DIV/0!</v>
      </c>
      <c r="BU14" s="52">
        <f>'FY 2013 by Agency'!BL14*Inflator!$E$14</f>
        <v>0</v>
      </c>
      <c r="BV14" s="10">
        <f t="shared" si="36"/>
        <v>0</v>
      </c>
      <c r="BW14" s="39">
        <v>0</v>
      </c>
      <c r="BX14" s="39">
        <f>'FY 2013 by Agency'!BV14*Inflator!E22</f>
        <v>0</v>
      </c>
      <c r="BY14" s="39">
        <f t="shared" si="37"/>
        <v>0</v>
      </c>
      <c r="BZ14" s="51" t="e">
        <f t="shared" si="38"/>
        <v>#DIV/0!</v>
      </c>
      <c r="CB14" s="39"/>
    </row>
    <row r="15" spans="1:80" ht="18" customHeight="1">
      <c r="A15" s="53" t="s">
        <v>206</v>
      </c>
      <c r="B15" s="326">
        <f>'FY 2013 by Agency'!B15*Inflator!$E$2</f>
        <v>3633.7464114832537</v>
      </c>
      <c r="C15" s="326">
        <f>'FY 2013 by Agency'!C15*Inflator!$E$3</f>
        <v>6293.1275115919634</v>
      </c>
      <c r="D15" s="326">
        <f t="shared" si="6"/>
        <v>2659.3811001087097</v>
      </c>
      <c r="E15" s="355">
        <f t="shared" si="7"/>
        <v>0.73185654664965483</v>
      </c>
      <c r="F15" s="10">
        <f>'FY 2013 by Agency'!F15*Inflator!$E$4</f>
        <v>7573.387894937191</v>
      </c>
      <c r="G15" s="10">
        <f t="shared" si="8"/>
        <v>1280.2603833452276</v>
      </c>
      <c r="H15" s="14">
        <f t="shared" si="9"/>
        <v>0.20343785836008937</v>
      </c>
      <c r="I15" s="10">
        <f>'FY 2013 by Agency'!I15*Inflator!$E$5</f>
        <v>8383.1654890293812</v>
      </c>
      <c r="J15" s="10">
        <f t="shared" si="10"/>
        <v>809.77759409219016</v>
      </c>
      <c r="K15" s="14">
        <f t="shared" si="11"/>
        <v>0.10692408804697913</v>
      </c>
      <c r="L15" s="10">
        <f>'FY 2013 by Agency'!L15*Inflator!$E$6</f>
        <v>8185.5856052344589</v>
      </c>
      <c r="M15" s="10">
        <f t="shared" si="12"/>
        <v>-197.57988379492235</v>
      </c>
      <c r="N15" s="14">
        <f t="shared" si="13"/>
        <v>-2.356864886581149E-2</v>
      </c>
      <c r="O15" s="10">
        <f>'FY 2013 by Agency'!O15*Inflator!$E$7</f>
        <v>13218.829989440335</v>
      </c>
      <c r="P15" s="52">
        <f t="shared" si="14"/>
        <v>5033.2443842058765</v>
      </c>
      <c r="Q15" s="58">
        <f t="shared" si="0"/>
        <v>0.6148911790730347</v>
      </c>
      <c r="R15" s="52">
        <f>'FY 2013 by Agency'!R15*Inflator!$E$8</f>
        <v>24481.517311608961</v>
      </c>
      <c r="S15" s="52">
        <f t="shared" si="1"/>
        <v>11262.687322168626</v>
      </c>
      <c r="T15" s="58">
        <f t="shared" si="2"/>
        <v>0.85201847146575416</v>
      </c>
      <c r="U15" s="52">
        <f>'FY 2013 by Agency'!U15*Inflator!$E$9</f>
        <v>19868.610742705569</v>
      </c>
      <c r="V15" s="52">
        <f t="shared" si="15"/>
        <v>-4612.9065689033923</v>
      </c>
      <c r="W15" s="58">
        <f t="shared" si="16"/>
        <v>-0.18842404701427493</v>
      </c>
      <c r="X15" s="52">
        <f>'FY 2013 by Agency'!X15*Inflator!$E$10</f>
        <v>7021.5261987932681</v>
      </c>
      <c r="Y15" s="39">
        <f t="shared" si="17"/>
        <v>-12847.0845439123</v>
      </c>
      <c r="Z15" s="58">
        <f t="shared" si="39"/>
        <v>-0.64660205538673077</v>
      </c>
      <c r="AA15" s="52">
        <f>'FY 2013 by Agency'!AA15*Inflator!$E$11</f>
        <v>6456.0917489646399</v>
      </c>
      <c r="AB15" s="39">
        <f t="shared" si="3"/>
        <v>-565.4344498286282</v>
      </c>
      <c r="AC15" s="58">
        <f t="shared" si="4"/>
        <v>-8.0528710399998898E-2</v>
      </c>
      <c r="AD15" s="52" t="e">
        <f>'FY 2013 by Agency'!AD15*Inflator!#REF!</f>
        <v>#REF!</v>
      </c>
      <c r="AE15" s="52">
        <f>'FY 2013 by Agency'!AE15*Inflator!$B$8</f>
        <v>0</v>
      </c>
      <c r="AF15" s="52">
        <f>'FY 2013 by Agency'!AF15*Inflator!$E$12</f>
        <v>5340.7788220551383</v>
      </c>
      <c r="AG15" s="52">
        <f t="shared" si="18"/>
        <v>-1115.3129269095016</v>
      </c>
      <c r="AH15" s="58">
        <f t="shared" si="19"/>
        <v>-0.1727535744962676</v>
      </c>
      <c r="AI15" s="52">
        <f>'FY 2013 by Agency'!AI15*Inflator!$B$8</f>
        <v>0</v>
      </c>
      <c r="AJ15" s="52">
        <f>'FY 2013 by Agency'!AJ15*Inflator!$B$8</f>
        <v>0</v>
      </c>
      <c r="AK15" s="52">
        <f>'FY 2013 by Agency'!AK15</f>
        <v>5438</v>
      </c>
      <c r="AL15" s="52">
        <f>'FY 2013 by Agency'!AL15</f>
        <v>0</v>
      </c>
      <c r="AM15" s="52">
        <f>'FY 2013 by Agency'!AM15</f>
        <v>5438</v>
      </c>
      <c r="AN15" s="52">
        <f>'FY 2013 by Agency'!AN15</f>
        <v>5105</v>
      </c>
      <c r="AO15" s="52">
        <f>'FY 2013 by Agency'!AO15</f>
        <v>5105</v>
      </c>
      <c r="AP15" s="52">
        <f>'FY 2013 by Agency'!AP15</f>
        <v>1</v>
      </c>
      <c r="AQ15" s="52">
        <f>'FY 2013 by Agency'!AQ15</f>
        <v>193</v>
      </c>
      <c r="AR15" s="52">
        <f>'FY 2013 by Agency'!AR15</f>
        <v>194</v>
      </c>
      <c r="AS15" s="52">
        <f>'FY 2013 by Agency'!AS15</f>
        <v>4205.7538000000004</v>
      </c>
      <c r="AT15" s="52" t="e">
        <f t="shared" si="20"/>
        <v>#REF!</v>
      </c>
      <c r="AU15" s="58" t="e">
        <f t="shared" si="21"/>
        <v>#REF!</v>
      </c>
      <c r="AV15" s="52">
        <f t="shared" si="22"/>
        <v>-1135.0250220551379</v>
      </c>
      <c r="AW15" s="58">
        <f t="shared" si="23"/>
        <v>-0.21252050681596638</v>
      </c>
      <c r="AX15" s="281" t="s">
        <v>258</v>
      </c>
      <c r="AY15" s="282">
        <v>5105</v>
      </c>
      <c r="AZ15" s="282">
        <f t="shared" si="24"/>
        <v>0</v>
      </c>
      <c r="BA15" s="282">
        <f t="shared" si="25"/>
        <v>-1135.0250220551379</v>
      </c>
      <c r="BB15" s="282">
        <f t="shared" si="26"/>
        <v>4205.7538000000004</v>
      </c>
      <c r="BC15" s="58">
        <f t="shared" si="27"/>
        <v>-0.21252050681596635</v>
      </c>
      <c r="BD15" s="294">
        <v>15.884</v>
      </c>
      <c r="BE15" s="51">
        <f t="shared" si="5"/>
        <v>3.1114593535749267E-3</v>
      </c>
      <c r="BI15" s="219">
        <v>3436</v>
      </c>
      <c r="BJ15" s="282">
        <f t="shared" si="28"/>
        <v>-1669</v>
      </c>
      <c r="BK15" s="65">
        <f t="shared" si="29"/>
        <v>3630</v>
      </c>
      <c r="BL15" s="569">
        <f>'FY 2013 by Agency'!AS15*Inflator!$E$13</f>
        <v>4361.0471200488264</v>
      </c>
      <c r="BM15" s="52">
        <f t="shared" si="30"/>
        <v>-979.73170200631193</v>
      </c>
      <c r="BN15" s="51">
        <f t="shared" si="31"/>
        <v>-0.18344360151377884</v>
      </c>
      <c r="BO15" s="52">
        <f>'FY 2013 by Agency'!AX15*Inflator!$E$13</f>
        <v>3562.87091852304</v>
      </c>
      <c r="BP15" s="52">
        <f t="shared" si="32"/>
        <v>-1777.9079035320983</v>
      </c>
      <c r="BQ15" s="51">
        <f t="shared" si="33"/>
        <v>-0.33289300358031998</v>
      </c>
      <c r="BR15" s="52">
        <f>'FY 2013 by Agency'!BE15*Inflator!$E$14</f>
        <v>3331.0343386085401</v>
      </c>
      <c r="BS15" s="52">
        <f t="shared" si="34"/>
        <v>-231.83657991449991</v>
      </c>
      <c r="BT15" s="51">
        <f t="shared" si="35"/>
        <v>-6.5070159771773578E-2</v>
      </c>
      <c r="BU15" s="52">
        <f>'FY 2013 by Agency'!BL15*Inflator!$E$14</f>
        <v>3413.2194684980595</v>
      </c>
      <c r="BV15" s="10">
        <f t="shared" si="36"/>
        <v>-947.82765155076686</v>
      </c>
      <c r="BW15" s="495">
        <v>3351</v>
      </c>
      <c r="BX15" s="39">
        <f>'FY 2013 by Agency'!BV15*Inflator!E15</f>
        <v>3408.317</v>
      </c>
      <c r="BY15" s="39">
        <f t="shared" si="37"/>
        <v>19.965661391459889</v>
      </c>
      <c r="BZ15" s="51">
        <f t="shared" si="38"/>
        <v>5.993832354126997E-3</v>
      </c>
      <c r="CB15" s="39"/>
    </row>
    <row r="16" spans="1:80" ht="18" customHeight="1">
      <c r="A16" s="53" t="s">
        <v>207</v>
      </c>
      <c r="B16" s="329" t="s">
        <v>78</v>
      </c>
      <c r="C16" s="329" t="s">
        <v>78</v>
      </c>
      <c r="D16" s="329" t="s">
        <v>78</v>
      </c>
      <c r="E16" s="329" t="s">
        <v>78</v>
      </c>
      <c r="F16" s="329" t="s">
        <v>78</v>
      </c>
      <c r="G16" s="329" t="s">
        <v>78</v>
      </c>
      <c r="H16" s="329" t="s">
        <v>78</v>
      </c>
      <c r="I16" s="329" t="s">
        <v>78</v>
      </c>
      <c r="J16" s="329" t="s">
        <v>78</v>
      </c>
      <c r="K16" s="329" t="s">
        <v>78</v>
      </c>
      <c r="L16" s="10">
        <f>'FY 2013 by Agency'!L16*Inflator!$E$6</f>
        <v>2224.5721555797891</v>
      </c>
      <c r="M16" s="329" t="s">
        <v>78</v>
      </c>
      <c r="N16" s="329" t="s">
        <v>78</v>
      </c>
      <c r="O16" s="10">
        <f>'FY 2013 by Agency'!O16*Inflator!$E$7</f>
        <v>1504.6406195001757</v>
      </c>
      <c r="P16" s="52">
        <f t="shared" si="14"/>
        <v>-719.93153607961335</v>
      </c>
      <c r="Q16" s="58">
        <f t="shared" si="0"/>
        <v>-0.32362696542516867</v>
      </c>
      <c r="R16" s="52">
        <f>'FY 2013 by Agency'!R16*Inflator!$E$8</f>
        <v>1884.701968771215</v>
      </c>
      <c r="S16" s="52">
        <f t="shared" si="1"/>
        <v>380.06134927103926</v>
      </c>
      <c r="T16" s="58">
        <f t="shared" si="2"/>
        <v>0.25259277487623011</v>
      </c>
      <c r="U16" s="52">
        <f>'FY 2013 by Agency'!U16*Inflator!$E$9</f>
        <v>1746.3196286472148</v>
      </c>
      <c r="V16" s="52">
        <f t="shared" si="15"/>
        <v>-138.38234012400017</v>
      </c>
      <c r="W16" s="58">
        <f t="shared" si="16"/>
        <v>-7.3423990857409915E-2</v>
      </c>
      <c r="X16" s="52">
        <f>'FY 2013 by Agency'!X16*Inflator!$E$10</f>
        <v>1942.3308986979996</v>
      </c>
      <c r="Y16" s="39">
        <f t="shared" si="17"/>
        <v>196.01127005078479</v>
      </c>
      <c r="Z16" s="58">
        <f t="shared" si="39"/>
        <v>0.11224249377682639</v>
      </c>
      <c r="AA16" s="52">
        <f>'FY 2013 by Agency'!AA16*Inflator!$E$11</f>
        <v>1602.115323351386</v>
      </c>
      <c r="AB16" s="39">
        <f t="shared" si="3"/>
        <v>-340.2155753466136</v>
      </c>
      <c r="AC16" s="58">
        <f t="shared" si="4"/>
        <v>-0.17515840147251424</v>
      </c>
      <c r="AD16" s="52" t="e">
        <f>'FY 2013 by Agency'!AD16*Inflator!#REF!</f>
        <v>#REF!</v>
      </c>
      <c r="AE16" s="52">
        <f>'FY 2013 by Agency'!AE16*Inflator!$B$8</f>
        <v>0</v>
      </c>
      <c r="AF16" s="52">
        <f>'FY 2013 by Agency'!AF16*Inflator!$E$12</f>
        <v>1081.5689223057645</v>
      </c>
      <c r="AG16" s="52">
        <f t="shared" si="18"/>
        <v>-520.54640104562145</v>
      </c>
      <c r="AH16" s="58">
        <f t="shared" si="19"/>
        <v>-0.32491194201720519</v>
      </c>
      <c r="AI16" s="52">
        <f>'FY 2013 by Agency'!AI16*Inflator!$B$8</f>
        <v>0</v>
      </c>
      <c r="AJ16" s="52">
        <f>'FY 2013 by Agency'!AJ16*Inflator!$B$8</f>
        <v>0</v>
      </c>
      <c r="AK16" s="52">
        <f>'FY 2013 by Agency'!AK16</f>
        <v>1062</v>
      </c>
      <c r="AL16" s="52">
        <f>'FY 2013 by Agency'!AL16</f>
        <v>0</v>
      </c>
      <c r="AM16" s="52">
        <f>'FY 2013 by Agency'!AM16</f>
        <v>1062</v>
      </c>
      <c r="AN16" s="52">
        <f>'FY 2013 by Agency'!AN16</f>
        <v>922</v>
      </c>
      <c r="AO16" s="52">
        <f>'FY 2013 by Agency'!AO16</f>
        <v>922</v>
      </c>
      <c r="AP16" s="52">
        <f>'FY 2013 by Agency'!AP16</f>
        <v>131</v>
      </c>
      <c r="AQ16" s="52">
        <f>'FY 2013 by Agency'!AQ16</f>
        <v>20</v>
      </c>
      <c r="AR16" s="52">
        <f>'FY 2013 by Agency'!AR16</f>
        <v>151</v>
      </c>
      <c r="AS16" s="52">
        <f>'FY 2013 by Agency'!AS16</f>
        <v>872.94608000000005</v>
      </c>
      <c r="AT16" s="52" t="e">
        <f t="shared" si="20"/>
        <v>#REF!</v>
      </c>
      <c r="AU16" s="58" t="e">
        <f t="shared" si="21"/>
        <v>#REF!</v>
      </c>
      <c r="AV16" s="52">
        <f t="shared" si="22"/>
        <v>-208.62284230576449</v>
      </c>
      <c r="AW16" s="58">
        <f t="shared" si="23"/>
        <v>-0.19288908732788632</v>
      </c>
      <c r="AX16" s="281" t="s">
        <v>259</v>
      </c>
      <c r="AY16" s="282">
        <v>783.35514000000001</v>
      </c>
      <c r="AZ16" s="282">
        <f t="shared" si="24"/>
        <v>-138.64485999999999</v>
      </c>
      <c r="BA16" s="282">
        <f t="shared" si="25"/>
        <v>-347.26770230576449</v>
      </c>
      <c r="BB16" s="282">
        <f t="shared" si="26"/>
        <v>734.30122000000006</v>
      </c>
      <c r="BC16" s="58">
        <f t="shared" si="27"/>
        <v>-0.32107773729799371</v>
      </c>
      <c r="BD16" s="294">
        <v>4.367</v>
      </c>
      <c r="BE16" s="51">
        <f t="shared" si="5"/>
        <v>5.5747384257924188E-3</v>
      </c>
      <c r="BI16" s="219">
        <v>771</v>
      </c>
      <c r="BJ16" s="282">
        <f t="shared" si="28"/>
        <v>-12.355140000000006</v>
      </c>
      <c r="BK16" s="65">
        <f t="shared" si="29"/>
        <v>922</v>
      </c>
      <c r="BL16" s="569">
        <f>'FY 2013 by Agency'!AS16*Inflator!$E$13</f>
        <v>905.17875490997881</v>
      </c>
      <c r="BM16" s="52">
        <f t="shared" si="30"/>
        <v>-176.39016739578574</v>
      </c>
      <c r="BN16" s="51">
        <f t="shared" si="31"/>
        <v>-0.16308731118100619</v>
      </c>
      <c r="BO16" s="52">
        <f>'FY 2013 by Agency'!AX16*Inflator!$E$13</f>
        <v>799.4684162343608</v>
      </c>
      <c r="BP16" s="52">
        <f t="shared" si="32"/>
        <v>-282.10050607140374</v>
      </c>
      <c r="BQ16" s="51">
        <f t="shared" si="33"/>
        <v>-0.26082526989588611</v>
      </c>
      <c r="BR16" s="52">
        <f>'FY 2013 by Agency'!BE16*Inflator!$E$14</f>
        <v>2767.9140041803525</v>
      </c>
      <c r="BS16" s="52">
        <f t="shared" si="34"/>
        <v>1968.4455879459917</v>
      </c>
      <c r="BT16" s="51">
        <f t="shared" si="35"/>
        <v>2.4621930622571964</v>
      </c>
      <c r="BU16" s="52">
        <f>'FY 2013 by Agency'!BL16*Inflator!$E$14</f>
        <v>2893.7282770976412</v>
      </c>
      <c r="BV16" s="10">
        <f t="shared" si="36"/>
        <v>1988.5495221876624</v>
      </c>
      <c r="BW16" s="495">
        <v>2962</v>
      </c>
      <c r="BX16" s="39">
        <f>'FY 2013 by Agency'!BV16*Inflator!E15</f>
        <v>3111.848</v>
      </c>
      <c r="BY16" s="39">
        <f t="shared" si="37"/>
        <v>194.08599581964745</v>
      </c>
      <c r="BZ16" s="51">
        <f t="shared" si="38"/>
        <v>7.0119951532642028E-2</v>
      </c>
      <c r="CB16" s="39"/>
    </row>
    <row r="17" spans="1:80" ht="18" customHeight="1">
      <c r="A17" s="316" t="s">
        <v>369</v>
      </c>
      <c r="B17" s="326">
        <f>'FY 2013 by Agency'!B17*Inflator!$E$2</f>
        <v>14994.284688995216</v>
      </c>
      <c r="C17" s="326">
        <f>'FY 2013 by Agency'!C17*Inflator!$E$3</f>
        <v>13276.884080370945</v>
      </c>
      <c r="D17" s="326">
        <f t="shared" si="6"/>
        <v>-1717.4006086242716</v>
      </c>
      <c r="E17" s="355">
        <f t="shared" si="7"/>
        <v>-0.11453701488572687</v>
      </c>
      <c r="F17" s="10">
        <f>'FY 2013 by Agency'!F18*Inflator!$E$4</f>
        <v>23888.185763228015</v>
      </c>
      <c r="G17" s="10">
        <f t="shared" si="8"/>
        <v>10611.301682857071</v>
      </c>
      <c r="H17" s="14">
        <f t="shared" si="9"/>
        <v>0.7992313270660566</v>
      </c>
      <c r="I17" s="10">
        <f>'FY 2013 by Agency'!I18*Inflator!$E$5</f>
        <v>14317.344737820753</v>
      </c>
      <c r="J17" s="10">
        <f t="shared" si="10"/>
        <v>-9570.8410254072624</v>
      </c>
      <c r="K17" s="14">
        <f t="shared" si="11"/>
        <v>-0.40065164932449659</v>
      </c>
      <c r="L17" s="10">
        <f>'FY 2013 by Agency'!L17*Inflator!$E$6</f>
        <v>0</v>
      </c>
      <c r="M17" s="10">
        <f t="shared" si="12"/>
        <v>-14317.344737820753</v>
      </c>
      <c r="N17" s="14">
        <f t="shared" si="13"/>
        <v>-1</v>
      </c>
      <c r="O17" s="10">
        <f>'FY 2013 by Agency'!O17*Inflator!$E$7</f>
        <v>0</v>
      </c>
      <c r="P17" s="52"/>
      <c r="Q17" s="58"/>
      <c r="R17" s="52">
        <f>'FY 2013 by Agency'!R17*Inflator!$E$8</f>
        <v>0</v>
      </c>
      <c r="S17" s="52"/>
      <c r="T17" s="58"/>
      <c r="U17" s="52">
        <f>'FY 2013 by Agency'!U17*Inflator!$E$9</f>
        <v>0</v>
      </c>
      <c r="V17" s="52"/>
      <c r="W17" s="58"/>
      <c r="X17" s="52">
        <f>'FY 2013 by Agency'!X17*Inflator!$E$10</f>
        <v>0</v>
      </c>
      <c r="Y17" s="39"/>
      <c r="Z17" s="58"/>
      <c r="AA17" s="52">
        <f>'FY 2013 by Agency'!AA17*Inflator!$E$11</f>
        <v>0</v>
      </c>
      <c r="AB17" s="39"/>
      <c r="AC17" s="58"/>
      <c r="AD17" s="52" t="e">
        <f>'FY 2013 by Agency'!AD17*Inflator!#REF!</f>
        <v>#REF!</v>
      </c>
      <c r="AE17" s="52"/>
      <c r="AF17" s="52">
        <f>'FY 2013 by Agency'!AF17*Inflator!$E$12</f>
        <v>0</v>
      </c>
      <c r="AG17" s="52"/>
      <c r="AH17" s="58"/>
      <c r="AI17" s="52"/>
      <c r="AJ17" s="52"/>
      <c r="AK17" s="52"/>
      <c r="AL17" s="52"/>
      <c r="AM17" s="52"/>
      <c r="AO17" s="52"/>
      <c r="AU17" s="58"/>
      <c r="AV17" s="52"/>
      <c r="AW17" s="58"/>
      <c r="AX17" s="281"/>
      <c r="AY17" s="282"/>
      <c r="AZ17" s="282"/>
      <c r="BA17" s="282"/>
      <c r="BB17" s="282"/>
      <c r="BC17" s="58"/>
      <c r="BD17" s="294"/>
      <c r="BE17" s="51"/>
      <c r="BI17" s="219"/>
      <c r="BJ17" s="282"/>
      <c r="BK17" s="65">
        <f t="shared" si="29"/>
        <v>0</v>
      </c>
      <c r="BL17" s="569">
        <f>'FY 2013 by Agency'!AS17*Inflator!$E$13</f>
        <v>0</v>
      </c>
      <c r="BM17" s="52">
        <f t="shared" si="30"/>
        <v>0</v>
      </c>
      <c r="BN17" s="51" t="e">
        <f t="shared" si="31"/>
        <v>#DIV/0!</v>
      </c>
      <c r="BO17" s="52">
        <f>'FY 2013 by Agency'!AX17*Inflator!$E$13</f>
        <v>0</v>
      </c>
      <c r="BP17" s="52">
        <f t="shared" si="32"/>
        <v>0</v>
      </c>
      <c r="BQ17" s="51" t="e">
        <f t="shared" si="33"/>
        <v>#DIV/0!</v>
      </c>
      <c r="BR17" s="52">
        <f>'FY 2013 by Agency'!BE17*Inflator!$E$14</f>
        <v>0</v>
      </c>
      <c r="BS17" s="52">
        <f t="shared" si="34"/>
        <v>0</v>
      </c>
      <c r="BT17" s="51" t="e">
        <f t="shared" si="35"/>
        <v>#DIV/0!</v>
      </c>
      <c r="BU17" s="52">
        <f>'FY 2013 by Agency'!BL17*Inflator!$E$14</f>
        <v>0</v>
      </c>
      <c r="BV17" s="10">
        <f t="shared" si="36"/>
        <v>0</v>
      </c>
      <c r="BW17" s="39">
        <v>0</v>
      </c>
      <c r="BX17" s="39">
        <f>'FY 2013 by Agency'!BV17*Inflator!E15</f>
        <v>0</v>
      </c>
      <c r="BY17" s="39">
        <f t="shared" si="37"/>
        <v>0</v>
      </c>
      <c r="BZ17" s="51" t="e">
        <f t="shared" si="38"/>
        <v>#DIV/0!</v>
      </c>
      <c r="CB17" s="39"/>
    </row>
    <row r="18" spans="1:80" ht="15.75" customHeight="1">
      <c r="A18" s="53" t="s">
        <v>208</v>
      </c>
      <c r="B18" s="329" t="s">
        <v>78</v>
      </c>
      <c r="C18" s="329" t="s">
        <v>78</v>
      </c>
      <c r="D18" s="329" t="s">
        <v>78</v>
      </c>
      <c r="E18" s="329" t="s">
        <v>78</v>
      </c>
      <c r="F18" s="329" t="s">
        <v>78</v>
      </c>
      <c r="G18" s="329" t="s">
        <v>78</v>
      </c>
      <c r="H18" s="329" t="s">
        <v>78</v>
      </c>
      <c r="I18" s="329" t="s">
        <v>78</v>
      </c>
      <c r="J18" s="329" t="s">
        <v>78</v>
      </c>
      <c r="K18" s="329" t="s">
        <v>78</v>
      </c>
      <c r="L18" s="10">
        <f>'FY 2013 by Agency'!L18*Inflator!$E$6</f>
        <v>11691.046892039258</v>
      </c>
      <c r="M18" s="329" t="s">
        <v>78</v>
      </c>
      <c r="N18" s="329" t="s">
        <v>78</v>
      </c>
      <c r="O18" s="10">
        <f>'FY 2013 by Agency'!O18*Inflator!$E$7</f>
        <v>13505.883843717</v>
      </c>
      <c r="P18" s="52">
        <f t="shared" si="14"/>
        <v>1814.836951677742</v>
      </c>
      <c r="Q18" s="58">
        <f t="shared" si="0"/>
        <v>0.15523305726482992</v>
      </c>
      <c r="R18" s="52">
        <f>'FY 2013 by Agency'!R18*Inflator!$E$8</f>
        <v>12415.503054989817</v>
      </c>
      <c r="S18" s="52">
        <f t="shared" si="1"/>
        <v>-1090.3807887271832</v>
      </c>
      <c r="T18" s="58">
        <f t="shared" si="2"/>
        <v>-8.0733760288811712E-2</v>
      </c>
      <c r="U18" s="52">
        <f>'FY 2013 by Agency'!U18*Inflator!$E$9</f>
        <v>12654.620689655172</v>
      </c>
      <c r="V18" s="52">
        <f t="shared" si="15"/>
        <v>239.11763466535558</v>
      </c>
      <c r="W18" s="58">
        <f t="shared" si="16"/>
        <v>1.9259600968746387E-2</v>
      </c>
      <c r="X18" s="52">
        <f>'FY 2013 by Agency'!X18*Inflator!$E$10</f>
        <v>9585.4029850746283</v>
      </c>
      <c r="Y18" s="39">
        <f t="shared" si="17"/>
        <v>-3069.2177045805438</v>
      </c>
      <c r="Z18" s="58">
        <f t="shared" si="39"/>
        <v>-0.24253731343283569</v>
      </c>
      <c r="AA18" s="52">
        <f>'FY 2013 by Agency'!AA18*Inflator!$E$11</f>
        <v>10473.287671232878</v>
      </c>
      <c r="AB18" s="39">
        <f t="shared" si="3"/>
        <v>887.88468615824968</v>
      </c>
      <c r="AC18" s="58">
        <f t="shared" si="4"/>
        <v>9.2628832354859719E-2</v>
      </c>
      <c r="AD18" s="52" t="e">
        <f>'FY 2013 by Agency'!AD18*Inflator!#REF!</f>
        <v>#REF!</v>
      </c>
      <c r="AE18" s="52">
        <f>'FY 2013 by Agency'!AE18*Inflator!$B$8</f>
        <v>0</v>
      </c>
      <c r="AF18" s="52">
        <f>'FY 2013 by Agency'!AF18*Inflator!$E$12</f>
        <v>5763.3997493734341</v>
      </c>
      <c r="AG18" s="52">
        <f t="shared" si="18"/>
        <v>-4709.8879218594438</v>
      </c>
      <c r="AH18" s="58">
        <f t="shared" si="19"/>
        <v>-0.44970481759955444</v>
      </c>
      <c r="AI18" s="52">
        <f>'FY 2013 by Agency'!AI18*Inflator!$B$8</f>
        <v>0</v>
      </c>
      <c r="AJ18" s="52">
        <f>'FY 2013 by Agency'!AJ18*Inflator!$B$8</f>
        <v>0</v>
      </c>
      <c r="AK18" s="52">
        <f>'FY 2013 by Agency'!AK18</f>
        <v>5579</v>
      </c>
      <c r="AL18" s="52">
        <f>'FY 2013 by Agency'!AL18</f>
        <v>0</v>
      </c>
      <c r="AM18" s="52">
        <f>'FY 2013 by Agency'!AM18</f>
        <v>5579</v>
      </c>
      <c r="AN18" s="52">
        <f>'FY 2013 by Agency'!AN18</f>
        <v>8981</v>
      </c>
      <c r="AO18" s="52">
        <f>'FY 2013 by Agency'!AO18</f>
        <v>9258</v>
      </c>
      <c r="AP18" s="52">
        <f>'FY 2013 by Agency'!AP18</f>
        <v>601</v>
      </c>
      <c r="AQ18" s="52">
        <f>'FY 2013 by Agency'!AQ18</f>
        <v>77</v>
      </c>
      <c r="AR18" s="52">
        <f>'FY 2013 by Agency'!AR18</f>
        <v>678</v>
      </c>
      <c r="AS18" s="52">
        <f>'FY 2013 by Agency'!AS18</f>
        <v>8998.8401400000002</v>
      </c>
      <c r="AT18" s="52" t="e">
        <f t="shared" si="20"/>
        <v>#REF!</v>
      </c>
      <c r="AU18" s="58" t="e">
        <f t="shared" si="21"/>
        <v>#REF!</v>
      </c>
      <c r="AV18" s="52">
        <f t="shared" si="22"/>
        <v>3235.4403906265661</v>
      </c>
      <c r="AW18" s="58">
        <f t="shared" si="23"/>
        <v>0.56137705717503039</v>
      </c>
      <c r="AX18" s="281" t="s">
        <v>260</v>
      </c>
      <c r="AY18" s="282">
        <v>8466.0767999999989</v>
      </c>
      <c r="AZ18" s="282">
        <f t="shared" si="24"/>
        <v>-791.92320000000109</v>
      </c>
      <c r="BA18" s="282">
        <f t="shared" si="25"/>
        <v>2443.517190626565</v>
      </c>
      <c r="BB18" s="282">
        <f t="shared" si="26"/>
        <v>8206.9169399999992</v>
      </c>
      <c r="BC18" s="58">
        <f t="shared" si="27"/>
        <v>0.42397149198131046</v>
      </c>
      <c r="BD18" s="294">
        <v>81.111000000000004</v>
      </c>
      <c r="BE18" s="51">
        <f t="shared" si="5"/>
        <v>9.5807068511355835E-3</v>
      </c>
      <c r="BF18" s="50">
        <v>209</v>
      </c>
      <c r="BI18" s="219">
        <v>8138</v>
      </c>
      <c r="BJ18" s="282">
        <f t="shared" si="28"/>
        <v>-328.07679999999891</v>
      </c>
      <c r="BK18" s="65">
        <f t="shared" si="29"/>
        <v>8816</v>
      </c>
      <c r="BL18" s="569">
        <f>'FY 2013 by Agency'!AS18*Inflator!$E$13</f>
        <v>9331.1134561245053</v>
      </c>
      <c r="BM18" s="52">
        <f t="shared" si="30"/>
        <v>3567.7137067510712</v>
      </c>
      <c r="BN18" s="51">
        <f t="shared" si="31"/>
        <v>0.61902936841036127</v>
      </c>
      <c r="BO18" s="52">
        <f>'FY 2013 by Agency'!AX18*Inflator!$E$13</f>
        <v>8438.4876411351852</v>
      </c>
      <c r="BP18" s="52">
        <f t="shared" si="32"/>
        <v>2675.0878917617511</v>
      </c>
      <c r="BQ18" s="51">
        <f t="shared" si="33"/>
        <v>0.46415102336994274</v>
      </c>
      <c r="BR18" s="52">
        <f>'FY 2013 by Agency'!BE18*Inflator!$E$14</f>
        <v>7657.4219169901471</v>
      </c>
      <c r="BS18" s="52">
        <f t="shared" si="34"/>
        <v>-781.06572414503808</v>
      </c>
      <c r="BT18" s="51">
        <f t="shared" si="35"/>
        <v>-9.255991800445007E-2</v>
      </c>
      <c r="BU18" s="52">
        <f>'FY 2013 by Agency'!BL18*Inflator!$E$14</f>
        <v>8313.8883248730963</v>
      </c>
      <c r="BV18" s="10">
        <f t="shared" si="36"/>
        <v>-1017.225131251409</v>
      </c>
      <c r="BW18" s="495">
        <v>7814</v>
      </c>
      <c r="BX18" s="39">
        <f>'FY 2013 by Agency'!BV18*Inflator!E15</f>
        <v>8728.8649999999998</v>
      </c>
      <c r="BY18" s="39">
        <f t="shared" si="37"/>
        <v>156.57808300985289</v>
      </c>
      <c r="BZ18" s="51">
        <f t="shared" si="38"/>
        <v>2.0447885033269528E-2</v>
      </c>
      <c r="CB18" s="39"/>
    </row>
    <row r="19" spans="1:80" ht="18" customHeight="1">
      <c r="A19" s="53" t="s">
        <v>199</v>
      </c>
      <c r="B19" s="326" t="e">
        <f>'FY 2013 by Agency'!B19*Inflator!#REF!</f>
        <v>#REF!</v>
      </c>
      <c r="C19" s="326" t="e">
        <f>'FY 2013 by Agency'!C19*Inflator!#REF!</f>
        <v>#REF!</v>
      </c>
      <c r="D19" s="326" t="e">
        <f t="shared" si="6"/>
        <v>#REF!</v>
      </c>
      <c r="E19" s="355" t="e">
        <f t="shared" si="7"/>
        <v>#REF!</v>
      </c>
      <c r="F19" s="10" t="e">
        <f>'FY 2013 by Agency'!F19*Inflator!#REF!</f>
        <v>#VALUE!</v>
      </c>
      <c r="G19" s="10" t="e">
        <f t="shared" si="8"/>
        <v>#VALUE!</v>
      </c>
      <c r="H19" s="14" t="e">
        <f t="shared" si="9"/>
        <v>#VALUE!</v>
      </c>
      <c r="I19" s="10" t="e">
        <f>'FY 2013 by Agency'!I19*Inflator!#REF!</f>
        <v>#VALUE!</v>
      </c>
      <c r="J19" s="10" t="e">
        <f t="shared" si="10"/>
        <v>#VALUE!</v>
      </c>
      <c r="K19" s="14" t="e">
        <f t="shared" si="11"/>
        <v>#VALUE!</v>
      </c>
      <c r="L19" s="10" t="e">
        <f>'FY 2013 by Agency'!L19*Inflator!$E$6</f>
        <v>#VALUE!</v>
      </c>
      <c r="M19" s="10" t="e">
        <f t="shared" si="12"/>
        <v>#VALUE!</v>
      </c>
      <c r="N19" s="14" t="e">
        <f t="shared" si="13"/>
        <v>#VALUE!</v>
      </c>
      <c r="O19" s="10" t="e">
        <f>'FY 2013 by Agency'!O19*Inflator!$E$7</f>
        <v>#VALUE!</v>
      </c>
      <c r="P19" s="52" t="e">
        <f t="shared" si="14"/>
        <v>#VALUE!</v>
      </c>
      <c r="Q19" s="58" t="e">
        <f t="shared" si="0"/>
        <v>#VALUE!</v>
      </c>
      <c r="R19" s="52" t="e">
        <f>'FY 2013 by Agency'!R19*Inflator!$E$8</f>
        <v>#VALUE!</v>
      </c>
      <c r="S19" s="52" t="e">
        <f t="shared" si="1"/>
        <v>#VALUE!</v>
      </c>
      <c r="T19" s="58" t="e">
        <f t="shared" si="2"/>
        <v>#VALUE!</v>
      </c>
      <c r="U19" s="52" t="e">
        <f>'FY 2013 by Agency'!U19*Inflator!$E$9</f>
        <v>#VALUE!</v>
      </c>
      <c r="V19" s="52" t="e">
        <f t="shared" si="15"/>
        <v>#VALUE!</v>
      </c>
      <c r="W19" s="58" t="e">
        <f t="shared" si="16"/>
        <v>#VALUE!</v>
      </c>
      <c r="X19" s="52" t="e">
        <f>'FY 2013 by Agency'!X19*Inflator!$E$10</f>
        <v>#VALUE!</v>
      </c>
      <c r="Y19" s="39" t="e">
        <f t="shared" si="17"/>
        <v>#VALUE!</v>
      </c>
      <c r="Z19" s="58" t="e">
        <f t="shared" si="39"/>
        <v>#VALUE!</v>
      </c>
      <c r="AA19" s="52" t="e">
        <f>'FY 2013 by Agency'!AA19*Inflator!$E$11</f>
        <v>#VALUE!</v>
      </c>
      <c r="AB19" s="39" t="e">
        <f t="shared" si="3"/>
        <v>#VALUE!</v>
      </c>
      <c r="AC19" s="329" t="s">
        <v>78</v>
      </c>
      <c r="AD19" s="52" t="e">
        <f>'FY 2013 by Agency'!AD19*Inflator!#REF!</f>
        <v>#REF!</v>
      </c>
      <c r="AE19" s="52">
        <f>'FY 2013 by Agency'!AE19*Inflator!$B$8</f>
        <v>0</v>
      </c>
      <c r="AF19" s="52">
        <f>'FY 2013 by Agency'!AF19*Inflator!$E$12</f>
        <v>0</v>
      </c>
      <c r="AG19" s="52" t="e">
        <f t="shared" si="18"/>
        <v>#VALUE!</v>
      </c>
      <c r="AH19" s="58" t="e">
        <f t="shared" si="19"/>
        <v>#VALUE!</v>
      </c>
      <c r="AI19" s="52">
        <f>'FY 2013 by Agency'!AI19*Inflator!$B$8</f>
        <v>0</v>
      </c>
      <c r="AJ19" s="52">
        <f>'FY 2013 by Agency'!AJ19*Inflator!$B$8</f>
        <v>0</v>
      </c>
      <c r="AK19" s="52">
        <f>'FY 2013 by Agency'!AK19</f>
        <v>0</v>
      </c>
      <c r="AL19" s="52">
        <f>'FY 2013 by Agency'!AL19</f>
        <v>0</v>
      </c>
      <c r="AM19" s="52">
        <f>'FY 2013 by Agency'!AM19</f>
        <v>0</v>
      </c>
      <c r="AN19" s="52">
        <f>'FY 2013 by Agency'!AN19</f>
        <v>0</v>
      </c>
      <c r="AO19" s="52">
        <f>'FY 2013 by Agency'!AO19</f>
        <v>0</v>
      </c>
      <c r="AP19" s="52">
        <f>'FY 2013 by Agency'!AP19</f>
        <v>0</v>
      </c>
      <c r="AQ19" s="52">
        <f>'FY 2013 by Agency'!AQ19</f>
        <v>0</v>
      </c>
      <c r="AR19" s="52">
        <f>'FY 2013 by Agency'!AR19</f>
        <v>0</v>
      </c>
      <c r="AS19" s="52">
        <f>'FY 2013 by Agency'!AS19</f>
        <v>0</v>
      </c>
      <c r="AT19" s="52" t="e">
        <f t="shared" si="20"/>
        <v>#REF!</v>
      </c>
      <c r="AU19" s="58" t="e">
        <f t="shared" si="21"/>
        <v>#REF!</v>
      </c>
      <c r="AV19" s="52">
        <f t="shared" si="22"/>
        <v>0</v>
      </c>
      <c r="AW19" s="58" t="e">
        <f t="shared" si="23"/>
        <v>#DIV/0!</v>
      </c>
      <c r="AZ19" s="282">
        <f t="shared" si="24"/>
        <v>0</v>
      </c>
      <c r="BA19" s="282">
        <f t="shared" si="25"/>
        <v>0</v>
      </c>
      <c r="BB19" s="282">
        <f t="shared" si="26"/>
        <v>0</v>
      </c>
      <c r="BC19" s="58"/>
      <c r="BD19" s="294"/>
      <c r="BE19" s="51"/>
      <c r="BI19" s="65"/>
      <c r="BJ19" s="282">
        <f t="shared" si="28"/>
        <v>0</v>
      </c>
      <c r="BK19" s="65">
        <f t="shared" si="29"/>
        <v>0</v>
      </c>
      <c r="BL19" s="569">
        <f>'FY 2013 by Agency'!AS19*Inflator!$E$13</f>
        <v>0</v>
      </c>
      <c r="BM19" s="52">
        <f t="shared" si="30"/>
        <v>0</v>
      </c>
      <c r="BN19" s="51" t="e">
        <f t="shared" si="31"/>
        <v>#DIV/0!</v>
      </c>
      <c r="BO19" s="52">
        <f>'FY 2013 by Agency'!AX19*Inflator!$E$13</f>
        <v>0</v>
      </c>
      <c r="BP19" s="52">
        <f t="shared" si="32"/>
        <v>0</v>
      </c>
      <c r="BQ19" s="51" t="e">
        <f t="shared" si="33"/>
        <v>#DIV/0!</v>
      </c>
      <c r="BR19" s="52">
        <f>'FY 2013 by Agency'!BE19*Inflator!$E$14</f>
        <v>0</v>
      </c>
      <c r="BS19" s="52">
        <f t="shared" si="34"/>
        <v>0</v>
      </c>
      <c r="BT19" s="51" t="e">
        <f t="shared" si="35"/>
        <v>#DIV/0!</v>
      </c>
      <c r="BU19" s="52">
        <f>'FY 2013 by Agency'!BL19*Inflator!$E$14</f>
        <v>0</v>
      </c>
      <c r="BV19" s="10">
        <f t="shared" si="36"/>
        <v>0</v>
      </c>
      <c r="BW19" s="39">
        <v>0</v>
      </c>
      <c r="BX19" s="39">
        <f>'FY 2013 by Agency'!BV19*Inflator!E24</f>
        <v>0</v>
      </c>
      <c r="BY19" s="39">
        <f t="shared" si="37"/>
        <v>0</v>
      </c>
      <c r="BZ19" s="51" t="e">
        <f t="shared" si="38"/>
        <v>#DIV/0!</v>
      </c>
      <c r="CB19" s="39"/>
    </row>
    <row r="20" spans="1:80" ht="18" customHeight="1">
      <c r="A20" s="103" t="s">
        <v>209</v>
      </c>
      <c r="B20" s="329" t="s">
        <v>78</v>
      </c>
      <c r="C20" s="329" t="s">
        <v>78</v>
      </c>
      <c r="D20" s="329" t="s">
        <v>78</v>
      </c>
      <c r="E20" s="329" t="s">
        <v>78</v>
      </c>
      <c r="F20" s="329" t="s">
        <v>78</v>
      </c>
      <c r="G20" s="329" t="s">
        <v>78</v>
      </c>
      <c r="H20" s="329" t="s">
        <v>78</v>
      </c>
      <c r="I20" s="329" t="s">
        <v>78</v>
      </c>
      <c r="J20" s="329" t="s">
        <v>78</v>
      </c>
      <c r="K20" s="329" t="s">
        <v>78</v>
      </c>
      <c r="L20" s="10">
        <f>'FY 2013 by Agency'!L20*Inflator!$E$6</f>
        <v>0</v>
      </c>
      <c r="M20" s="329" t="s">
        <v>78</v>
      </c>
      <c r="N20" s="329" t="s">
        <v>78</v>
      </c>
      <c r="O20" s="10">
        <f>'FY 2013 by Agency'!O20*Inflator!$E$7</f>
        <v>0</v>
      </c>
      <c r="P20" s="52"/>
      <c r="Q20" s="58"/>
      <c r="R20" s="52">
        <f>'FY 2013 by Agency'!R20*Inflator!$E$8</f>
        <v>0</v>
      </c>
      <c r="S20" s="52"/>
      <c r="T20" s="58"/>
      <c r="U20" s="52">
        <f>'FY 2013 by Agency'!U20*Inflator!$E$9</f>
        <v>0</v>
      </c>
      <c r="V20" s="52"/>
      <c r="W20" s="58"/>
      <c r="X20" s="52">
        <f>'FY 2013 by Agency'!X20*Inflator!$E$10</f>
        <v>610.75516036837098</v>
      </c>
      <c r="Y20" s="39">
        <f t="shared" si="17"/>
        <v>610.75516036837098</v>
      </c>
      <c r="Z20" s="61"/>
      <c r="AA20" s="52">
        <f>'FY 2013 by Agency'!AA20*Inflator!$E$11</f>
        <v>1591.2902198152281</v>
      </c>
      <c r="AB20" s="39">
        <f t="shared" si="3"/>
        <v>980.53505944685708</v>
      </c>
      <c r="AC20" s="58">
        <f t="shared" si="4"/>
        <v>1.6054470319259473</v>
      </c>
      <c r="AD20" s="52" t="e">
        <f>'FY 2013 by Agency'!AD20*Inflator!#REF!</f>
        <v>#REF!</v>
      </c>
      <c r="AE20" s="52">
        <f>'FY 2013 by Agency'!AE20*Inflator!$B$8</f>
        <v>0</v>
      </c>
      <c r="AF20" s="52">
        <f>'FY 2013 by Agency'!AF20*Inflator!$E$12</f>
        <v>1023.0194235588974</v>
      </c>
      <c r="AG20" s="52">
        <f t="shared" si="18"/>
        <v>-568.27079625633064</v>
      </c>
      <c r="AH20" s="58">
        <f t="shared" si="19"/>
        <v>-0.35711323376468385</v>
      </c>
      <c r="AI20" s="52">
        <f>'FY 2013 by Agency'!AI20*Inflator!$B$8</f>
        <v>0</v>
      </c>
      <c r="AJ20" s="52">
        <f>'FY 2013 by Agency'!AJ20*Inflator!$B$8</f>
        <v>0</v>
      </c>
      <c r="AK20" s="52">
        <f>'FY 2013 by Agency'!AK20</f>
        <v>1144</v>
      </c>
      <c r="AL20" s="52">
        <f>'FY 2013 by Agency'!AL20</f>
        <v>0</v>
      </c>
      <c r="AM20" s="52">
        <f>'FY 2013 by Agency'!AM20</f>
        <v>1144</v>
      </c>
      <c r="AN20" s="52">
        <f>'FY 2013 by Agency'!AN20</f>
        <v>972</v>
      </c>
      <c r="AO20" s="52">
        <f>'FY 2013 by Agency'!AO20</f>
        <v>972</v>
      </c>
      <c r="AP20" s="52">
        <f>'FY 2013 by Agency'!AP20</f>
        <v>20</v>
      </c>
      <c r="AQ20" s="52">
        <f>'FY 2013 by Agency'!AQ20</f>
        <v>6</v>
      </c>
      <c r="AR20" s="52">
        <f>'FY 2013 by Agency'!AR20</f>
        <v>26</v>
      </c>
      <c r="AS20" s="52">
        <f>'FY 2013 by Agency'!AS20</f>
        <v>845.15286000000003</v>
      </c>
      <c r="AT20" s="52" t="e">
        <f t="shared" si="20"/>
        <v>#REF!</v>
      </c>
      <c r="AU20" s="58" t="e">
        <f t="shared" si="21"/>
        <v>#REF!</v>
      </c>
      <c r="AV20" s="52">
        <f t="shared" si="22"/>
        <v>-177.86656355889738</v>
      </c>
      <c r="AW20" s="58">
        <f t="shared" si="23"/>
        <v>-0.17386430742451806</v>
      </c>
      <c r="AX20" s="281" t="s">
        <v>261</v>
      </c>
      <c r="AY20" s="282">
        <v>1068.79069</v>
      </c>
      <c r="AZ20" s="282">
        <f t="shared" si="24"/>
        <v>96.790690000000041</v>
      </c>
      <c r="BA20" s="282">
        <f t="shared" si="25"/>
        <v>-81.075873558897342</v>
      </c>
      <c r="BB20" s="282">
        <f t="shared" si="26"/>
        <v>941.94355000000007</v>
      </c>
      <c r="BC20" s="58">
        <f t="shared" si="27"/>
        <v>-7.9251548594110988E-2</v>
      </c>
      <c r="BD20" s="294">
        <v>20.957000000000001</v>
      </c>
      <c r="BE20" s="51">
        <f t="shared" si="5"/>
        <v>1.9608142357602311E-2</v>
      </c>
      <c r="BI20" s="219">
        <v>906</v>
      </c>
      <c r="BJ20" s="282">
        <f t="shared" si="28"/>
        <v>-162.79069000000004</v>
      </c>
      <c r="BK20" s="65">
        <f t="shared" si="29"/>
        <v>932</v>
      </c>
      <c r="BL20" s="569">
        <f>'FY 2013 by Agency'!AS20*Inflator!$E$13</f>
        <v>876.35929761367117</v>
      </c>
      <c r="BM20" s="52">
        <f t="shared" si="30"/>
        <v>-146.66012594522624</v>
      </c>
      <c r="BN20" s="51">
        <f t="shared" si="31"/>
        <v>-0.14336006000259749</v>
      </c>
      <c r="BO20" s="52">
        <f>'FY 2013 by Agency'!AX20*Inflator!$E$13</f>
        <v>939.45315837656415</v>
      </c>
      <c r="BP20" s="52">
        <f t="shared" si="32"/>
        <v>-83.566265182333268</v>
      </c>
      <c r="BQ20" s="51">
        <f t="shared" si="33"/>
        <v>-8.1685902787281911E-2</v>
      </c>
      <c r="BR20" s="52">
        <f>'FY 2013 by Agency'!BE20*Inflator!$E$14</f>
        <v>965.92893401015237</v>
      </c>
      <c r="BS20" s="52">
        <f t="shared" si="34"/>
        <v>26.475775633588228</v>
      </c>
      <c r="BT20" s="51">
        <f t="shared" si="35"/>
        <v>2.8182113602491989E-2</v>
      </c>
      <c r="BU20" s="52">
        <f>'FY 2013 by Agency'!BL20*Inflator!$E$14</f>
        <v>988.25082114063912</v>
      </c>
      <c r="BV20" s="10">
        <f t="shared" si="36"/>
        <v>111.89152352696794</v>
      </c>
      <c r="BW20" s="495">
        <v>970</v>
      </c>
      <c r="BX20" s="39">
        <f>'FY 2013 by Agency'!BV20*Inflator!E15</f>
        <v>994.60699999999997</v>
      </c>
      <c r="BY20" s="39">
        <f t="shared" si="37"/>
        <v>4.0710659898476251</v>
      </c>
      <c r="BZ20" s="51">
        <f t="shared" si="38"/>
        <v>4.2146640881189678E-3</v>
      </c>
      <c r="CB20" s="39"/>
    </row>
    <row r="21" spans="1:80" ht="18" customHeight="1">
      <c r="A21" s="53" t="s">
        <v>210</v>
      </c>
      <c r="B21" s="326">
        <f>'FY 2013 by Agency'!B21*Inflator!$E$2</f>
        <v>505.36443381180226</v>
      </c>
      <c r="C21" s="326">
        <f>'FY 2013 by Agency'!C21*Inflator!$E$3</f>
        <v>10532.749613601238</v>
      </c>
      <c r="D21" s="326">
        <f t="shared" si="6"/>
        <v>10027.385179789435</v>
      </c>
      <c r="E21" s="355">
        <f t="shared" si="7"/>
        <v>19.841889355283822</v>
      </c>
      <c r="F21" s="10">
        <f>'FY 2013 by Agency'!F21*Inflator!$E$4</f>
        <v>2812.0487247811193</v>
      </c>
      <c r="G21" s="10">
        <f t="shared" si="8"/>
        <v>-7720.7008888201181</v>
      </c>
      <c r="H21" s="14">
        <f t="shared" si="9"/>
        <v>-0.73301855375448766</v>
      </c>
      <c r="I21" s="10">
        <f>'FY 2013 by Agency'!I21*Inflator!$E$5</f>
        <v>2980.9899590925997</v>
      </c>
      <c r="J21" s="10">
        <f t="shared" si="10"/>
        <v>168.94123431148046</v>
      </c>
      <c r="K21" s="14">
        <f t="shared" si="11"/>
        <v>6.0077634083182639E-2</v>
      </c>
      <c r="L21" s="10">
        <f>'FY 2013 by Agency'!L21*Inflator!$E$6</f>
        <v>5228.5474372955287</v>
      </c>
      <c r="M21" s="10">
        <f t="shared" si="12"/>
        <v>2247.5574782029289</v>
      </c>
      <c r="N21" s="14">
        <f t="shared" si="13"/>
        <v>0.75396345141902976</v>
      </c>
      <c r="O21" s="10">
        <f>'FY 2013 by Agency'!O21*Inflator!$E$7</f>
        <v>11280.020415346708</v>
      </c>
      <c r="P21" s="52">
        <f t="shared" si="14"/>
        <v>6051.4729780511789</v>
      </c>
      <c r="Q21" s="58">
        <f t="shared" si="0"/>
        <v>1.1573908529328194</v>
      </c>
      <c r="R21" s="52">
        <f>'FY 2013 by Agency'!R21*Inflator!$E$8</f>
        <v>11174.414120841819</v>
      </c>
      <c r="S21" s="52">
        <f t="shared" si="1"/>
        <v>-105.60629450488887</v>
      </c>
      <c r="T21" s="58">
        <f t="shared" si="2"/>
        <v>-9.3622432066886377E-3</v>
      </c>
      <c r="U21" s="52">
        <f>'FY 2013 by Agency'!U21*Inflator!$E$9</f>
        <v>9148.4615384615372</v>
      </c>
      <c r="V21" s="52">
        <f t="shared" si="15"/>
        <v>-2025.9525823802815</v>
      </c>
      <c r="W21" s="58">
        <f t="shared" si="16"/>
        <v>-0.18130280124499784</v>
      </c>
      <c r="X21" s="52">
        <f>'FY 2013 by Agency'!X21*Inflator!$E$10</f>
        <v>5364.0704985709754</v>
      </c>
      <c r="Y21" s="39">
        <f t="shared" si="17"/>
        <v>-3784.3910398905618</v>
      </c>
      <c r="Z21" s="58">
        <f>Y21/U21</f>
        <v>-0.41366420178741536</v>
      </c>
      <c r="AA21" s="52">
        <f>'FY 2013 by Agency'!AA21*Inflator!$E$11</f>
        <v>4839.9037910162479</v>
      </c>
      <c r="AB21" s="39">
        <f t="shared" si="3"/>
        <v>-524.16670755472751</v>
      </c>
      <c r="AC21" s="58">
        <f t="shared" si="4"/>
        <v>-9.7718086981587779E-2</v>
      </c>
      <c r="AD21" s="52" t="e">
        <f>'FY 2013 by Agency'!AD21*Inflator!#REF!</f>
        <v>#REF!</v>
      </c>
      <c r="AE21" s="52">
        <f>'FY 2013 by Agency'!AE21*Inflator!$B$8</f>
        <v>0</v>
      </c>
      <c r="AF21" s="52">
        <f>'FY 2013 by Agency'!AF21*Inflator!$E$12</f>
        <v>4574.3126566416049</v>
      </c>
      <c r="AG21" s="52">
        <f t="shared" si="18"/>
        <v>-265.59113437464293</v>
      </c>
      <c r="AH21" s="58">
        <f t="shared" si="19"/>
        <v>-5.4875292122051882E-2</v>
      </c>
      <c r="AI21" s="52">
        <f>'FY 2013 by Agency'!AI21*Inflator!$B$8</f>
        <v>0</v>
      </c>
      <c r="AJ21" s="52">
        <f>'FY 2013 by Agency'!AJ21*Inflator!$B$8</f>
        <v>0</v>
      </c>
      <c r="AK21" s="52">
        <f>'FY 2013 by Agency'!AK21</f>
        <v>4419</v>
      </c>
      <c r="AL21" s="52">
        <f>'FY 2013 by Agency'!AL21</f>
        <v>0</v>
      </c>
      <c r="AM21" s="52">
        <f>'FY 2013 by Agency'!AM21</f>
        <v>4419</v>
      </c>
      <c r="AN21" s="52">
        <f>'FY 2013 by Agency'!AN21</f>
        <v>21021</v>
      </c>
      <c r="AO21" s="52">
        <f>'FY 2013 by Agency'!AO21</f>
        <v>21291</v>
      </c>
      <c r="AP21" s="52">
        <f>'FY 2013 by Agency'!AP21</f>
        <v>163</v>
      </c>
      <c r="AQ21" s="52">
        <f>'FY 2013 by Agency'!AQ21</f>
        <v>0</v>
      </c>
      <c r="AR21" s="52">
        <f>'FY 2013 by Agency'!AR21</f>
        <v>163</v>
      </c>
      <c r="AS21" s="52">
        <f>'FY 2013 by Agency'!AS21</f>
        <v>18037.010310000001</v>
      </c>
      <c r="AT21" s="52" t="e">
        <f t="shared" si="20"/>
        <v>#REF!</v>
      </c>
      <c r="AU21" s="58" t="e">
        <f t="shared" si="21"/>
        <v>#REF!</v>
      </c>
      <c r="AV21" s="52">
        <f t="shared" si="22"/>
        <v>13462.697653358397</v>
      </c>
      <c r="AW21" s="58">
        <f t="shared" si="23"/>
        <v>2.9431083233480848</v>
      </c>
      <c r="AX21" s="281" t="s">
        <v>263</v>
      </c>
      <c r="AY21" s="282">
        <v>21149.38769</v>
      </c>
      <c r="AZ21" s="282">
        <f t="shared" si="24"/>
        <v>-141.61231000000043</v>
      </c>
      <c r="BA21" s="282">
        <f t="shared" si="25"/>
        <v>13321.085343358396</v>
      </c>
      <c r="BB21" s="282">
        <f t="shared" si="26"/>
        <v>17895.398000000001</v>
      </c>
      <c r="BC21" s="58">
        <f t="shared" si="27"/>
        <v>2.9121501618427952</v>
      </c>
      <c r="BD21" s="294">
        <v>11.462999999999999</v>
      </c>
      <c r="BE21" s="51">
        <f t="shared" si="5"/>
        <v>5.4200150699492897E-4</v>
      </c>
      <c r="BF21" s="50">
        <v>3078</v>
      </c>
      <c r="BI21" s="219">
        <v>18628</v>
      </c>
      <c r="BJ21" s="282">
        <f t="shared" si="28"/>
        <v>-2521.3876899999996</v>
      </c>
      <c r="BK21" s="65">
        <f t="shared" si="29"/>
        <v>18791</v>
      </c>
      <c r="BL21" s="569">
        <f>'FY 2013 by Agency'!AS21*Inflator!$E$13</f>
        <v>18703.009164900828</v>
      </c>
      <c r="BM21" s="52">
        <f t="shared" si="30"/>
        <v>14128.696508259223</v>
      </c>
      <c r="BN21" s="51">
        <f t="shared" si="31"/>
        <v>3.0887037176493113</v>
      </c>
      <c r="BO21" s="52">
        <f>'FY 2013 by Agency'!AX21*Inflator!$E$13</f>
        <v>19315.820567592313</v>
      </c>
      <c r="BP21" s="52">
        <f t="shared" si="32"/>
        <v>14741.507910950708</v>
      </c>
      <c r="BQ21" s="51">
        <f t="shared" si="33"/>
        <v>3.2226716924447647</v>
      </c>
      <c r="BR21" s="52">
        <f>'FY 2013 by Agency'!BE21*Inflator!$E$14</f>
        <v>19576.295013436848</v>
      </c>
      <c r="BS21" s="52">
        <f t="shared" si="34"/>
        <v>260.47444584453478</v>
      </c>
      <c r="BT21" s="51">
        <f t="shared" si="35"/>
        <v>1.3485031346871873E-2</v>
      </c>
      <c r="BU21" s="52">
        <f>'FY 2013 by Agency'!BL21*Inflator!$E$14</f>
        <v>19740.665273215887</v>
      </c>
      <c r="BV21" s="10">
        <f t="shared" si="36"/>
        <v>1037.6561083150591</v>
      </c>
      <c r="BW21" s="495">
        <f>19667-1360</f>
        <v>18307</v>
      </c>
      <c r="BX21" s="39">
        <f>'FY 2013 by Agency'!BV21*Inflator!E15</f>
        <v>18488.754000000001</v>
      </c>
      <c r="BY21" s="39">
        <f t="shared" si="37"/>
        <v>-1269.2950134368475</v>
      </c>
      <c r="BZ21" s="51">
        <f t="shared" si="38"/>
        <v>-6.4838367656679885E-2</v>
      </c>
      <c r="CB21" s="39"/>
    </row>
    <row r="22" spans="1:80" ht="18" customHeight="1">
      <c r="A22" s="53" t="s">
        <v>211</v>
      </c>
      <c r="B22" s="329" t="s">
        <v>78</v>
      </c>
      <c r="C22" s="329" t="s">
        <v>78</v>
      </c>
      <c r="D22" s="329" t="s">
        <v>78</v>
      </c>
      <c r="E22" s="329" t="s">
        <v>78</v>
      </c>
      <c r="F22" s="329" t="s">
        <v>78</v>
      </c>
      <c r="G22" s="329" t="s">
        <v>78</v>
      </c>
      <c r="H22" s="329" t="s">
        <v>78</v>
      </c>
      <c r="I22" s="329" t="s">
        <v>78</v>
      </c>
      <c r="J22" s="329" t="s">
        <v>78</v>
      </c>
      <c r="K22" s="329" t="s">
        <v>78</v>
      </c>
      <c r="L22" s="10">
        <f>'FY 2013 by Agency'!L22*Inflator!$E$6</f>
        <v>0</v>
      </c>
      <c r="M22" s="329" t="s">
        <v>78</v>
      </c>
      <c r="N22" s="329" t="s">
        <v>78</v>
      </c>
      <c r="O22" s="10">
        <f>'FY 2013 by Agency'!O22*Inflator!$E$7</f>
        <v>0</v>
      </c>
      <c r="P22" s="329" t="s">
        <v>78</v>
      </c>
      <c r="Q22" s="329" t="s">
        <v>78</v>
      </c>
      <c r="R22" s="52">
        <f>'FY 2013 by Agency'!R22*Inflator!$E$8</f>
        <v>0</v>
      </c>
      <c r="S22" s="329" t="s">
        <v>78</v>
      </c>
      <c r="T22" s="329" t="s">
        <v>78</v>
      </c>
      <c r="U22" s="52">
        <f>'FY 2013 by Agency'!U22*Inflator!$E$9</f>
        <v>0</v>
      </c>
      <c r="V22" s="329" t="s">
        <v>78</v>
      </c>
      <c r="W22" s="329" t="s">
        <v>78</v>
      </c>
      <c r="X22" s="52">
        <f>'FY 2013 by Agency'!X22*Inflator!$E$10</f>
        <v>0</v>
      </c>
      <c r="Y22" s="329" t="s">
        <v>78</v>
      </c>
      <c r="Z22" s="61"/>
      <c r="AA22" s="52">
        <f>'FY 2013 by Agency'!AA22*Inflator!$E$11</f>
        <v>971.01178719337383</v>
      </c>
      <c r="AB22" s="329" t="s">
        <v>78</v>
      </c>
      <c r="AC22" s="329" t="s">
        <v>78</v>
      </c>
      <c r="AD22" s="52" t="e">
        <f>'FY 2013 by Agency'!AD22*Inflator!#REF!</f>
        <v>#REF!</v>
      </c>
      <c r="AE22" s="52">
        <f>'FY 2013 by Agency'!AE22*Inflator!$B$8</f>
        <v>0</v>
      </c>
      <c r="AF22" s="52">
        <f>'FY 2013 by Agency'!AF22*Inflator!$E$12</f>
        <v>0</v>
      </c>
      <c r="AG22" s="52">
        <f t="shared" si="18"/>
        <v>-971.01178719337383</v>
      </c>
      <c r="AH22" s="58">
        <f t="shared" si="19"/>
        <v>-1</v>
      </c>
      <c r="AI22" s="52">
        <f>'FY 2013 by Agency'!AI22*Inflator!$B$8</f>
        <v>0</v>
      </c>
      <c r="AJ22" s="52">
        <f>'FY 2013 by Agency'!AJ22*Inflator!$B$8</f>
        <v>0</v>
      </c>
      <c r="AK22" s="52">
        <f>'FY 2013 by Agency'!AK22</f>
        <v>702</v>
      </c>
      <c r="AL22" s="52">
        <f>'FY 2013 by Agency'!AL22</f>
        <v>0</v>
      </c>
      <c r="AM22" s="52">
        <f>'FY 2013 by Agency'!AM22</f>
        <v>702</v>
      </c>
      <c r="AN22" s="52">
        <f>'FY 2013 by Agency'!AN22</f>
        <v>0</v>
      </c>
      <c r="AO22" s="52">
        <f>'FY 2013 by Agency'!AO22</f>
        <v>0</v>
      </c>
      <c r="AP22" s="52">
        <f>'FY 2013 by Agency'!AP22</f>
        <v>0</v>
      </c>
      <c r="AQ22" s="52">
        <f>'FY 2013 by Agency'!AQ22</f>
        <v>0</v>
      </c>
      <c r="AR22" s="52">
        <f>'FY 2013 by Agency'!AR22</f>
        <v>0</v>
      </c>
      <c r="AS22" s="52">
        <f>'FY 2013 by Agency'!AS22</f>
        <v>0</v>
      </c>
      <c r="AT22" s="52" t="e">
        <f t="shared" si="20"/>
        <v>#REF!</v>
      </c>
      <c r="AU22" s="58" t="e">
        <f t="shared" si="21"/>
        <v>#REF!</v>
      </c>
      <c r="AV22" s="52">
        <f t="shared" si="22"/>
        <v>0</v>
      </c>
      <c r="AW22" s="58" t="e">
        <f t="shared" si="23"/>
        <v>#DIV/0!</v>
      </c>
      <c r="AX22" s="281" t="s">
        <v>264</v>
      </c>
      <c r="AY22" s="282">
        <v>0</v>
      </c>
      <c r="AZ22" s="282">
        <f t="shared" si="24"/>
        <v>0</v>
      </c>
      <c r="BA22" s="282">
        <f t="shared" si="25"/>
        <v>0</v>
      </c>
      <c r="BB22" s="282">
        <f t="shared" si="26"/>
        <v>0</v>
      </c>
      <c r="BC22" s="58" t="e">
        <f t="shared" si="27"/>
        <v>#DIV/0!</v>
      </c>
      <c r="BD22" s="294"/>
      <c r="BE22" s="51"/>
      <c r="BI22" s="219">
        <v>0</v>
      </c>
      <c r="BJ22" s="282">
        <f t="shared" si="28"/>
        <v>0</v>
      </c>
      <c r="BK22" s="65">
        <f t="shared" si="29"/>
        <v>0</v>
      </c>
      <c r="BL22" s="569">
        <f>'FY 2013 by Agency'!AS22*Inflator!$E$13</f>
        <v>0</v>
      </c>
      <c r="BM22" s="52">
        <f t="shared" si="30"/>
        <v>0</v>
      </c>
      <c r="BN22" s="51" t="e">
        <f t="shared" si="31"/>
        <v>#DIV/0!</v>
      </c>
      <c r="BO22" s="52">
        <f>'FY 2013 by Agency'!AX22*Inflator!$E$13</f>
        <v>0</v>
      </c>
      <c r="BP22" s="52">
        <f t="shared" si="32"/>
        <v>0</v>
      </c>
      <c r="BQ22" s="51" t="e">
        <f t="shared" si="33"/>
        <v>#DIV/0!</v>
      </c>
      <c r="BR22" s="52">
        <f>'FY 2013 by Agency'!BE22*Inflator!$E$14</f>
        <v>0</v>
      </c>
      <c r="BS22" s="52">
        <f t="shared" si="34"/>
        <v>0</v>
      </c>
      <c r="BT22" s="51" t="e">
        <f t="shared" si="35"/>
        <v>#DIV/0!</v>
      </c>
      <c r="BU22" s="52">
        <f>'FY 2013 by Agency'!BL22*Inflator!$E$14</f>
        <v>0</v>
      </c>
      <c r="BV22" s="10">
        <f t="shared" si="36"/>
        <v>0</v>
      </c>
      <c r="BW22" s="39">
        <v>0</v>
      </c>
      <c r="BX22" s="39">
        <f>'FY 2013 by Agency'!BV22*Inflator!E15</f>
        <v>52.9</v>
      </c>
      <c r="BY22" s="39">
        <f t="shared" si="37"/>
        <v>0</v>
      </c>
      <c r="BZ22" s="51" t="e">
        <f t="shared" si="38"/>
        <v>#DIV/0!</v>
      </c>
      <c r="CB22" s="39"/>
    </row>
    <row r="23" spans="1:80" ht="18" customHeight="1">
      <c r="A23" s="103" t="s">
        <v>140</v>
      </c>
      <c r="B23" s="326">
        <f>'FY 2013 by Agency'!B23*Inflator!$E$2</f>
        <v>18667.322169059011</v>
      </c>
      <c r="C23" s="326">
        <f>'FY 2013 by Agency'!C23*Inflator!$E$3</f>
        <v>16697.20479134467</v>
      </c>
      <c r="D23" s="326">
        <f t="shared" si="6"/>
        <v>-1970.1173777143413</v>
      </c>
      <c r="E23" s="355">
        <f t="shared" si="7"/>
        <v>-0.10553829627367768</v>
      </c>
      <c r="F23" s="10">
        <f>'FY 2013 by Agency'!F23*Inflator!$E$4</f>
        <v>16814.085268366958</v>
      </c>
      <c r="G23" s="10">
        <f t="shared" si="8"/>
        <v>116.88047702228869</v>
      </c>
      <c r="H23" s="14">
        <f t="shared" si="9"/>
        <v>7.000002604200915E-3</v>
      </c>
      <c r="I23" s="10">
        <f>'FY 2013 by Agency'!I23*Inflator!$E$5</f>
        <v>14851.875790256603</v>
      </c>
      <c r="J23" s="10">
        <f t="shared" si="10"/>
        <v>-1962.2094781103551</v>
      </c>
      <c r="K23" s="14">
        <f t="shared" si="11"/>
        <v>-0.11670034062465127</v>
      </c>
      <c r="L23" s="10">
        <f>'FY 2013 by Agency'!L23*Inflator!$E$6</f>
        <v>14659.201744820064</v>
      </c>
      <c r="M23" s="10">
        <f t="shared" si="12"/>
        <v>-192.67404543653902</v>
      </c>
      <c r="N23" s="14">
        <f t="shared" si="13"/>
        <v>-1.2973044493338717E-2</v>
      </c>
      <c r="O23" s="10">
        <f>'FY 2013 by Agency'!O23*Inflator!$E$7</f>
        <v>13371.92537838789</v>
      </c>
      <c r="P23" s="52">
        <f t="shared" si="14"/>
        <v>-1287.2763664321737</v>
      </c>
      <c r="Q23" s="58">
        <f t="shared" si="0"/>
        <v>-8.781353779287758E-2</v>
      </c>
      <c r="R23" s="52">
        <f>'FY 2013 by Agency'!R23*Inflator!$E$8</f>
        <v>14535.504412763068</v>
      </c>
      <c r="S23" s="52">
        <f t="shared" si="1"/>
        <v>1163.5790343751778</v>
      </c>
      <c r="T23" s="58">
        <f t="shared" si="2"/>
        <v>8.7016566533925574E-2</v>
      </c>
      <c r="U23" s="52">
        <f>'FY 2013 by Agency'!U23*Inflator!$E$9</f>
        <v>13727.198938992042</v>
      </c>
      <c r="V23" s="52">
        <f t="shared" si="15"/>
        <v>-808.3054737710263</v>
      </c>
      <c r="W23" s="58">
        <f t="shared" si="16"/>
        <v>-5.5609041889271092E-2</v>
      </c>
      <c r="X23" s="52">
        <f>'FY 2013 by Agency'!X23*Inflator!$E$10</f>
        <v>6535.9434741187688</v>
      </c>
      <c r="Y23" s="39">
        <f t="shared" si="17"/>
        <v>-7191.255464873273</v>
      </c>
      <c r="Z23" s="58">
        <f t="shared" ref="Z23:Z34" si="40">Y23/U23</f>
        <v>-0.5238691080994351</v>
      </c>
      <c r="AA23" s="52">
        <f>'FY 2013 by Agency'!AA23*Inflator!$E$11</f>
        <v>7066.6275884039514</v>
      </c>
      <c r="AB23" s="39">
        <f t="shared" si="3"/>
        <v>530.68411428518266</v>
      </c>
      <c r="AC23" s="58">
        <f t="shared" si="4"/>
        <v>8.1194722137148526E-2</v>
      </c>
      <c r="AD23" s="52" t="e">
        <f>'FY 2013 by Agency'!AD23*Inflator!#REF!</f>
        <v>#REF!</v>
      </c>
      <c r="AE23" s="52">
        <f>'FY 2013 by Agency'!AE23*Inflator!$B$8</f>
        <v>0</v>
      </c>
      <c r="AF23" s="52">
        <f>'FY 2013 by Agency'!AF23*Inflator!$E$12</f>
        <v>3510.8408521303263</v>
      </c>
      <c r="AG23" s="52">
        <f t="shared" si="18"/>
        <v>-3555.7867362736251</v>
      </c>
      <c r="AH23" s="58">
        <f t="shared" si="19"/>
        <v>-0.50318015089807855</v>
      </c>
      <c r="AI23" s="52">
        <f>'FY 2013 by Agency'!AI23*Inflator!$B$8</f>
        <v>0</v>
      </c>
      <c r="AJ23" s="52">
        <f>'FY 2013 by Agency'!AJ23*Inflator!$B$8</f>
        <v>0</v>
      </c>
      <c r="AK23" s="52">
        <f>'FY 2013 by Agency'!AK23</f>
        <v>3181</v>
      </c>
      <c r="AL23" s="52">
        <f>'FY 2013 by Agency'!AL23</f>
        <v>0</v>
      </c>
      <c r="AM23" s="52">
        <f>'FY 2013 by Agency'!AM23</f>
        <v>3181</v>
      </c>
      <c r="AN23" s="52">
        <f>'FY 2013 by Agency'!AN23</f>
        <v>9901</v>
      </c>
      <c r="AO23" s="52">
        <f>'FY 2013 by Agency'!AO23</f>
        <v>11195</v>
      </c>
      <c r="AP23" s="52">
        <f>'FY 2013 by Agency'!AP23</f>
        <v>651</v>
      </c>
      <c r="AQ23" s="52">
        <f>'FY 2013 by Agency'!AQ23</f>
        <v>0</v>
      </c>
      <c r="AR23" s="52">
        <f>'FY 2013 by Agency'!AR23</f>
        <v>651</v>
      </c>
      <c r="AS23" s="52">
        <f>'FY 2013 by Agency'!AS23</f>
        <v>10133.850279999999</v>
      </c>
      <c r="AT23" s="52" t="e">
        <f t="shared" si="20"/>
        <v>#REF!</v>
      </c>
      <c r="AU23" s="58" t="e">
        <f t="shared" si="21"/>
        <v>#REF!</v>
      </c>
      <c r="AV23" s="52">
        <f t="shared" si="22"/>
        <v>6623.0094278696724</v>
      </c>
      <c r="AW23" s="58">
        <f t="shared" si="23"/>
        <v>1.8864453579121732</v>
      </c>
      <c r="AX23" s="281" t="s">
        <v>265</v>
      </c>
      <c r="AY23" s="282">
        <v>10593</v>
      </c>
      <c r="AZ23" s="282">
        <f t="shared" si="24"/>
        <v>-602</v>
      </c>
      <c r="BA23" s="282">
        <f t="shared" si="25"/>
        <v>6021.0094278696724</v>
      </c>
      <c r="BB23" s="282">
        <f t="shared" si="26"/>
        <v>9531.8502799999987</v>
      </c>
      <c r="BC23" s="58">
        <f t="shared" si="27"/>
        <v>1.7149764633210909</v>
      </c>
      <c r="BD23" s="294">
        <v>46.091000000000001</v>
      </c>
      <c r="BE23" s="51">
        <f t="shared" si="5"/>
        <v>4.3510809024827719E-3</v>
      </c>
      <c r="BI23" s="219">
        <v>10003</v>
      </c>
      <c r="BJ23" s="282">
        <f t="shared" si="28"/>
        <v>-590</v>
      </c>
      <c r="BK23" s="65">
        <f t="shared" si="29"/>
        <v>10654</v>
      </c>
      <c r="BL23" s="569">
        <f>'FY 2013 by Agency'!AS23*Inflator!$E$13</f>
        <v>10508.0327285444</v>
      </c>
      <c r="BM23" s="52">
        <f t="shared" si="30"/>
        <v>6997.1918764140737</v>
      </c>
      <c r="BN23" s="51">
        <f t="shared" si="31"/>
        <v>1.9930245121103343</v>
      </c>
      <c r="BO23" s="52">
        <f>'FY 2013 by Agency'!AX23*Inflator!$E$13</f>
        <v>10372.350930729328</v>
      </c>
      <c r="BP23" s="52">
        <f t="shared" si="32"/>
        <v>6861.5100785990016</v>
      </c>
      <c r="BQ23" s="51">
        <f t="shared" si="33"/>
        <v>1.9543779873802991</v>
      </c>
      <c r="BR23" s="52">
        <f>'FY 2013 by Agency'!BE23*Inflator!$E$14</f>
        <v>8825.262466407883</v>
      </c>
      <c r="BS23" s="52">
        <f t="shared" si="34"/>
        <v>-1547.0884643214449</v>
      </c>
      <c r="BT23" s="51">
        <f t="shared" si="35"/>
        <v>-0.14915504446904226</v>
      </c>
      <c r="BU23" s="52">
        <f>'FY 2013 by Agency'!BL23*Inflator!$E$14</f>
        <v>9530.4311734846233</v>
      </c>
      <c r="BV23" s="10">
        <f t="shared" si="36"/>
        <v>-977.60155505977673</v>
      </c>
      <c r="BW23" s="495">
        <v>8971</v>
      </c>
      <c r="BX23" s="39">
        <f>'FY 2013 by Agency'!BV23*Inflator!E15</f>
        <v>9756.5609999999997</v>
      </c>
      <c r="BY23" s="39">
        <f t="shared" si="37"/>
        <v>145.73753359211696</v>
      </c>
      <c r="BZ23" s="51">
        <f t="shared" si="38"/>
        <v>1.6513676975256693E-2</v>
      </c>
      <c r="CB23" s="39"/>
    </row>
    <row r="24" spans="1:80" ht="18" customHeight="1">
      <c r="A24" s="103" t="s">
        <v>212</v>
      </c>
      <c r="B24" s="326">
        <f>'FY 2013 by Agency'!B24*Inflator!$E$2</f>
        <v>30409.932216905901</v>
      </c>
      <c r="C24" s="326">
        <f>'FY 2013 by Agency'!C24*Inflator!$E$3</f>
        <v>14801.257341576507</v>
      </c>
      <c r="D24" s="326">
        <f t="shared" si="6"/>
        <v>-15608.674875329394</v>
      </c>
      <c r="E24" s="355">
        <f t="shared" si="7"/>
        <v>-0.51327555628854737</v>
      </c>
      <c r="F24" s="10">
        <f>'FY 2013 by Agency'!F24*Inflator!$E$4</f>
        <v>17976.933384088316</v>
      </c>
      <c r="G24" s="10">
        <f t="shared" si="8"/>
        <v>3175.6760425118082</v>
      </c>
      <c r="H24" s="14">
        <f t="shared" si="9"/>
        <v>0.21455447798960853</v>
      </c>
      <c r="I24" s="10">
        <f>'FY 2013 by Agency'!I24*Inflator!$E$5</f>
        <v>16977.363332093719</v>
      </c>
      <c r="J24" s="10">
        <f t="shared" si="10"/>
        <v>-999.57005199459672</v>
      </c>
      <c r="K24" s="14">
        <f t="shared" si="11"/>
        <v>-5.5602923515271678E-2</v>
      </c>
      <c r="L24" s="10">
        <f>'FY 2013 by Agency'!L24*Inflator!$E$6</f>
        <v>28393.248273355141</v>
      </c>
      <c r="M24" s="10">
        <f t="shared" si="12"/>
        <v>11415.884941261422</v>
      </c>
      <c r="N24" s="14">
        <f t="shared" si="13"/>
        <v>0.67241801438513293</v>
      </c>
      <c r="O24" s="10">
        <f>'FY 2013 by Agency'!O24*Inflator!$E$7</f>
        <v>53188.68708201337</v>
      </c>
      <c r="P24" s="52">
        <f t="shared" si="14"/>
        <v>24795.438808658229</v>
      </c>
      <c r="Q24" s="58">
        <f t="shared" si="0"/>
        <v>0.87328644366227104</v>
      </c>
      <c r="R24" s="52">
        <f>'FY 2013 by Agency'!R24*Inflator!$E$8</f>
        <v>53651.720977596735</v>
      </c>
      <c r="S24" s="52">
        <f t="shared" si="1"/>
        <v>463.03389558336494</v>
      </c>
      <c r="T24" s="58">
        <f t="shared" si="2"/>
        <v>8.7054958673711547E-3</v>
      </c>
      <c r="U24" s="52">
        <f>'FY 2013 by Agency'!U24*Inflator!$E$9</f>
        <v>42970.72944297082</v>
      </c>
      <c r="V24" s="52">
        <f t="shared" si="15"/>
        <v>-10680.991534625915</v>
      </c>
      <c r="W24" s="58">
        <f t="shared" si="16"/>
        <v>-0.19908012902486316</v>
      </c>
      <c r="X24" s="52">
        <f>'FY 2013 by Agency'!X24*Inflator!$E$10</f>
        <v>69125.398539218804</v>
      </c>
      <c r="Y24" s="39">
        <f t="shared" si="17"/>
        <v>26154.669096247984</v>
      </c>
      <c r="Z24" s="58">
        <f t="shared" si="40"/>
        <v>0.60866244151055204</v>
      </c>
      <c r="AA24" s="52">
        <f>'FY 2013 by Agency'!AA24*Inflator!$E$11</f>
        <v>61105.544440904756</v>
      </c>
      <c r="AB24" s="39">
        <f t="shared" si="3"/>
        <v>-8019.8540983140483</v>
      </c>
      <c r="AC24" s="58">
        <f t="shared" si="4"/>
        <v>-0.11601892022024184</v>
      </c>
      <c r="AD24" s="52" t="e">
        <f>'FY 2013 by Agency'!AD24*Inflator!#REF!</f>
        <v>#REF!</v>
      </c>
      <c r="AE24" s="52">
        <f>'FY 2013 by Agency'!AE24*Inflator!$B$8</f>
        <v>0</v>
      </c>
      <c r="AF24" s="52">
        <f>'FY 2013 by Agency'!AF24*Inflator!$E$12</f>
        <v>52750.969298245618</v>
      </c>
      <c r="AG24" s="52">
        <f t="shared" si="18"/>
        <v>-8354.5751426591378</v>
      </c>
      <c r="AH24" s="58">
        <f t="shared" si="19"/>
        <v>-0.13672368389972955</v>
      </c>
      <c r="AI24" s="52">
        <f>'FY 2013 by Agency'!AI24*Inflator!$B$8</f>
        <v>0</v>
      </c>
      <c r="AJ24" s="52">
        <f>'FY 2013 by Agency'!AJ24*Inflator!$B$8</f>
        <v>0</v>
      </c>
      <c r="AK24" s="52">
        <f>'FY 2013 by Agency'!AK24</f>
        <v>46111</v>
      </c>
      <c r="AL24" s="52">
        <f>'FY 2013 by Agency'!AL24</f>
        <v>0</v>
      </c>
      <c r="AM24" s="52">
        <f>'FY 2013 by Agency'!AM24</f>
        <v>46111</v>
      </c>
      <c r="AN24" s="52">
        <f>'FY 2013 by Agency'!AN24</f>
        <v>34853</v>
      </c>
      <c r="AO24" s="52">
        <f>'FY 2013 by Agency'!AO24</f>
        <v>38168</v>
      </c>
      <c r="AP24" s="52">
        <f>'FY 2013 by Agency'!AP24</f>
        <v>8901</v>
      </c>
      <c r="AQ24" s="52">
        <f>'FY 2013 by Agency'!AQ24</f>
        <v>1080</v>
      </c>
      <c r="AR24" s="52">
        <f>'FY 2013 by Agency'!AR24</f>
        <v>9981</v>
      </c>
      <c r="AS24" s="52">
        <f>'FY 2013 by Agency'!AS24</f>
        <v>48550.591870000004</v>
      </c>
      <c r="AT24" s="52" t="e">
        <f t="shared" si="20"/>
        <v>#REF!</v>
      </c>
      <c r="AU24" s="58" t="e">
        <f t="shared" si="21"/>
        <v>#REF!</v>
      </c>
      <c r="AV24" s="52">
        <f t="shared" si="22"/>
        <v>-4200.3774282456143</v>
      </c>
      <c r="AW24" s="58">
        <f t="shared" si="23"/>
        <v>-7.9626544954981698E-2</v>
      </c>
      <c r="AX24" s="281" t="s">
        <v>266</v>
      </c>
      <c r="AY24" s="282">
        <v>36099.060129999998</v>
      </c>
      <c r="AZ24" s="282">
        <f t="shared" si="24"/>
        <v>-2068.939870000002</v>
      </c>
      <c r="BA24" s="282">
        <f t="shared" si="25"/>
        <v>-6269.3172982456163</v>
      </c>
      <c r="BB24" s="282">
        <f t="shared" si="26"/>
        <v>46481.652000000002</v>
      </c>
      <c r="BC24" s="58">
        <f t="shared" si="27"/>
        <v>-0.11884743316847679</v>
      </c>
      <c r="BD24" s="294">
        <v>1128.1759999999999</v>
      </c>
      <c r="BE24" s="51">
        <f t="shared" si="5"/>
        <v>3.125222639972372E-2</v>
      </c>
      <c r="BI24" s="219">
        <v>33443</v>
      </c>
      <c r="BJ24" s="282">
        <f t="shared" si="28"/>
        <v>-2656.060129999998</v>
      </c>
      <c r="BK24" s="65">
        <f t="shared" si="29"/>
        <v>43424</v>
      </c>
      <c r="BL24" s="569">
        <f>'FY 2013 by Agency'!AS24*Inflator!$E$13</f>
        <v>50343.274694617037</v>
      </c>
      <c r="BM24" s="52">
        <f t="shared" si="30"/>
        <v>-2407.6946036285808</v>
      </c>
      <c r="BN24" s="51">
        <f t="shared" si="31"/>
        <v>-4.5642660896254954E-2</v>
      </c>
      <c r="BO24" s="52">
        <f>'FY 2013 by Agency'!AX24*Inflator!$E$13</f>
        <v>34677.849862679286</v>
      </c>
      <c r="BP24" s="52">
        <f t="shared" si="32"/>
        <v>-18073.119435566332</v>
      </c>
      <c r="BQ24" s="51">
        <f t="shared" si="33"/>
        <v>-0.3426120823180287</v>
      </c>
      <c r="BR24" s="52">
        <f>'FY 2013 by Agency'!BE24*Inflator!$E$14</f>
        <v>43922.371454165426</v>
      </c>
      <c r="BS24" s="52">
        <f t="shared" si="34"/>
        <v>9244.5215914861401</v>
      </c>
      <c r="BT24" s="51">
        <f t="shared" si="35"/>
        <v>0.26658289450163414</v>
      </c>
      <c r="BU24" s="52">
        <f>'FY 2013 by Agency'!BL24*Inflator!$E$14</f>
        <v>56477.418333830996</v>
      </c>
      <c r="BV24" s="10">
        <f t="shared" si="36"/>
        <v>6134.1436392139585</v>
      </c>
      <c r="BW24" s="495">
        <v>52142</v>
      </c>
      <c r="BX24" s="39">
        <f>'FY 2013 by Agency'!BV24*Inflator!E15</f>
        <v>63085.68</v>
      </c>
      <c r="BY24" s="39">
        <f t="shared" si="37"/>
        <v>8219.6285458345737</v>
      </c>
      <c r="BZ24" s="51">
        <f t="shared" si="38"/>
        <v>0.18713990783516896</v>
      </c>
      <c r="CB24" s="39"/>
    </row>
    <row r="25" spans="1:80" ht="18" customHeight="1">
      <c r="A25" s="270" t="s">
        <v>415</v>
      </c>
      <c r="B25" s="326">
        <f>'FY 2013 by Agency'!B25*Inflator!$E$2</f>
        <v>12643.594896331739</v>
      </c>
      <c r="C25" s="326">
        <f>'FY 2013 by Agency'!C25*Inflator!$E$3</f>
        <v>30911.558732612059</v>
      </c>
      <c r="D25" s="326">
        <f t="shared" si="6"/>
        <v>18267.96383628032</v>
      </c>
      <c r="E25" s="355">
        <f t="shared" si="7"/>
        <v>1.4448393820004759</v>
      </c>
      <c r="F25" s="10">
        <f>'FY 2013 by Agency'!F25*Inflator!$E$4</f>
        <v>18419.307194518464</v>
      </c>
      <c r="G25" s="10">
        <f t="shared" si="8"/>
        <v>-12492.251538093595</v>
      </c>
      <c r="H25" s="14">
        <f t="shared" si="9"/>
        <v>-0.40412881298393155</v>
      </c>
      <c r="I25" s="10">
        <f>'FY 2013 by Agency'!I25*Inflator!$E$5</f>
        <v>9327.1245816288592</v>
      </c>
      <c r="J25" s="10">
        <f t="shared" si="10"/>
        <v>-9092.1826128896046</v>
      </c>
      <c r="K25" s="14">
        <f t="shared" si="11"/>
        <v>-0.49362239941334024</v>
      </c>
      <c r="L25" s="10">
        <f>'FY 2013 by Agency'!L25*Inflator!$E$6</f>
        <v>15859.803707742638</v>
      </c>
      <c r="M25" s="10">
        <f t="shared" si="12"/>
        <v>6532.6791261137787</v>
      </c>
      <c r="N25" s="14">
        <f t="shared" si="13"/>
        <v>0.70039582605992512</v>
      </c>
      <c r="O25" s="10">
        <f>'FY 2013 by Agency'!O25*Inflator!$E$7</f>
        <v>21251.553678282293</v>
      </c>
      <c r="P25" s="52">
        <f t="shared" si="14"/>
        <v>5391.7499705396549</v>
      </c>
      <c r="Q25" s="58">
        <f t="shared" si="0"/>
        <v>0.33996322211147184</v>
      </c>
      <c r="R25" s="52">
        <f>'FY 2013 by Agency'!R25*Inflator!$E$8</f>
        <v>18329.130346232178</v>
      </c>
      <c r="S25" s="52">
        <f t="shared" si="1"/>
        <v>-2922.4233320501153</v>
      </c>
      <c r="T25" s="58">
        <f t="shared" si="2"/>
        <v>-0.13751574949725404</v>
      </c>
      <c r="U25" s="52">
        <f>'FY 2013 by Agency'!U25*Inflator!$E$9</f>
        <v>29343.803050397877</v>
      </c>
      <c r="V25" s="52">
        <f t="shared" si="15"/>
        <v>11014.6727041657</v>
      </c>
      <c r="W25" s="58">
        <f t="shared" si="16"/>
        <v>0.600938096685527</v>
      </c>
      <c r="X25" s="52">
        <f>'FY 2013 by Agency'!X25*Inflator!$E$10</f>
        <v>23166.612257859641</v>
      </c>
      <c r="Y25" s="39">
        <f t="shared" si="17"/>
        <v>-6177.1907925382366</v>
      </c>
      <c r="Z25" s="58">
        <f t="shared" si="40"/>
        <v>-0.21051091373292458</v>
      </c>
      <c r="AA25" s="52">
        <f>'FY 2013 by Agency'!AA25*Inflator!$E$11</f>
        <v>33689.887225230974</v>
      </c>
      <c r="AB25" s="39">
        <f t="shared" si="3"/>
        <v>10523.274967371333</v>
      </c>
      <c r="AC25" s="58">
        <f t="shared" si="4"/>
        <v>0.45424315174961094</v>
      </c>
      <c r="AD25" s="52" t="e">
        <f>'FY 2013 by Agency'!AD25*Inflator!#REF!</f>
        <v>#REF!</v>
      </c>
      <c r="AE25" s="52">
        <f>'FY 2013 by Agency'!AE25*Inflator!$B$8</f>
        <v>0</v>
      </c>
      <c r="AF25" s="52">
        <f>'FY 2013 by Agency'!AF25*Inflator!$E$12</f>
        <v>31600.761278195492</v>
      </c>
      <c r="AG25" s="52">
        <f t="shared" si="18"/>
        <v>-2089.1259470354817</v>
      </c>
      <c r="AH25" s="58">
        <f t="shared" si="19"/>
        <v>-6.2010476113167186E-2</v>
      </c>
      <c r="AI25" s="52">
        <f>'FY 2013 by Agency'!AI25*Inflator!$B$8</f>
        <v>0</v>
      </c>
      <c r="AJ25" s="52">
        <f>'FY 2013 by Agency'!AJ25*Inflator!$B$8</f>
        <v>0</v>
      </c>
      <c r="AK25" s="52">
        <f>'FY 2013 by Agency'!AK25</f>
        <v>23697</v>
      </c>
      <c r="AL25" s="52">
        <f>'FY 2013 by Agency'!AL25</f>
        <v>0</v>
      </c>
      <c r="AM25" s="52">
        <f>'FY 2013 by Agency'!AM25</f>
        <v>23697</v>
      </c>
      <c r="AN25" s="52">
        <f>'FY 2013 by Agency'!AN25</f>
        <v>12209</v>
      </c>
      <c r="AO25" s="52">
        <f>'FY 2013 by Agency'!AO25</f>
        <v>27295</v>
      </c>
      <c r="AP25" s="52">
        <f>'FY 2013 by Agency'!AP25</f>
        <v>7414</v>
      </c>
      <c r="AQ25" s="52">
        <f>'FY 2013 by Agency'!AQ25</f>
        <v>601</v>
      </c>
      <c r="AR25" s="52">
        <f>'FY 2013 by Agency'!AR25</f>
        <v>8015</v>
      </c>
      <c r="AS25" s="52">
        <f>'FY 2013 by Agency'!AS25</f>
        <v>8015</v>
      </c>
      <c r="AT25" s="52" t="e">
        <f t="shared" si="20"/>
        <v>#REF!</v>
      </c>
      <c r="AU25" s="58" t="e">
        <f t="shared" si="21"/>
        <v>#REF!</v>
      </c>
      <c r="AV25" s="52">
        <f t="shared" si="22"/>
        <v>-23585.761278195492</v>
      </c>
      <c r="AW25" s="58">
        <f t="shared" si="23"/>
        <v>-0.74636686979024314</v>
      </c>
      <c r="AX25" s="281" t="s">
        <v>267</v>
      </c>
      <c r="AY25" s="282">
        <v>26313.013590000002</v>
      </c>
      <c r="AZ25" s="282">
        <f t="shared" si="24"/>
        <v>-981.9864099999977</v>
      </c>
      <c r="BA25" s="282">
        <f t="shared" si="25"/>
        <v>-24567.74768819549</v>
      </c>
      <c r="BB25" s="282">
        <f t="shared" si="26"/>
        <v>7033.0135900000023</v>
      </c>
      <c r="BC25" s="58">
        <f t="shared" si="27"/>
        <v>-0.77744164046918773</v>
      </c>
      <c r="BD25" s="294">
        <v>665.59400000000005</v>
      </c>
      <c r="BE25" s="51">
        <f t="shared" si="5"/>
        <v>2.5295240232496685E-2</v>
      </c>
      <c r="BF25" s="50">
        <v>2233</v>
      </c>
      <c r="BI25" s="219">
        <v>23873</v>
      </c>
      <c r="BJ25" s="282">
        <f t="shared" si="28"/>
        <v>-2440.0135900000023</v>
      </c>
      <c r="BK25" s="65">
        <f t="shared" si="29"/>
        <v>31888</v>
      </c>
      <c r="BL25" s="569">
        <f>'FY 2013 by Agency'!AS25*Inflator!$E$13</f>
        <v>8310.9459871834006</v>
      </c>
      <c r="BM25" s="52">
        <f t="shared" si="30"/>
        <v>-23289.815291012092</v>
      </c>
      <c r="BN25" s="51">
        <f t="shared" si="31"/>
        <v>-0.73700171606568388</v>
      </c>
      <c r="BO25" s="52">
        <f>'FY 2013 by Agency'!AX25*Inflator!$E$13</f>
        <v>24754.487030820877</v>
      </c>
      <c r="BP25" s="52">
        <f t="shared" si="32"/>
        <v>-6846.2742473746148</v>
      </c>
      <c r="BQ25" s="51">
        <f t="shared" si="33"/>
        <v>-0.21664902902508681</v>
      </c>
      <c r="BR25" s="52">
        <f>'FY 2013 by Agency'!BE25*Inflator!$E$14</f>
        <v>158558.45207524634</v>
      </c>
      <c r="BS25" s="52">
        <f t="shared" si="34"/>
        <v>133803.96504442545</v>
      </c>
      <c r="BT25" s="51">
        <f t="shared" si="35"/>
        <v>5.4052408711936222</v>
      </c>
      <c r="BU25" s="52">
        <f>'FY 2013 by Agency'!BL25*Inflator!$E$14</f>
        <v>158939.95341893105</v>
      </c>
      <c r="BV25" s="10">
        <f t="shared" si="36"/>
        <v>150629.00743174765</v>
      </c>
      <c r="BW25" s="495">
        <f>251379-47782-9794</f>
        <v>193803</v>
      </c>
      <c r="BX25" s="39">
        <f>'FY 2013 by Agency'!BV25*Inflator!E15</f>
        <v>203265.571</v>
      </c>
      <c r="BY25" s="39">
        <f t="shared" si="37"/>
        <v>35244.547924753657</v>
      </c>
      <c r="BZ25" s="51">
        <f t="shared" si="38"/>
        <v>0.22228110493931799</v>
      </c>
      <c r="CB25" s="39"/>
    </row>
    <row r="26" spans="1:80" ht="18" customHeight="1">
      <c r="A26" s="53" t="s">
        <v>2</v>
      </c>
      <c r="B26" s="326">
        <f>'FY 2013 by Agency'!B26*Inflator!$E$2</f>
        <v>917.24322169059019</v>
      </c>
      <c r="C26" s="326">
        <f>'FY 2013 by Agency'!C26*Inflator!$E$3</f>
        <v>968.98145285935095</v>
      </c>
      <c r="D26" s="326">
        <f t="shared" si="6"/>
        <v>51.738231168760763</v>
      </c>
      <c r="E26" s="355">
        <f t="shared" si="7"/>
        <v>5.6406228953538563E-2</v>
      </c>
      <c r="F26" s="10">
        <f>'FY 2013 by Agency'!F26*Inflator!$E$4</f>
        <v>874.39969547011799</v>
      </c>
      <c r="G26" s="10">
        <f t="shared" si="8"/>
        <v>-94.581757389232962</v>
      </c>
      <c r="H26" s="14">
        <f t="shared" si="9"/>
        <v>-9.7609461058447769E-2</v>
      </c>
      <c r="I26" s="10">
        <f>'FY 2013 by Agency'!I26*Inflator!$E$5</f>
        <v>717.76273707698044</v>
      </c>
      <c r="J26" s="10">
        <f t="shared" si="10"/>
        <v>-156.63695839313755</v>
      </c>
      <c r="K26" s="14">
        <f t="shared" si="11"/>
        <v>-0.17913656558277072</v>
      </c>
      <c r="L26" s="10">
        <f>'FY 2013 by Agency'!L26*Inflator!$E$6</f>
        <v>884.39403853144302</v>
      </c>
      <c r="M26" s="10">
        <f t="shared" si="12"/>
        <v>166.63130145446257</v>
      </c>
      <c r="N26" s="14">
        <f t="shared" si="13"/>
        <v>0.23215373666937975</v>
      </c>
      <c r="O26" s="10">
        <f>'FY 2013 by Agency'!O26*Inflator!$E$7</f>
        <v>914.98416050686365</v>
      </c>
      <c r="P26" s="52">
        <f t="shared" si="14"/>
        <v>30.590121975420629</v>
      </c>
      <c r="Q26" s="58">
        <f t="shared" si="0"/>
        <v>3.458879259997754E-2</v>
      </c>
      <c r="R26" s="52">
        <f>'FY 2013 by Agency'!R26*Inflator!$E$8</f>
        <v>860.45756958587913</v>
      </c>
      <c r="S26" s="52">
        <f t="shared" si="1"/>
        <v>-54.526590920984518</v>
      </c>
      <c r="T26" s="58">
        <f t="shared" si="2"/>
        <v>-5.9592934254489201E-2</v>
      </c>
      <c r="U26" s="52">
        <f>'FY 2013 by Agency'!U26*Inflator!$E$9</f>
        <v>874.28647214854107</v>
      </c>
      <c r="V26" s="52">
        <f t="shared" si="15"/>
        <v>13.828902562661938</v>
      </c>
      <c r="W26" s="58">
        <f t="shared" si="16"/>
        <v>1.6071568257941538E-2</v>
      </c>
      <c r="X26" s="52">
        <f>'FY 2013 by Agency'!X26*Inflator!$E$10</f>
        <v>1014.3283582089554</v>
      </c>
      <c r="Y26" s="39">
        <f t="shared" si="17"/>
        <v>140.0418860604143</v>
      </c>
      <c r="Z26" s="58">
        <f t="shared" si="40"/>
        <v>0.16017848899830767</v>
      </c>
      <c r="AA26" s="52">
        <f>'FY 2013 by Agency'!AA26*Inflator!$E$11</f>
        <v>1052.2000637145591</v>
      </c>
      <c r="AB26" s="39">
        <f t="shared" si="3"/>
        <v>37.8717055056037</v>
      </c>
      <c r="AC26" s="58">
        <f t="shared" si="4"/>
        <v>3.7336731443134895E-2</v>
      </c>
      <c r="AD26" s="52" t="e">
        <f>'FY 2013 by Agency'!AD26*Inflator!#REF!</f>
        <v>#REF!</v>
      </c>
      <c r="AE26" s="52">
        <f>'FY 2013 by Agency'!AE26*Inflator!$B$8</f>
        <v>0</v>
      </c>
      <c r="AF26" s="52">
        <f>'FY 2013 by Agency'!AF26*Inflator!$E$12</f>
        <v>1098.6015037593986</v>
      </c>
      <c r="AG26" s="52">
        <f t="shared" si="18"/>
        <v>46.401440044839546</v>
      </c>
      <c r="AH26" s="58">
        <f t="shared" si="19"/>
        <v>4.4099446146229598E-2</v>
      </c>
      <c r="AI26" s="52">
        <f>'FY 2013 by Agency'!AI26*Inflator!$B$8</f>
        <v>0</v>
      </c>
      <c r="AJ26" s="52">
        <f>'FY 2013 by Agency'!AJ26*Inflator!$B$8</f>
        <v>0</v>
      </c>
      <c r="AK26" s="52">
        <f>'FY 2013 by Agency'!AK26</f>
        <v>1135</v>
      </c>
      <c r="AL26" s="52">
        <f>'FY 2013 by Agency'!AL26</f>
        <v>0</v>
      </c>
      <c r="AM26" s="52">
        <f>'FY 2013 by Agency'!AM26</f>
        <v>1135</v>
      </c>
      <c r="AN26" s="52">
        <f>'FY 2013 by Agency'!AN26</f>
        <v>840</v>
      </c>
      <c r="AO26" s="52">
        <f>'FY 2013 by Agency'!AO26</f>
        <v>840</v>
      </c>
      <c r="AP26" s="52">
        <f>'FY 2013 by Agency'!AP26</f>
        <v>273</v>
      </c>
      <c r="AQ26" s="52">
        <f>'FY 2013 by Agency'!AQ26</f>
        <v>1</v>
      </c>
      <c r="AR26" s="52">
        <f>'FY 2013 by Agency'!AR26</f>
        <v>274</v>
      </c>
      <c r="AS26" s="52">
        <f>'FY 2013 by Agency'!AS26</f>
        <v>1038.7491199999999</v>
      </c>
      <c r="AT26" s="52" t="e">
        <f t="shared" si="20"/>
        <v>#REF!</v>
      </c>
      <c r="AU26" s="58" t="e">
        <f t="shared" si="21"/>
        <v>#REF!</v>
      </c>
      <c r="AV26" s="52">
        <f t="shared" si="22"/>
        <v>-59.852383759398663</v>
      </c>
      <c r="AW26" s="58">
        <f t="shared" si="23"/>
        <v>-5.4480522331877994E-2</v>
      </c>
      <c r="AX26" s="281" t="s">
        <v>268</v>
      </c>
      <c r="AY26" s="282">
        <v>790</v>
      </c>
      <c r="AZ26" s="282">
        <f t="shared" si="24"/>
        <v>-50</v>
      </c>
      <c r="BA26" s="282">
        <f t="shared" si="25"/>
        <v>-109.85238375939866</v>
      </c>
      <c r="BB26" s="282">
        <f t="shared" si="26"/>
        <v>988.74911999999995</v>
      </c>
      <c r="BC26" s="58">
        <f t="shared" si="27"/>
        <v>-9.9992930451565321E-2</v>
      </c>
      <c r="BD26" s="294">
        <v>0</v>
      </c>
      <c r="BE26" s="51">
        <f t="shared" si="5"/>
        <v>0</v>
      </c>
      <c r="BF26" s="50">
        <v>2</v>
      </c>
      <c r="BI26" s="219">
        <v>774</v>
      </c>
      <c r="BJ26" s="282">
        <f t="shared" si="28"/>
        <v>-16</v>
      </c>
      <c r="BK26" s="65">
        <f t="shared" si="29"/>
        <v>1048</v>
      </c>
      <c r="BL26" s="569">
        <f>'FY 2013 by Agency'!AS26*Inflator!$E$13</f>
        <v>1077.10390898993</v>
      </c>
      <c r="BM26" s="52">
        <f t="shared" si="30"/>
        <v>-21.497594769468606</v>
      </c>
      <c r="BN26" s="51">
        <f t="shared" si="31"/>
        <v>-1.9568146134794229E-2</v>
      </c>
      <c r="BO26" s="52">
        <f>'FY 2013 by Agency'!AX26*Inflator!$E$13</f>
        <v>802.57918828196534</v>
      </c>
      <c r="BP26" s="52">
        <f t="shared" si="32"/>
        <v>-296.02231547743327</v>
      </c>
      <c r="BQ26" s="51">
        <f t="shared" si="33"/>
        <v>-0.26945376869087578</v>
      </c>
      <c r="BR26" s="52">
        <f>'FY 2013 by Agency'!BE26*Inflator!$E$14</f>
        <v>807.64646163033751</v>
      </c>
      <c r="BS26" s="52">
        <f t="shared" si="34"/>
        <v>5.0672733483721686</v>
      </c>
      <c r="BT26" s="51">
        <f t="shared" si="35"/>
        <v>6.3137362921400772E-3</v>
      </c>
      <c r="BU26" s="52">
        <f>'FY 2013 by Agency'!BL26*Inflator!$E$14</f>
        <v>872.58286055538974</v>
      </c>
      <c r="BV26" s="10">
        <f t="shared" si="36"/>
        <v>-204.52104843454026</v>
      </c>
      <c r="BW26" s="495">
        <v>847</v>
      </c>
      <c r="BX26" s="39">
        <f>'FY 2013 by Agency'!BV26*Inflator!E15</f>
        <v>929.50800000000004</v>
      </c>
      <c r="BY26" s="39">
        <f t="shared" si="37"/>
        <v>39.353538369662488</v>
      </c>
      <c r="BZ26" s="51">
        <f t="shared" si="38"/>
        <v>4.8726194243731778E-2</v>
      </c>
      <c r="CB26" s="39"/>
    </row>
    <row r="27" spans="1:80" ht="18" customHeight="1">
      <c r="A27" s="53" t="s">
        <v>3</v>
      </c>
      <c r="B27" s="326">
        <f>'FY 2013 by Agency'!B27*Inflator!$E$2</f>
        <v>4784.0263157894742</v>
      </c>
      <c r="C27" s="326">
        <f>'FY 2013 by Agency'!C27*Inflator!$E$3</f>
        <v>4288.2024729520872</v>
      </c>
      <c r="D27" s="326">
        <f t="shared" si="6"/>
        <v>-495.82384283738702</v>
      </c>
      <c r="E27" s="355">
        <f t="shared" si="7"/>
        <v>-0.10364153750595845</v>
      </c>
      <c r="F27" s="10">
        <f>'FY 2013 by Agency'!F27*Inflator!$E$4</f>
        <v>4867.4054054054059</v>
      </c>
      <c r="G27" s="10">
        <f t="shared" si="8"/>
        <v>579.20293245331868</v>
      </c>
      <c r="H27" s="14">
        <f t="shared" si="9"/>
        <v>0.13506893298687536</v>
      </c>
      <c r="I27" s="10">
        <f>'FY 2013 by Agency'!I27*Inflator!$E$5</f>
        <v>4352.0684269245075</v>
      </c>
      <c r="J27" s="10">
        <f t="shared" si="10"/>
        <v>-515.33697848089832</v>
      </c>
      <c r="K27" s="14">
        <f t="shared" si="11"/>
        <v>-0.10587508858592311</v>
      </c>
      <c r="L27" s="10">
        <f>'FY 2013 by Agency'!L27*Inflator!$E$6</f>
        <v>5492.8774990912389</v>
      </c>
      <c r="M27" s="10">
        <f t="shared" si="12"/>
        <v>1140.8090721667313</v>
      </c>
      <c r="N27" s="14">
        <f t="shared" si="13"/>
        <v>0.26213031603754244</v>
      </c>
      <c r="O27" s="10">
        <f>'FY 2013 by Agency'!O27*Inflator!$E$7</f>
        <v>5172.9496656106994</v>
      </c>
      <c r="P27" s="52">
        <f t="shared" si="14"/>
        <v>-319.92783348053945</v>
      </c>
      <c r="Q27" s="58">
        <f t="shared" si="0"/>
        <v>-5.8244123145558852E-2</v>
      </c>
      <c r="R27" s="52">
        <f>'FY 2013 by Agency'!R27*Inflator!$E$8</f>
        <v>5402.6585200271547</v>
      </c>
      <c r="S27" s="52">
        <f t="shared" si="1"/>
        <v>229.70885441645532</v>
      </c>
      <c r="T27" s="58">
        <f t="shared" si="2"/>
        <v>4.4405777992300791E-2</v>
      </c>
      <c r="U27" s="52">
        <f>'FY 2013 by Agency'!U27*Inflator!$E$9</f>
        <v>6719.3872679045089</v>
      </c>
      <c r="V27" s="52">
        <f t="shared" si="15"/>
        <v>1316.7287478773542</v>
      </c>
      <c r="W27" s="58">
        <f t="shared" si="16"/>
        <v>0.2437186697986487</v>
      </c>
      <c r="X27" s="52">
        <f>'FY 2013 by Agency'!X27*Inflator!$E$10</f>
        <v>5659.7364242616713</v>
      </c>
      <c r="Y27" s="39">
        <f t="shared" si="17"/>
        <v>-1059.6508436428376</v>
      </c>
      <c r="Z27" s="58">
        <f t="shared" si="40"/>
        <v>-0.15770051663852047</v>
      </c>
      <c r="AA27" s="52">
        <f>'FY 2013 by Agency'!AA27*Inflator!$E$11</f>
        <v>5774.1102261866845</v>
      </c>
      <c r="AB27" s="39">
        <f t="shared" si="3"/>
        <v>114.37380192501314</v>
      </c>
      <c r="AC27" s="58">
        <f t="shared" si="4"/>
        <v>2.0208326563534895E-2</v>
      </c>
      <c r="AD27" s="52" t="e">
        <f>'FY 2013 by Agency'!AD27*Inflator!#REF!</f>
        <v>#REF!</v>
      </c>
      <c r="AE27" s="52">
        <f>'FY 2013 by Agency'!AE27*Inflator!$B$8</f>
        <v>0</v>
      </c>
      <c r="AF27" s="52">
        <f>'FY 2013 by Agency'!AF27*Inflator!$E$12</f>
        <v>5317.3590225563912</v>
      </c>
      <c r="AG27" s="52">
        <f t="shared" si="18"/>
        <v>-456.75120363029328</v>
      </c>
      <c r="AH27" s="58">
        <f t="shared" si="19"/>
        <v>-7.9103305225944595E-2</v>
      </c>
      <c r="AI27" s="52">
        <f>'FY 2013 by Agency'!AI27*Inflator!$B$8</f>
        <v>0</v>
      </c>
      <c r="AJ27" s="52">
        <f>'FY 2013 by Agency'!AJ27*Inflator!$B$8</f>
        <v>0</v>
      </c>
      <c r="AK27" s="52">
        <f>'FY 2013 by Agency'!AK27</f>
        <v>5247</v>
      </c>
      <c r="AL27" s="52">
        <f>'FY 2013 by Agency'!AL27</f>
        <v>0</v>
      </c>
      <c r="AM27" s="52">
        <f>'FY 2013 by Agency'!AM27</f>
        <v>5247</v>
      </c>
      <c r="AN27" s="52">
        <f>'FY 2013 by Agency'!AN27</f>
        <v>3968</v>
      </c>
      <c r="AO27" s="52">
        <f>'FY 2013 by Agency'!AO27</f>
        <v>3968</v>
      </c>
      <c r="AP27" s="52">
        <f>'FY 2013 by Agency'!AP27</f>
        <v>754</v>
      </c>
      <c r="AQ27" s="52">
        <f>'FY 2013 by Agency'!AQ27</f>
        <v>75</v>
      </c>
      <c r="AR27" s="52">
        <f>'FY 2013 by Agency'!AR27</f>
        <v>829</v>
      </c>
      <c r="AS27" s="52">
        <f>'FY 2013 by Agency'!AS27</f>
        <v>5364.7534599999999</v>
      </c>
      <c r="AT27" s="52" t="e">
        <f t="shared" si="20"/>
        <v>#REF!</v>
      </c>
      <c r="AU27" s="58" t="e">
        <f t="shared" si="21"/>
        <v>#REF!</v>
      </c>
      <c r="AV27" s="52">
        <f t="shared" si="22"/>
        <v>47.394437443608695</v>
      </c>
      <c r="AW27" s="58">
        <f t="shared" si="23"/>
        <v>8.9131535490757936E-3</v>
      </c>
      <c r="AX27" s="281" t="s">
        <v>269</v>
      </c>
      <c r="AY27" s="282">
        <v>4132.5792199999996</v>
      </c>
      <c r="AZ27" s="282">
        <f t="shared" si="24"/>
        <v>164.57921999999962</v>
      </c>
      <c r="BA27" s="282">
        <f t="shared" si="25"/>
        <v>211.97365744360832</v>
      </c>
      <c r="BB27" s="282">
        <f t="shared" si="26"/>
        <v>5529.3326799999995</v>
      </c>
      <c r="BC27" s="58">
        <f t="shared" si="27"/>
        <v>3.9864462140775103E-2</v>
      </c>
      <c r="BD27" s="294">
        <v>0</v>
      </c>
      <c r="BE27" s="51">
        <f t="shared" si="5"/>
        <v>0</v>
      </c>
      <c r="BI27" s="219">
        <v>4085</v>
      </c>
      <c r="BJ27" s="282">
        <f t="shared" si="28"/>
        <v>-47.579219999999623</v>
      </c>
      <c r="BK27" s="65">
        <f t="shared" si="29"/>
        <v>4914</v>
      </c>
      <c r="BL27" s="569">
        <f>'FY 2013 by Agency'!AS27*Inflator!$E$13</f>
        <v>5562.8417018858718</v>
      </c>
      <c r="BM27" s="52">
        <f t="shared" si="30"/>
        <v>245.48267932948056</v>
      </c>
      <c r="BN27" s="51">
        <f t="shared" si="31"/>
        <v>4.6166278840329554E-2</v>
      </c>
      <c r="BO27" s="52">
        <f>'FY 2013 by Agency'!AX27*Inflator!$E$13</f>
        <v>4235.8346048214835</v>
      </c>
      <c r="BP27" s="52">
        <f t="shared" si="32"/>
        <v>-1081.5244177349077</v>
      </c>
      <c r="BQ27" s="51">
        <f t="shared" si="33"/>
        <v>-0.20339503372765499</v>
      </c>
      <c r="BR27" s="52">
        <f>'FY 2013 by Agency'!BE27*Inflator!$E$14</f>
        <v>4330.4461033144225</v>
      </c>
      <c r="BS27" s="52">
        <f t="shared" si="34"/>
        <v>94.611498492939063</v>
      </c>
      <c r="BT27" s="51">
        <f t="shared" si="35"/>
        <v>2.2335975626915774E-2</v>
      </c>
      <c r="BU27" s="52">
        <f>'FY 2013 by Agency'!BL27*Inflator!$E$14</f>
        <v>5467.8477157360412</v>
      </c>
      <c r="BV27" s="10">
        <f t="shared" si="36"/>
        <v>-94.993986149830562</v>
      </c>
      <c r="BW27" s="495">
        <v>5836</v>
      </c>
      <c r="BX27" s="39">
        <f>'FY 2013 by Agency'!BV27*Inflator!E15</f>
        <v>6818.4050000000007</v>
      </c>
      <c r="BY27" s="39">
        <f t="shared" si="37"/>
        <v>1505.5538966855775</v>
      </c>
      <c r="BZ27" s="51">
        <f t="shared" si="38"/>
        <v>0.34766715963356792</v>
      </c>
      <c r="CB27" s="39"/>
    </row>
    <row r="28" spans="1:80" ht="18" customHeight="1">
      <c r="A28" s="53" t="s">
        <v>4</v>
      </c>
      <c r="B28" s="326">
        <f>'FY 2013 by Agency'!B28*Inflator!$E$2</f>
        <v>1292.5406698564593</v>
      </c>
      <c r="C28" s="326">
        <f>'FY 2013 by Agency'!C28*Inflator!$E$3</f>
        <v>1654.3585780525502</v>
      </c>
      <c r="D28" s="326">
        <f t="shared" si="6"/>
        <v>361.81790819609091</v>
      </c>
      <c r="E28" s="355">
        <f t="shared" si="7"/>
        <v>0.27992767781633665</v>
      </c>
      <c r="F28" s="10">
        <f>'FY 2013 by Agency'!F28*Inflator!$E$4</f>
        <v>1668.6029691663496</v>
      </c>
      <c r="G28" s="10">
        <f t="shared" si="8"/>
        <v>14.244391113799338</v>
      </c>
      <c r="H28" s="14">
        <f t="shared" si="9"/>
        <v>8.6102198778255853E-3</v>
      </c>
      <c r="I28" s="10">
        <f>'FY 2013 by Agency'!I28*Inflator!$E$5</f>
        <v>1573.265154332466</v>
      </c>
      <c r="J28" s="10">
        <f t="shared" si="10"/>
        <v>-95.337814833883613</v>
      </c>
      <c r="K28" s="14">
        <f t="shared" si="11"/>
        <v>-5.7136308993574018E-2</v>
      </c>
      <c r="L28" s="10">
        <f>'FY 2013 by Agency'!L28*Inflator!$E$6</f>
        <v>1579.8044347509995</v>
      </c>
      <c r="M28" s="10">
        <f t="shared" si="12"/>
        <v>6.5392804185335081</v>
      </c>
      <c r="N28" s="14">
        <f t="shared" si="13"/>
        <v>4.1565024182513687E-3</v>
      </c>
      <c r="O28" s="10">
        <f>'FY 2013 by Agency'!O28*Inflator!$E$7</f>
        <v>1545.3065821893697</v>
      </c>
      <c r="P28" s="52">
        <f t="shared" si="14"/>
        <v>-34.49785256162977</v>
      </c>
      <c r="Q28" s="58">
        <f t="shared" si="0"/>
        <v>-2.1836786758398449E-2</v>
      </c>
      <c r="R28" s="52">
        <f>'FY 2013 by Agency'!R28*Inflator!$E$8</f>
        <v>1630.9477257298031</v>
      </c>
      <c r="S28" s="52">
        <f t="shared" si="1"/>
        <v>85.641143540433404</v>
      </c>
      <c r="T28" s="58">
        <f t="shared" si="2"/>
        <v>5.5420163563335227E-2</v>
      </c>
      <c r="U28" s="52">
        <f>'FY 2013 by Agency'!U28*Inflator!$E$9</f>
        <v>1684.3534482758619</v>
      </c>
      <c r="V28" s="52">
        <f t="shared" si="15"/>
        <v>53.405722546058769</v>
      </c>
      <c r="W28" s="58">
        <f t="shared" si="16"/>
        <v>3.2745208018338669E-2</v>
      </c>
      <c r="X28" s="52">
        <f>'FY 2013 by Agency'!X28*Inflator!$E$10</f>
        <v>1714.646554461734</v>
      </c>
      <c r="Y28" s="39">
        <f t="shared" si="17"/>
        <v>30.293106185872148</v>
      </c>
      <c r="Z28" s="58">
        <f t="shared" si="40"/>
        <v>1.7985005591837498E-2</v>
      </c>
      <c r="AA28" s="52">
        <f>'FY 2013 by Agency'!AA28*Inflator!$E$11</f>
        <v>1863.0003185727942</v>
      </c>
      <c r="AB28" s="39">
        <f t="shared" si="3"/>
        <v>148.35376411106017</v>
      </c>
      <c r="AC28" s="58">
        <f t="shared" si="4"/>
        <v>8.6521483815439587E-2</v>
      </c>
      <c r="AD28" s="52" t="e">
        <f>'FY 2013 by Agency'!AD28*Inflator!#REF!</f>
        <v>#REF!</v>
      </c>
      <c r="AE28" s="52">
        <f>'FY 2013 by Agency'!AE28*Inflator!$B$8</f>
        <v>0</v>
      </c>
      <c r="AF28" s="52">
        <f>'FY 2013 by Agency'!AF28*Inflator!$E$12</f>
        <v>1741.5814536340854</v>
      </c>
      <c r="AG28" s="52">
        <f t="shared" si="18"/>
        <v>-121.41886493870879</v>
      </c>
      <c r="AH28" s="58">
        <f t="shared" si="19"/>
        <v>-6.517382940209332E-2</v>
      </c>
      <c r="AI28" s="52">
        <f>'FY 2013 by Agency'!AI28*Inflator!$B$8</f>
        <v>0</v>
      </c>
      <c r="AJ28" s="52">
        <f>'FY 2013 by Agency'!AJ28*Inflator!$B$8</f>
        <v>0</v>
      </c>
      <c r="AK28" s="52">
        <f>'FY 2013 by Agency'!AK28</f>
        <v>1702</v>
      </c>
      <c r="AL28" s="52">
        <f>'FY 2013 by Agency'!AL28</f>
        <v>0</v>
      </c>
      <c r="AM28" s="52">
        <f>'FY 2013 by Agency'!AM28</f>
        <v>1702</v>
      </c>
      <c r="AN28" s="52">
        <f>'FY 2013 by Agency'!AN28</f>
        <v>1395</v>
      </c>
      <c r="AO28" s="52">
        <f>'FY 2013 by Agency'!AO28</f>
        <v>1395</v>
      </c>
      <c r="AP28" s="52">
        <f>'FY 2013 by Agency'!AP28</f>
        <v>168</v>
      </c>
      <c r="AQ28" s="52">
        <f>'FY 2013 by Agency'!AQ28</f>
        <v>2</v>
      </c>
      <c r="AR28" s="52">
        <f>'FY 2013 by Agency'!AR28</f>
        <v>170</v>
      </c>
      <c r="AS28" s="52">
        <f>'FY 2013 by Agency'!AS28</f>
        <v>1543.7620399999998</v>
      </c>
      <c r="AT28" s="52" t="e">
        <f t="shared" si="20"/>
        <v>#REF!</v>
      </c>
      <c r="AU28" s="58" t="e">
        <f t="shared" si="21"/>
        <v>#REF!</v>
      </c>
      <c r="AV28" s="52">
        <f t="shared" si="22"/>
        <v>-197.81941363408555</v>
      </c>
      <c r="AW28" s="58">
        <f t="shared" si="23"/>
        <v>-0.11358608190349295</v>
      </c>
      <c r="AX28" s="281" t="s">
        <v>270</v>
      </c>
      <c r="AY28" s="282">
        <v>1443.0546899999999</v>
      </c>
      <c r="AZ28" s="282">
        <f t="shared" si="24"/>
        <v>48.054689999999937</v>
      </c>
      <c r="BA28" s="282">
        <f t="shared" si="25"/>
        <v>-149.76472363408561</v>
      </c>
      <c r="BB28" s="282">
        <f t="shared" si="26"/>
        <v>1591.8167299999998</v>
      </c>
      <c r="BC28" s="58">
        <f t="shared" si="27"/>
        <v>-8.599352233659685E-2</v>
      </c>
      <c r="BD28" s="294">
        <v>0</v>
      </c>
      <c r="BE28" s="51">
        <f t="shared" si="5"/>
        <v>0</v>
      </c>
      <c r="BF28" s="50">
        <v>6</v>
      </c>
      <c r="BI28" s="219">
        <v>1415</v>
      </c>
      <c r="BJ28" s="282">
        <f t="shared" si="28"/>
        <v>-28.054689999999937</v>
      </c>
      <c r="BK28" s="65">
        <f t="shared" si="29"/>
        <v>1585</v>
      </c>
      <c r="BL28" s="569">
        <f>'FY 2013 by Agency'!AS28*Inflator!$E$13</f>
        <v>1600.7639340616417</v>
      </c>
      <c r="BM28" s="52">
        <f t="shared" si="30"/>
        <v>-140.81751957244364</v>
      </c>
      <c r="BN28" s="51">
        <f t="shared" si="31"/>
        <v>-8.0856120325928829E-2</v>
      </c>
      <c r="BO28" s="52">
        <f>'FY 2013 by Agency'!AX28*Inflator!$E$13</f>
        <v>1467.2474824534638</v>
      </c>
      <c r="BP28" s="52">
        <f t="shared" si="32"/>
        <v>-274.33397118062157</v>
      </c>
      <c r="BQ28" s="51">
        <f t="shared" si="33"/>
        <v>-0.15752003479836119</v>
      </c>
      <c r="BR28" s="52">
        <f>'FY 2013 by Agency'!BE28*Inflator!$E$14</f>
        <v>1427.5861451179458</v>
      </c>
      <c r="BS28" s="52">
        <f t="shared" si="34"/>
        <v>-39.661337335518056</v>
      </c>
      <c r="BT28" s="51">
        <f t="shared" si="35"/>
        <v>-2.7031116297571142E-2</v>
      </c>
      <c r="BU28" s="52">
        <f>'FY 2013 by Agency'!BL28*Inflator!$E$14</f>
        <v>1599.0588235294119</v>
      </c>
      <c r="BV28" s="10">
        <f t="shared" si="36"/>
        <v>-1.7051105322298099</v>
      </c>
      <c r="BW28" s="495">
        <v>1474</v>
      </c>
      <c r="BX28" s="39">
        <f>'FY 2013 by Agency'!BV28*Inflator!E15</f>
        <v>1644.364</v>
      </c>
      <c r="BY28" s="39">
        <f t="shared" si="37"/>
        <v>46.413854882054238</v>
      </c>
      <c r="BZ28" s="51">
        <f t="shared" si="38"/>
        <v>3.2512121976512716E-2</v>
      </c>
      <c r="CB28" s="39"/>
    </row>
    <row r="29" spans="1:80" ht="18" customHeight="1">
      <c r="A29" s="53" t="s">
        <v>5</v>
      </c>
      <c r="B29" s="326">
        <f>'FY 2013 by Agency'!B29*Inflator!$E$2</f>
        <v>669.30303030303037</v>
      </c>
      <c r="C29" s="326">
        <f>'FY 2013 by Agency'!C29*Inflator!$E$3</f>
        <v>769.40803709428133</v>
      </c>
      <c r="D29" s="326">
        <f t="shared" si="6"/>
        <v>100.10500679125096</v>
      </c>
      <c r="E29" s="355">
        <f t="shared" si="7"/>
        <v>0.14956604446558072</v>
      </c>
      <c r="F29" s="10">
        <f>'FY 2013 by Agency'!F29*Inflator!$E$4</f>
        <v>805.84468976018275</v>
      </c>
      <c r="G29" s="10">
        <f t="shared" si="8"/>
        <v>36.43665266590142</v>
      </c>
      <c r="H29" s="14">
        <f t="shared" si="9"/>
        <v>4.7356735190220746E-2</v>
      </c>
      <c r="I29" s="10">
        <f>'FY 2013 by Agency'!I29*Inflator!$E$5</f>
        <v>788.52807735217561</v>
      </c>
      <c r="J29" s="10">
        <f t="shared" si="10"/>
        <v>-17.316612408007131</v>
      </c>
      <c r="K29" s="14">
        <f t="shared" si="11"/>
        <v>-2.1488771506530009E-2</v>
      </c>
      <c r="L29" s="10">
        <f>'FY 2013 by Agency'!L29*Inflator!$E$6</f>
        <v>806.57724463831323</v>
      </c>
      <c r="M29" s="10">
        <f t="shared" si="12"/>
        <v>18.049167286137617</v>
      </c>
      <c r="N29" s="14">
        <f t="shared" si="13"/>
        <v>2.2889695122519302E-2</v>
      </c>
      <c r="O29" s="10">
        <f>'FY 2013 by Agency'!O29*Inflator!$E$7</f>
        <v>815.71136923618428</v>
      </c>
      <c r="P29" s="52">
        <f t="shared" si="14"/>
        <v>9.1341245978710504</v>
      </c>
      <c r="Q29" s="58">
        <f t="shared" si="0"/>
        <v>1.1324550324956155E-2</v>
      </c>
      <c r="R29" s="52">
        <f>'FY 2013 by Agency'!R29*Inflator!$E$8</f>
        <v>884.67956551255929</v>
      </c>
      <c r="S29" s="52">
        <f t="shared" si="1"/>
        <v>68.968196276375011</v>
      </c>
      <c r="T29" s="58">
        <f t="shared" si="2"/>
        <v>8.4549754824375489E-2</v>
      </c>
      <c r="U29" s="52">
        <f>'FY 2013 by Agency'!U29*Inflator!$E$9</f>
        <v>909.2128647214854</v>
      </c>
      <c r="V29" s="52">
        <f t="shared" si="15"/>
        <v>24.53329920892611</v>
      </c>
      <c r="W29" s="58">
        <f t="shared" si="16"/>
        <v>2.7731282789053891E-2</v>
      </c>
      <c r="X29" s="52">
        <f>'FY 2013 by Agency'!X29*Inflator!$E$10</f>
        <v>994.90504922197533</v>
      </c>
      <c r="Y29" s="39">
        <f t="shared" si="17"/>
        <v>85.69218450048993</v>
      </c>
      <c r="Z29" s="58">
        <f t="shared" si="40"/>
        <v>9.424875936697133E-2</v>
      </c>
      <c r="AA29" s="52">
        <f>'FY 2013 by Agency'!AA29*Inflator!$E$11</f>
        <v>1060.8601465434854</v>
      </c>
      <c r="AB29" s="39">
        <f t="shared" si="3"/>
        <v>65.955097321510038</v>
      </c>
      <c r="AC29" s="58">
        <f t="shared" si="4"/>
        <v>6.6292856160582878E-2</v>
      </c>
      <c r="AD29" s="52" t="e">
        <f>'FY 2013 by Agency'!AD29*Inflator!#REF!</f>
        <v>#REF!</v>
      </c>
      <c r="AE29" s="52">
        <f>'FY 2013 by Agency'!AE29*Inflator!$B$8</f>
        <v>0</v>
      </c>
      <c r="AF29" s="52">
        <f>'FY 2013 by Agency'!AF29*Inflator!$E$12</f>
        <v>1123.0858395989976</v>
      </c>
      <c r="AG29" s="52">
        <f t="shared" si="18"/>
        <v>62.225693055512238</v>
      </c>
      <c r="AH29" s="58">
        <f t="shared" si="19"/>
        <v>5.8655887166896757E-2</v>
      </c>
      <c r="AI29" s="52">
        <f>'FY 2013 by Agency'!AI29*Inflator!$B$8</f>
        <v>0</v>
      </c>
      <c r="AJ29" s="52">
        <f>'FY 2013 by Agency'!AJ29*Inflator!$B$8</f>
        <v>0</v>
      </c>
      <c r="AK29" s="52">
        <f>'FY 2013 by Agency'!AK29</f>
        <v>971</v>
      </c>
      <c r="AL29" s="52">
        <f>'FY 2013 by Agency'!AL29</f>
        <v>0</v>
      </c>
      <c r="AM29" s="52">
        <f>'FY 2013 by Agency'!AM29</f>
        <v>971</v>
      </c>
      <c r="AN29" s="52">
        <f>'FY 2013 by Agency'!AN29</f>
        <v>0</v>
      </c>
      <c r="AO29" s="52">
        <f>'FY 2013 by Agency'!AO29</f>
        <v>0</v>
      </c>
      <c r="AP29" s="52">
        <f>'FY 2013 by Agency'!AP29</f>
        <v>0</v>
      </c>
      <c r="AQ29" s="52">
        <f>'FY 2013 by Agency'!AQ29</f>
        <v>0</v>
      </c>
      <c r="AR29" s="52">
        <f>'FY 2013 by Agency'!AR29</f>
        <v>0</v>
      </c>
      <c r="AS29" s="52">
        <f>'FY 2013 by Agency'!AS29</f>
        <v>733.01909999999998</v>
      </c>
      <c r="AT29" s="52" t="e">
        <f t="shared" si="20"/>
        <v>#REF!</v>
      </c>
      <c r="AU29" s="58" t="e">
        <f t="shared" si="21"/>
        <v>#REF!</v>
      </c>
      <c r="AV29" s="52">
        <f t="shared" si="22"/>
        <v>-390.06673959899763</v>
      </c>
      <c r="AW29" s="58">
        <f t="shared" si="23"/>
        <v>-0.34731694216558956</v>
      </c>
      <c r="AX29" s="281" t="s">
        <v>271</v>
      </c>
      <c r="AY29" s="282">
        <v>879</v>
      </c>
      <c r="AZ29" s="282">
        <f t="shared" si="24"/>
        <v>879</v>
      </c>
      <c r="BA29" s="282">
        <f t="shared" si="25"/>
        <v>488.93326040100237</v>
      </c>
      <c r="BB29" s="282">
        <f t="shared" si="26"/>
        <v>1612.0191</v>
      </c>
      <c r="BC29" s="58">
        <f t="shared" si="27"/>
        <v>0.43534807684475663</v>
      </c>
      <c r="BD29" s="294">
        <v>0</v>
      </c>
      <c r="BE29" s="51">
        <f t="shared" si="5"/>
        <v>0</v>
      </c>
      <c r="BI29" s="219">
        <v>869</v>
      </c>
      <c r="BJ29" s="282">
        <f t="shared" si="28"/>
        <v>-10</v>
      </c>
      <c r="BK29" s="65">
        <f t="shared" si="29"/>
        <v>869</v>
      </c>
      <c r="BL29" s="569">
        <f>'FY 2013 by Agency'!AS29*Inflator!$E$13</f>
        <v>760.08510888007334</v>
      </c>
      <c r="BM29" s="52">
        <f t="shared" si="30"/>
        <v>-363.00073071892427</v>
      </c>
      <c r="BN29" s="51">
        <f t="shared" si="31"/>
        <v>-0.32321726258122457</v>
      </c>
      <c r="BO29" s="52">
        <f>'FY 2013 by Agency'!AX29*Inflator!$E$13</f>
        <v>901.0869697894417</v>
      </c>
      <c r="BP29" s="52">
        <f t="shared" si="32"/>
        <v>-221.99886980955591</v>
      </c>
      <c r="BQ29" s="51">
        <f t="shared" si="33"/>
        <v>-0.19766865717835203</v>
      </c>
      <c r="BR29" s="52">
        <f>'FY 2013 by Agency'!BE29*Inflator!$E$14</f>
        <v>964.91430277694838</v>
      </c>
      <c r="BS29" s="52">
        <f t="shared" si="34"/>
        <v>63.827332987506679</v>
      </c>
      <c r="BT29" s="51">
        <f t="shared" si="35"/>
        <v>7.0833709872001924E-2</v>
      </c>
      <c r="BU29" s="52">
        <f>'FY 2013 by Agency'!BL29*Inflator!$E$14</f>
        <v>973.03135264257992</v>
      </c>
      <c r="BV29" s="10">
        <f t="shared" si="36"/>
        <v>212.94624376250658</v>
      </c>
      <c r="BW29" s="39">
        <v>971</v>
      </c>
      <c r="BX29" s="39">
        <f>'FY 2013 by Agency'!BV29*Inflator!E15</f>
        <v>1161.2429999999999</v>
      </c>
      <c r="BY29" s="39">
        <f t="shared" si="37"/>
        <v>6.0856972230516249</v>
      </c>
      <c r="BZ29" s="51">
        <f t="shared" si="38"/>
        <v>6.3069820869454014E-3</v>
      </c>
      <c r="CB29" s="39"/>
    </row>
    <row r="30" spans="1:80" ht="18" customHeight="1">
      <c r="A30" s="53" t="s">
        <v>6</v>
      </c>
      <c r="B30" s="326">
        <f>'FY 2013 by Agency'!B30*Inflator!$E$2</f>
        <v>1814.1634768740032</v>
      </c>
      <c r="C30" s="326">
        <f>'FY 2013 by Agency'!C30*Inflator!$E$3</f>
        <v>1838.1761978361671</v>
      </c>
      <c r="D30" s="326">
        <f t="shared" si="6"/>
        <v>24.012720962163939</v>
      </c>
      <c r="E30" s="355">
        <f t="shared" si="7"/>
        <v>1.3236249802327855E-2</v>
      </c>
      <c r="F30" s="10">
        <f>'FY 2013 by Agency'!F30*Inflator!$E$4</f>
        <v>1920.8336505519605</v>
      </c>
      <c r="G30" s="10">
        <f t="shared" si="8"/>
        <v>82.657452715793397</v>
      </c>
      <c r="H30" s="14">
        <f t="shared" si="9"/>
        <v>4.4967099896677305E-2</v>
      </c>
      <c r="I30" s="10">
        <f>'FY 2013 by Agency'!I30*Inflator!$E$5</f>
        <v>1818.4165117143923</v>
      </c>
      <c r="J30" s="10">
        <f t="shared" si="10"/>
        <v>-102.41713883756825</v>
      </c>
      <c r="K30" s="14">
        <f t="shared" si="11"/>
        <v>-5.3319109027550722E-2</v>
      </c>
      <c r="L30" s="10">
        <f>'FY 2013 by Agency'!L30*Inflator!$E$6</f>
        <v>1786.080697928026</v>
      </c>
      <c r="M30" s="10">
        <f t="shared" si="12"/>
        <v>-32.335813786366316</v>
      </c>
      <c r="N30" s="14">
        <f t="shared" si="13"/>
        <v>-1.7782402204366426E-2</v>
      </c>
      <c r="O30" s="10">
        <f>'FY 2013 by Agency'!O30*Inflator!$E$7</f>
        <v>1719.9310102076731</v>
      </c>
      <c r="P30" s="52">
        <f t="shared" si="14"/>
        <v>-66.149687720352858</v>
      </c>
      <c r="Q30" s="58">
        <f t="shared" si="0"/>
        <v>-3.7036225629161638E-2</v>
      </c>
      <c r="R30" s="52">
        <f>'FY 2013 by Agency'!R30*Inflator!$E$8</f>
        <v>1820.1099796334011</v>
      </c>
      <c r="S30" s="52">
        <f t="shared" si="1"/>
        <v>100.17896942572793</v>
      </c>
      <c r="T30" s="58">
        <f t="shared" si="2"/>
        <v>5.8245923139458838E-2</v>
      </c>
      <c r="U30" s="52">
        <f>'FY 2013 by Agency'!U30*Inflator!$E$9</f>
        <v>1861.2387267904508</v>
      </c>
      <c r="V30" s="52">
        <f t="shared" si="15"/>
        <v>41.128747157049702</v>
      </c>
      <c r="W30" s="58">
        <f t="shared" si="16"/>
        <v>2.2596847233008241E-2</v>
      </c>
      <c r="X30" s="52">
        <f>'FY 2013 by Agency'!X30*Inflator!$E$10</f>
        <v>1915.3540806605274</v>
      </c>
      <c r="Y30" s="39">
        <f t="shared" si="17"/>
        <v>54.11535387007666</v>
      </c>
      <c r="Z30" s="58">
        <f t="shared" si="40"/>
        <v>2.9074912901363291E-2</v>
      </c>
      <c r="AA30" s="52">
        <f>'FY 2013 by Agency'!AA30*Inflator!$E$11</f>
        <v>1924.7034087288948</v>
      </c>
      <c r="AB30" s="39">
        <f t="shared" si="3"/>
        <v>9.3493280683674129</v>
      </c>
      <c r="AC30" s="58">
        <f t="shared" si="4"/>
        <v>4.8812531128151568E-3</v>
      </c>
      <c r="AD30" s="52" t="e">
        <f>'FY 2013 by Agency'!AD30*Inflator!#REF!</f>
        <v>#REF!</v>
      </c>
      <c r="AE30" s="52">
        <f>'FY 2013 by Agency'!AE30*Inflator!$B$8</f>
        <v>0</v>
      </c>
      <c r="AF30" s="52">
        <f>'FY 2013 by Agency'!AF30*Inflator!$E$12</f>
        <v>1866.1322055137846</v>
      </c>
      <c r="AG30" s="52">
        <f t="shared" si="18"/>
        <v>-58.571203215110245</v>
      </c>
      <c r="AH30" s="58">
        <f t="shared" si="19"/>
        <v>-3.0431287724372875E-2</v>
      </c>
      <c r="AI30" s="52">
        <f>'FY 2013 by Agency'!AI30*Inflator!$B$8</f>
        <v>0</v>
      </c>
      <c r="AJ30" s="52">
        <f>'FY 2013 by Agency'!AJ30*Inflator!$B$8</f>
        <v>0</v>
      </c>
      <c r="AK30" s="52">
        <f>'FY 2013 by Agency'!AK30</f>
        <v>1970</v>
      </c>
      <c r="AL30" s="52">
        <f>'FY 2013 by Agency'!AL30</f>
        <v>0</v>
      </c>
      <c r="AM30" s="52">
        <f>'FY 2013 by Agency'!AM30</f>
        <v>1970</v>
      </c>
      <c r="AN30" s="52">
        <f>'FY 2013 by Agency'!AN30</f>
        <v>0</v>
      </c>
      <c r="AO30" s="52">
        <f>'FY 2013 by Agency'!AO30</f>
        <v>0</v>
      </c>
      <c r="AP30" s="52">
        <f>'FY 2013 by Agency'!AP30</f>
        <v>0</v>
      </c>
      <c r="AQ30" s="52">
        <f>'FY 2013 by Agency'!AQ30</f>
        <v>0</v>
      </c>
      <c r="AR30" s="52">
        <f>'FY 2013 by Agency'!AR30</f>
        <v>0</v>
      </c>
      <c r="AS30" s="52">
        <f>'FY 2013 by Agency'!AS30</f>
        <v>1115.5742499999999</v>
      </c>
      <c r="AT30" s="52" t="e">
        <f t="shared" si="20"/>
        <v>#REF!</v>
      </c>
      <c r="AU30" s="58" t="e">
        <f t="shared" si="21"/>
        <v>#REF!</v>
      </c>
      <c r="AV30" s="52">
        <f t="shared" si="22"/>
        <v>-750.55795551378469</v>
      </c>
      <c r="AW30" s="58">
        <f t="shared" si="23"/>
        <v>-0.40219977625172632</v>
      </c>
      <c r="AX30" s="281" t="s">
        <v>272</v>
      </c>
      <c r="AY30" s="282">
        <v>1307</v>
      </c>
      <c r="AZ30" s="282">
        <f t="shared" si="24"/>
        <v>1307</v>
      </c>
      <c r="BA30" s="282">
        <f t="shared" si="25"/>
        <v>556.44204448621531</v>
      </c>
      <c r="BB30" s="282">
        <f t="shared" si="26"/>
        <v>2422.5742499999997</v>
      </c>
      <c r="BC30" s="58">
        <f t="shared" si="27"/>
        <v>0.29817932665334124</v>
      </c>
      <c r="BD30" s="294">
        <v>0</v>
      </c>
      <c r="BE30" s="51">
        <f t="shared" si="5"/>
        <v>0</v>
      </c>
      <c r="BI30" s="219">
        <v>1287</v>
      </c>
      <c r="BJ30" s="282">
        <f t="shared" si="28"/>
        <v>-20</v>
      </c>
      <c r="BK30" s="65">
        <f t="shared" si="29"/>
        <v>1287</v>
      </c>
      <c r="BL30" s="569">
        <f>'FY 2013 by Agency'!AS30*Inflator!$E$13</f>
        <v>1156.7657313091242</v>
      </c>
      <c r="BM30" s="52">
        <f t="shared" si="30"/>
        <v>-709.36647420466034</v>
      </c>
      <c r="BN30" s="51">
        <f t="shared" si="31"/>
        <v>-0.38012659130404813</v>
      </c>
      <c r="BO30" s="52">
        <f>'FY 2013 by Agency'!AX30*Inflator!$E$13</f>
        <v>1334.5212084223376</v>
      </c>
      <c r="BP30" s="52">
        <f t="shared" si="32"/>
        <v>-531.61099709144696</v>
      </c>
      <c r="BQ30" s="51">
        <f t="shared" si="33"/>
        <v>-0.28487317003624807</v>
      </c>
      <c r="BR30" s="52">
        <f>'FY 2013 by Agency'!BE30*Inflator!$E$14</f>
        <v>1379.8984771573605</v>
      </c>
      <c r="BS30" s="52">
        <f t="shared" si="34"/>
        <v>45.377268735022881</v>
      </c>
      <c r="BT30" s="51">
        <f t="shared" si="35"/>
        <v>3.4002658368140586E-2</v>
      </c>
      <c r="BU30" s="52">
        <f>'FY 2013 by Agency'!BL30*Inflator!$E$14</f>
        <v>1398.1618393550314</v>
      </c>
      <c r="BV30" s="10">
        <f t="shared" si="36"/>
        <v>241.39610804590711</v>
      </c>
      <c r="BW30" s="39">
        <v>1383</v>
      </c>
      <c r="BX30" s="39">
        <f>'FY 2013 by Agency'!BV30*Inflator!E15</f>
        <v>1742.453</v>
      </c>
      <c r="BY30" s="39">
        <f t="shared" si="37"/>
        <v>3.101522842639497</v>
      </c>
      <c r="BZ30" s="51">
        <f t="shared" si="38"/>
        <v>2.2476456739257684E-3</v>
      </c>
      <c r="CB30" s="39"/>
    </row>
    <row r="31" spans="1:80" ht="18" customHeight="1">
      <c r="A31" s="53" t="s">
        <v>7</v>
      </c>
      <c r="B31" s="326">
        <f>'FY 2013 by Agency'!B31*Inflator!$E$2</f>
        <v>497.23524720893147</v>
      </c>
      <c r="C31" s="326">
        <f>'FY 2013 by Agency'!C31*Inflator!$E$3</f>
        <v>481.86476043276667</v>
      </c>
      <c r="D31" s="326">
        <f t="shared" si="6"/>
        <v>-15.370486776164796</v>
      </c>
      <c r="E31" s="355">
        <f t="shared" si="7"/>
        <v>-3.0911901081916517E-2</v>
      </c>
      <c r="F31" s="10">
        <f>'FY 2013 by Agency'!F31*Inflator!$E$4</f>
        <v>474.71107727445758</v>
      </c>
      <c r="G31" s="10">
        <f t="shared" si="8"/>
        <v>-7.153683158309093</v>
      </c>
      <c r="H31" s="14">
        <f t="shared" si="9"/>
        <v>-1.4845831747240266E-2</v>
      </c>
      <c r="I31" s="10">
        <f>'FY 2013 by Agency'!I31*Inflator!$E$5</f>
        <v>501.6757158795092</v>
      </c>
      <c r="J31" s="10">
        <f t="shared" si="10"/>
        <v>26.964638605051618</v>
      </c>
      <c r="K31" s="14">
        <f t="shared" si="11"/>
        <v>5.6802210641193486E-2</v>
      </c>
      <c r="L31" s="10">
        <f>'FY 2013 by Agency'!L31*Inflator!$E$6</f>
        <v>521.24900036350414</v>
      </c>
      <c r="M31" s="10">
        <f t="shared" si="12"/>
        <v>19.573284483994939</v>
      </c>
      <c r="N31" s="14">
        <f t="shared" si="13"/>
        <v>3.9015810142773555E-2</v>
      </c>
      <c r="O31" s="10">
        <f>'FY 2013 by Agency'!O31*Inflator!$E$7</f>
        <v>514.30482224568811</v>
      </c>
      <c r="P31" s="52">
        <f t="shared" si="14"/>
        <v>-6.9441781178160227</v>
      </c>
      <c r="Q31" s="58">
        <f t="shared" si="0"/>
        <v>-1.3322189803670321E-2</v>
      </c>
      <c r="R31" s="52">
        <f>'FY 2013 by Agency'!R31*Inflator!$E$8</f>
        <v>507.50848608282411</v>
      </c>
      <c r="S31" s="52">
        <f t="shared" si="1"/>
        <v>-6.7963361628640087</v>
      </c>
      <c r="T31" s="58">
        <f t="shared" si="2"/>
        <v>-1.3214607114100394E-2</v>
      </c>
      <c r="U31" s="52">
        <f>'FY 2013 by Agency'!U31*Inflator!$E$9</f>
        <v>474.32294429708219</v>
      </c>
      <c r="V31" s="52">
        <f t="shared" si="15"/>
        <v>-33.185541785741918</v>
      </c>
      <c r="W31" s="58">
        <f t="shared" si="16"/>
        <v>-6.5389136725343591E-2</v>
      </c>
      <c r="X31" s="52">
        <f>'FY 2013 by Agency'!X31*Inflator!$E$10</f>
        <v>411.12670689107659</v>
      </c>
      <c r="Y31" s="39">
        <f t="shared" si="17"/>
        <v>-63.196237406005594</v>
      </c>
      <c r="Z31" s="58">
        <f t="shared" si="40"/>
        <v>-0.13323462034850239</v>
      </c>
      <c r="AA31" s="52">
        <f>'FY 2013 by Agency'!AA31*Inflator!$E$11</f>
        <v>428.67410003185734</v>
      </c>
      <c r="AB31" s="39">
        <f t="shared" si="3"/>
        <v>17.547393140780741</v>
      </c>
      <c r="AC31" s="58">
        <f t="shared" si="4"/>
        <v>4.2681229038788099E-2</v>
      </c>
      <c r="AD31" s="52" t="e">
        <f>'FY 2013 by Agency'!AD31*Inflator!#REF!</f>
        <v>#REF!</v>
      </c>
      <c r="AE31" s="52">
        <f>'FY 2013 by Agency'!AE31*Inflator!$B$8</f>
        <v>0</v>
      </c>
      <c r="AF31" s="52">
        <f>'FY 2013 by Agency'!AF31*Inflator!$E$12</f>
        <v>421.55639097744364</v>
      </c>
      <c r="AG31" s="52">
        <f t="shared" si="18"/>
        <v>-7.1177090544136945</v>
      </c>
      <c r="AH31" s="58">
        <f t="shared" si="19"/>
        <v>-1.6604010025062711E-2</v>
      </c>
      <c r="AI31" s="52">
        <f>'FY 2013 by Agency'!AI31*Inflator!$B$8</f>
        <v>0</v>
      </c>
      <c r="AJ31" s="52">
        <f>'FY 2013 by Agency'!AJ31*Inflator!$B$8</f>
        <v>0</v>
      </c>
      <c r="AK31" s="52">
        <f>'FY 2013 by Agency'!AK31</f>
        <v>396</v>
      </c>
      <c r="AL31" s="52">
        <f>'FY 2013 by Agency'!AL31</f>
        <v>0</v>
      </c>
      <c r="AM31" s="52">
        <f>'FY 2013 by Agency'!AM31</f>
        <v>396</v>
      </c>
      <c r="AN31" s="52">
        <f>'FY 2013 by Agency'!AN31</f>
        <v>396</v>
      </c>
      <c r="AO31" s="52">
        <f>'FY 2013 by Agency'!AO31</f>
        <v>396</v>
      </c>
      <c r="AP31" s="52">
        <f>'FY 2013 by Agency'!AP31</f>
        <v>0</v>
      </c>
      <c r="AQ31" s="52">
        <f>'FY 2013 by Agency'!AQ31</f>
        <v>0</v>
      </c>
      <c r="AR31" s="52">
        <f>'FY 2013 by Agency'!AR31</f>
        <v>0</v>
      </c>
      <c r="AS31" s="52">
        <f>'FY 2013 by Agency'!AS31</f>
        <v>494.92874999999998</v>
      </c>
      <c r="AT31" s="52" t="e">
        <f t="shared" si="20"/>
        <v>#REF!</v>
      </c>
      <c r="AU31" s="58" t="e">
        <f t="shared" si="21"/>
        <v>#REF!</v>
      </c>
      <c r="AV31" s="52">
        <f t="shared" si="22"/>
        <v>73.372359022556338</v>
      </c>
      <c r="AW31" s="58">
        <f t="shared" si="23"/>
        <v>0.17405111295414402</v>
      </c>
      <c r="AX31" s="281" t="s">
        <v>273</v>
      </c>
      <c r="AY31" s="282">
        <v>396</v>
      </c>
      <c r="AZ31" s="282">
        <f t="shared" si="24"/>
        <v>0</v>
      </c>
      <c r="BA31" s="282">
        <f t="shared" si="25"/>
        <v>73.372359022556338</v>
      </c>
      <c r="BB31" s="282">
        <f t="shared" si="26"/>
        <v>494.92874999999998</v>
      </c>
      <c r="BC31" s="58">
        <f t="shared" si="27"/>
        <v>0.17405111295414399</v>
      </c>
      <c r="BD31" s="294">
        <v>0</v>
      </c>
      <c r="BE31" s="51">
        <f t="shared" si="5"/>
        <v>0</v>
      </c>
      <c r="BI31" s="219">
        <v>396</v>
      </c>
      <c r="BJ31" s="282">
        <f t="shared" si="28"/>
        <v>0</v>
      </c>
      <c r="BK31" s="65">
        <f t="shared" si="29"/>
        <v>396</v>
      </c>
      <c r="BL31" s="569">
        <f>'FY 2013 by Agency'!AS31*Inflator!$E$13</f>
        <v>513.20350701861469</v>
      </c>
      <c r="BM31" s="52">
        <f t="shared" si="30"/>
        <v>91.647116041171046</v>
      </c>
      <c r="BN31" s="51">
        <f t="shared" si="31"/>
        <v>0.21740179487890823</v>
      </c>
      <c r="BO31" s="52">
        <f>'FY 2013 by Agency'!AX31*Inflator!$E$13</f>
        <v>410.62191028379624</v>
      </c>
      <c r="BP31" s="52">
        <f t="shared" si="32"/>
        <v>-10.934480693647401</v>
      </c>
      <c r="BQ31" s="51">
        <f t="shared" si="33"/>
        <v>-2.5938358254500943E-2</v>
      </c>
      <c r="BR31" s="52">
        <f>'FY 2013 by Agency'!BE31*Inflator!$E$14</f>
        <v>401.79396834876087</v>
      </c>
      <c r="BS31" s="52">
        <f t="shared" si="34"/>
        <v>-8.8279419350353692</v>
      </c>
      <c r="BT31" s="51">
        <f t="shared" si="35"/>
        <v>-2.1498954911914094E-2</v>
      </c>
      <c r="BU31" s="52">
        <f>'FY 2013 by Agency'!BL31*Inflator!$E$14</f>
        <v>401.79396834876087</v>
      </c>
      <c r="BV31" s="10">
        <f t="shared" si="36"/>
        <v>-111.40953866985382</v>
      </c>
      <c r="BW31" s="39">
        <v>408</v>
      </c>
      <c r="BX31" s="39">
        <f>'FY 2013 by Agency'!BV31*Inflator!E15</f>
        <v>408</v>
      </c>
      <c r="BY31" s="39">
        <f t="shared" si="37"/>
        <v>6.2060316512391296</v>
      </c>
      <c r="BZ31" s="51">
        <f t="shared" si="38"/>
        <v>1.5445805910785194E-2</v>
      </c>
      <c r="CB31" s="39"/>
    </row>
    <row r="32" spans="1:80" ht="18" customHeight="1">
      <c r="A32" s="53" t="s">
        <v>213</v>
      </c>
      <c r="B32" s="326">
        <f>'FY 2013 by Agency'!B32*Inflator!$E$2</f>
        <v>54060.445773524727</v>
      </c>
      <c r="C32" s="326">
        <f>'FY 2013 by Agency'!C32*Inflator!$E$3</f>
        <v>42372.587326120556</v>
      </c>
      <c r="D32" s="326">
        <f t="shared" si="6"/>
        <v>-11687.858447404171</v>
      </c>
      <c r="E32" s="355">
        <f t="shared" si="7"/>
        <v>-0.21619981633832772</v>
      </c>
      <c r="F32" s="10">
        <f>'FY 2013 by Agency'!F32*Inflator!$E$4</f>
        <v>54269.6947087933</v>
      </c>
      <c r="G32" s="10">
        <f t="shared" si="8"/>
        <v>11897.107382672744</v>
      </c>
      <c r="H32" s="14">
        <f t="shared" si="9"/>
        <v>0.28077368254873547</v>
      </c>
      <c r="I32" s="10">
        <f>'FY 2013 by Agency'!I32*Inflator!$E$5</f>
        <v>39102.905169207894</v>
      </c>
      <c r="J32" s="10">
        <f t="shared" si="10"/>
        <v>-15166.789539585407</v>
      </c>
      <c r="K32" s="14">
        <f t="shared" si="11"/>
        <v>-0.27947069945702008</v>
      </c>
      <c r="L32" s="10">
        <f>'FY 2013 by Agency'!L32*Inflator!$E$6</f>
        <v>41383.712104689199</v>
      </c>
      <c r="M32" s="10">
        <f t="shared" si="12"/>
        <v>2280.8069354813051</v>
      </c>
      <c r="N32" s="14">
        <f t="shared" si="13"/>
        <v>5.832832434346482E-2</v>
      </c>
      <c r="O32" s="10">
        <f>'FY 2013 by Agency'!O32*Inflator!$E$7</f>
        <v>47656.920098556839</v>
      </c>
      <c r="P32" s="52">
        <f t="shared" si="14"/>
        <v>6273.2079938676397</v>
      </c>
      <c r="Q32" s="58">
        <f t="shared" si="0"/>
        <v>0.1515864013841528</v>
      </c>
      <c r="R32" s="52">
        <f>'FY 2013 by Agency'!R32*Inflator!$E$8</f>
        <v>51946.953835709435</v>
      </c>
      <c r="S32" s="52">
        <f t="shared" si="1"/>
        <v>4290.0337371525966</v>
      </c>
      <c r="T32" s="58">
        <f t="shared" si="2"/>
        <v>9.0019114291913893E-2</v>
      </c>
      <c r="U32" s="52">
        <f>'FY 2013 by Agency'!U32*Inflator!$E$9</f>
        <v>66123.547745358082</v>
      </c>
      <c r="V32" s="52">
        <f t="shared" si="15"/>
        <v>14176.593909648647</v>
      </c>
      <c r="W32" s="58">
        <f t="shared" si="16"/>
        <v>0.27290520161171333</v>
      </c>
      <c r="X32" s="52">
        <f>'FY 2013 by Agency'!X32*Inflator!$E$10</f>
        <v>71013.775801841868</v>
      </c>
      <c r="Y32" s="39">
        <f t="shared" si="17"/>
        <v>4890.2280564837856</v>
      </c>
      <c r="Z32" s="58">
        <f t="shared" si="40"/>
        <v>7.3955923770395143E-2</v>
      </c>
      <c r="AA32" s="52">
        <f>'FY 2013 by Agency'!AA32*Inflator!$E$11</f>
        <v>74143.299139853465</v>
      </c>
      <c r="AB32" s="39">
        <f t="shared" si="3"/>
        <v>3129.5233380115969</v>
      </c>
      <c r="AC32" s="58">
        <f t="shared" si="4"/>
        <v>4.4069242941598766E-2</v>
      </c>
      <c r="AD32" s="52" t="e">
        <f>'FY 2013 by Agency'!AD32*Inflator!#REF!</f>
        <v>#REF!</v>
      </c>
      <c r="AE32" s="52">
        <f>'FY 2013 by Agency'!AE32*Inflator!$B$8</f>
        <v>0</v>
      </c>
      <c r="AF32" s="52">
        <f>'FY 2013 by Agency'!AF32*Inflator!$E$12</f>
        <v>63714.62907268171</v>
      </c>
      <c r="AG32" s="52">
        <f t="shared" si="18"/>
        <v>-10428.670067171755</v>
      </c>
      <c r="AH32" s="58">
        <f t="shared" si="19"/>
        <v>-0.14065559785113665</v>
      </c>
      <c r="AI32" s="52">
        <f>'FY 2013 by Agency'!AI32*Inflator!$B$8</f>
        <v>0</v>
      </c>
      <c r="AJ32" s="52">
        <f>'FY 2013 by Agency'!AJ32*Inflator!$B$8</f>
        <v>0</v>
      </c>
      <c r="AK32" s="52">
        <f>'FY 2013 by Agency'!AK32</f>
        <v>57749</v>
      </c>
      <c r="AL32" s="52">
        <f>'FY 2013 by Agency'!AL32</f>
        <v>1900</v>
      </c>
      <c r="AM32" s="52">
        <f>'FY 2013 by Agency'!AM32</f>
        <v>59649</v>
      </c>
      <c r="AN32" s="52">
        <f>'FY 2013 by Agency'!AN32</f>
        <v>53365</v>
      </c>
      <c r="AO32" s="52">
        <f>'FY 2013 by Agency'!AO32</f>
        <v>62004</v>
      </c>
      <c r="AP32" s="52">
        <f>'FY 2013 by Agency'!AP32</f>
        <v>0</v>
      </c>
      <c r="AQ32" s="52">
        <f>'FY 2013 by Agency'!AQ32</f>
        <v>195</v>
      </c>
      <c r="AR32" s="52">
        <f>'FY 2013 by Agency'!AR32</f>
        <v>195</v>
      </c>
      <c r="AS32" s="52">
        <f>'FY 2013 by Agency'!AS32</f>
        <v>54722.822670000001</v>
      </c>
      <c r="AT32" s="52" t="e">
        <f t="shared" si="20"/>
        <v>#REF!</v>
      </c>
      <c r="AU32" s="58" t="e">
        <f t="shared" si="21"/>
        <v>#REF!</v>
      </c>
      <c r="AV32" s="52">
        <f t="shared" si="22"/>
        <v>-8991.8064026817083</v>
      </c>
      <c r="AW32" s="58">
        <f t="shared" si="23"/>
        <v>-0.14112624578610372</v>
      </c>
      <c r="AX32" s="281" t="s">
        <v>275</v>
      </c>
      <c r="AY32" s="282">
        <v>60741.973420000002</v>
      </c>
      <c r="AZ32" s="282">
        <f t="shared" si="24"/>
        <v>-1262.0265799999979</v>
      </c>
      <c r="BA32" s="282">
        <f t="shared" si="25"/>
        <v>-10253.832982681706</v>
      </c>
      <c r="BB32" s="282">
        <f>+AZ32+AS32+AY38</f>
        <v>56739.796090000003</v>
      </c>
      <c r="BC32" s="58">
        <f t="shared" si="27"/>
        <v>-0.10946988288553394</v>
      </c>
      <c r="BD32" s="294">
        <v>394.16899999999998</v>
      </c>
      <c r="BE32" s="51">
        <f t="shared" si="5"/>
        <v>6.4892359896594216E-3</v>
      </c>
      <c r="BF32" s="50">
        <f>1700+903</f>
        <v>2603</v>
      </c>
      <c r="BG32" s="50">
        <v>483</v>
      </c>
      <c r="BI32" s="219">
        <v>58313</v>
      </c>
      <c r="BJ32" s="282">
        <f t="shared" si="28"/>
        <v>-2428.9734200000021</v>
      </c>
      <c r="BK32" s="65">
        <f t="shared" si="29"/>
        <v>58508</v>
      </c>
      <c r="BL32" s="569">
        <f>'FY 2013 by Agency'!AS32*Inflator!$E$13</f>
        <v>56743.409042618259</v>
      </c>
      <c r="BM32" s="52">
        <f t="shared" si="30"/>
        <v>-6971.2200300634504</v>
      </c>
      <c r="BN32" s="51">
        <f t="shared" si="31"/>
        <v>-0.10941317765675311</v>
      </c>
      <c r="BO32" s="52">
        <f>'FY 2013 by Agency'!AX32*Inflator!$E$13</f>
        <v>60466.150137320728</v>
      </c>
      <c r="BP32" s="52">
        <f t="shared" si="32"/>
        <v>-3248.4789353609813</v>
      </c>
      <c r="BQ32" s="51">
        <f t="shared" si="33"/>
        <v>-5.0984820639155215E-2</v>
      </c>
      <c r="BR32" s="52">
        <f>'FY 2013 by Agency'!BE32*Inflator!$E$14</f>
        <v>59137.781427291731</v>
      </c>
      <c r="BS32" s="52">
        <f t="shared" si="34"/>
        <v>-1328.3687100289972</v>
      </c>
      <c r="BT32" s="51">
        <f t="shared" si="35"/>
        <v>-2.1968799187846846E-2</v>
      </c>
      <c r="BU32" s="52">
        <f>'FY 2013 by Agency'!BL32*Inflator!$E$14</f>
        <v>59137.781427291731</v>
      </c>
      <c r="BV32" s="10">
        <f t="shared" si="36"/>
        <v>2394.372384673472</v>
      </c>
      <c r="BW32" s="495">
        <v>59800</v>
      </c>
      <c r="BX32" s="39">
        <f>'FY 2013 by Agency'!BV32*Inflator!E15</f>
        <v>62521.267</v>
      </c>
      <c r="BY32" s="39">
        <f t="shared" si="37"/>
        <v>662.21857270826877</v>
      </c>
      <c r="BZ32" s="51">
        <f t="shared" si="38"/>
        <v>1.1197893406306562E-2</v>
      </c>
      <c r="CB32" s="39"/>
    </row>
    <row r="33" spans="1:81" s="63" customFormat="1" ht="18" customHeight="1">
      <c r="A33" s="53" t="s">
        <v>72</v>
      </c>
      <c r="B33" s="326">
        <f>'FY 2013 by Agency'!B33*Inflator!$E$2</f>
        <v>10968.982456140351</v>
      </c>
      <c r="C33" s="326">
        <f>'FY 2013 by Agency'!C33*Inflator!$E$3</f>
        <v>14013.467542503864</v>
      </c>
      <c r="D33" s="326">
        <f t="shared" si="6"/>
        <v>3044.4850863635129</v>
      </c>
      <c r="E33" s="355">
        <f t="shared" si="7"/>
        <v>0.27755401182716211</v>
      </c>
      <c r="F33" s="10">
        <f>'FY 2013 by Agency'!F33*Inflator!$E$4</f>
        <v>13686.424819185382</v>
      </c>
      <c r="G33" s="10">
        <f t="shared" si="8"/>
        <v>-327.04272331848188</v>
      </c>
      <c r="H33" s="14">
        <f t="shared" si="9"/>
        <v>-2.3337744375297374E-2</v>
      </c>
      <c r="I33" s="10">
        <f>'FY 2013 by Agency'!I33*Inflator!$E$5</f>
        <v>12474.91855708442</v>
      </c>
      <c r="J33" s="10">
        <f t="shared" si="10"/>
        <v>-1211.506262100962</v>
      </c>
      <c r="K33" s="14">
        <f t="shared" si="11"/>
        <v>-8.8518826363090414E-2</v>
      </c>
      <c r="L33" s="10">
        <f>'FY 2013 by Agency'!L33*Inflator!$E$6</f>
        <v>10752.304616503088</v>
      </c>
      <c r="M33" s="10">
        <f t="shared" si="12"/>
        <v>-1722.6139405813319</v>
      </c>
      <c r="N33" s="14">
        <f t="shared" si="13"/>
        <v>-0.13808618731246716</v>
      </c>
      <c r="O33" s="10">
        <f>'FY 2013 by Agency'!O33*Inflator!$E$7</f>
        <v>11949.812741992255</v>
      </c>
      <c r="P33" s="69">
        <f t="shared" si="14"/>
        <v>1197.5081254891666</v>
      </c>
      <c r="Q33" s="72">
        <f t="shared" si="0"/>
        <v>0.11137222839196546</v>
      </c>
      <c r="R33" s="52">
        <f>'FY 2013 by Agency'!R33*Inflator!$E$8</f>
        <v>13009.518669382212</v>
      </c>
      <c r="S33" s="69">
        <f t="shared" si="1"/>
        <v>1059.7059273899577</v>
      </c>
      <c r="T33" s="72">
        <f t="shared" si="2"/>
        <v>8.8679709905921514E-2</v>
      </c>
      <c r="U33" s="52">
        <f>'FY 2013 by Agency'!U33*Inflator!$E$9</f>
        <v>13931.124005305039</v>
      </c>
      <c r="V33" s="69">
        <f t="shared" si="15"/>
        <v>921.60533592282627</v>
      </c>
      <c r="W33" s="72">
        <f t="shared" si="16"/>
        <v>7.0840848100846066E-2</v>
      </c>
      <c r="X33" s="52">
        <f>'FY 2013 by Agency'!X33*Inflator!$E$10</f>
        <v>16063.076532232457</v>
      </c>
      <c r="Y33" s="39">
        <f t="shared" si="17"/>
        <v>2131.9525269274181</v>
      </c>
      <c r="Z33" s="72">
        <f t="shared" si="40"/>
        <v>0.15303521281668014</v>
      </c>
      <c r="AA33" s="52">
        <f>'FY 2013 by Agency'!AA33*Inflator!$E$11</f>
        <v>16083.938834023576</v>
      </c>
      <c r="AB33" s="39">
        <f t="shared" si="3"/>
        <v>20.862301791119535</v>
      </c>
      <c r="AC33" s="58">
        <f t="shared" si="4"/>
        <v>1.2987737280126174E-3</v>
      </c>
      <c r="AD33" s="52" t="e">
        <f>'FY 2013 by Agency'!AD33*Inflator!#REF!</f>
        <v>#REF!</v>
      </c>
      <c r="AE33" s="52">
        <f>'FY 2013 by Agency'!AE33*Inflator!$B$8</f>
        <v>0</v>
      </c>
      <c r="AF33" s="52">
        <f>'FY 2013 by Agency'!AF33*Inflator!$E$12</f>
        <v>15840.3007518797</v>
      </c>
      <c r="AG33" s="52">
        <f t="shared" si="18"/>
        <v>-243.63808214387609</v>
      </c>
      <c r="AH33" s="58">
        <f t="shared" si="19"/>
        <v>-1.5147911507129706E-2</v>
      </c>
      <c r="AI33" s="52">
        <f>'FY 2013 by Agency'!AI33*Inflator!$B$8</f>
        <v>0</v>
      </c>
      <c r="AJ33" s="52">
        <f>'FY 2013 by Agency'!AJ33*Inflator!$B$8</f>
        <v>0</v>
      </c>
      <c r="AK33" s="52">
        <f>'FY 2013 by Agency'!AK33</f>
        <v>14331</v>
      </c>
      <c r="AL33" s="52">
        <f>'FY 2013 by Agency'!AL33</f>
        <v>0</v>
      </c>
      <c r="AM33" s="52">
        <f>'FY 2013 by Agency'!AM33</f>
        <v>14331</v>
      </c>
      <c r="AN33" s="52">
        <f>'FY 2013 by Agency'!AN33</f>
        <v>13567</v>
      </c>
      <c r="AO33" s="52">
        <f>'FY 2013 by Agency'!AO33</f>
        <v>13567</v>
      </c>
      <c r="AP33" s="52">
        <f>'FY 2013 by Agency'!AP33</f>
        <v>593</v>
      </c>
      <c r="AQ33" s="52">
        <f>'FY 2013 by Agency'!AQ33</f>
        <v>0</v>
      </c>
      <c r="AR33" s="52">
        <f>'FY 2013 by Agency'!AR33</f>
        <v>593</v>
      </c>
      <c r="AS33" s="52">
        <f>'FY 2013 by Agency'!AS33</f>
        <v>12993.86816</v>
      </c>
      <c r="AT33" s="52" t="e">
        <f t="shared" si="20"/>
        <v>#REF!</v>
      </c>
      <c r="AU33" s="58" t="e">
        <f t="shared" si="21"/>
        <v>#REF!</v>
      </c>
      <c r="AV33" s="52">
        <f t="shared" si="22"/>
        <v>-2846.4325918797003</v>
      </c>
      <c r="AW33" s="58">
        <f t="shared" si="23"/>
        <v>-0.17969561540944395</v>
      </c>
      <c r="AX33" s="281" t="s">
        <v>277</v>
      </c>
      <c r="AY33" s="282">
        <v>13925.127259999999</v>
      </c>
      <c r="AZ33" s="282">
        <f t="shared" si="24"/>
        <v>358.1272599999993</v>
      </c>
      <c r="BA33" s="282">
        <f t="shared" si="25"/>
        <v>-2488.305331879701</v>
      </c>
      <c r="BB33" s="282">
        <f t="shared" si="26"/>
        <v>13351.995419999999</v>
      </c>
      <c r="BC33" s="58">
        <f t="shared" si="27"/>
        <v>-0.15708700048415591</v>
      </c>
      <c r="BD33" s="294">
        <v>0</v>
      </c>
      <c r="BE33" s="51">
        <f t="shared" si="5"/>
        <v>0</v>
      </c>
      <c r="BF33" s="63">
        <v>1120</v>
      </c>
      <c r="BI33" s="244">
        <v>13329</v>
      </c>
      <c r="BJ33" s="282">
        <f t="shared" si="28"/>
        <v>-596.1272599999993</v>
      </c>
      <c r="BK33" s="65">
        <f t="shared" si="29"/>
        <v>13922</v>
      </c>
      <c r="BL33" s="569">
        <f>'FY 2013 by Agency'!AS33*Inflator!$E$13</f>
        <v>13473.653954128778</v>
      </c>
      <c r="BM33" s="52">
        <f t="shared" si="30"/>
        <v>-2366.6467977509219</v>
      </c>
      <c r="BN33" s="51">
        <f t="shared" si="31"/>
        <v>-0.14940668329609097</v>
      </c>
      <c r="BO33" s="52">
        <f>'FY 2013 by Agency'!AX33*Inflator!$E$13</f>
        <v>13821.160207506868</v>
      </c>
      <c r="BP33" s="52">
        <f t="shared" si="32"/>
        <v>-2019.1405443728327</v>
      </c>
      <c r="BQ33" s="51">
        <f t="shared" si="33"/>
        <v>-0.12746857373482823</v>
      </c>
      <c r="BR33" s="52">
        <f>'FY 2013 by Agency'!BE33*Inflator!$E$14</f>
        <v>13238.90833084503</v>
      </c>
      <c r="BS33" s="52">
        <f t="shared" si="34"/>
        <v>-582.25187666183774</v>
      </c>
      <c r="BT33" s="51">
        <f t="shared" si="35"/>
        <v>-4.2127568736638449E-2</v>
      </c>
      <c r="BU33" s="69">
        <f>'FY 2013 by Agency'!BL33*Inflator!$E$14</f>
        <v>14696.933412959093</v>
      </c>
      <c r="BV33" s="10">
        <f t="shared" si="36"/>
        <v>1223.279458830315</v>
      </c>
      <c r="BW33" s="495">
        <v>13308</v>
      </c>
      <c r="BX33" s="39">
        <f>'FY 2013 by Agency'!BV33*Inflator!E15</f>
        <v>15139.881000000001</v>
      </c>
      <c r="BY33" s="39">
        <f t="shared" si="37"/>
        <v>69.091669154970077</v>
      </c>
      <c r="BZ33" s="51">
        <f t="shared" si="38"/>
        <v>5.2188343198959217E-3</v>
      </c>
      <c r="CB33" s="39"/>
    </row>
    <row r="34" spans="1:81" s="63" customFormat="1" ht="18" customHeight="1">
      <c r="A34" s="53" t="s">
        <v>73</v>
      </c>
      <c r="B34" s="326">
        <f>'FY 2013 by Agency'!B34*Inflator!$E$2</f>
        <v>104812.31259968103</v>
      </c>
      <c r="C34" s="326">
        <f>'FY 2013 by Agency'!C34*Inflator!$E$3</f>
        <v>110901.10896445133</v>
      </c>
      <c r="D34" s="326">
        <f t="shared" si="6"/>
        <v>6088.7963647703</v>
      </c>
      <c r="E34" s="355">
        <f t="shared" si="7"/>
        <v>5.8092376875852177E-2</v>
      </c>
      <c r="F34" s="10">
        <f>'FY 2013 by Agency'!F34*Inflator!$E$4</f>
        <v>104179.03235629997</v>
      </c>
      <c r="G34" s="10">
        <f t="shared" si="8"/>
        <v>-6722.0766081513575</v>
      </c>
      <c r="H34" s="14">
        <f t="shared" si="9"/>
        <v>-6.0613249686313576E-2</v>
      </c>
      <c r="I34" s="10">
        <f>'FY 2013 by Agency'!I34*Inflator!$E$5</f>
        <v>100993.51357381928</v>
      </c>
      <c r="J34" s="10">
        <f t="shared" si="10"/>
        <v>-3185.5187824806926</v>
      </c>
      <c r="K34" s="14">
        <f t="shared" si="11"/>
        <v>-3.0577350455569443E-2</v>
      </c>
      <c r="L34" s="10">
        <f>'FY 2013 by Agency'!L34*Inflator!$E$6</f>
        <v>105118.13667757178</v>
      </c>
      <c r="M34" s="10">
        <f t="shared" si="12"/>
        <v>4124.6231037524994</v>
      </c>
      <c r="N34" s="14">
        <f t="shared" si="13"/>
        <v>4.084047537110079E-2</v>
      </c>
      <c r="O34" s="10">
        <f>'FY 2013 by Agency'!O34*Inflator!$E$7</f>
        <v>126041.75923970432</v>
      </c>
      <c r="P34" s="69">
        <f t="shared" si="14"/>
        <v>20923.622562132543</v>
      </c>
      <c r="Q34" s="72">
        <f t="shared" si="0"/>
        <v>0.1990486439681807</v>
      </c>
      <c r="R34" s="52">
        <f>'FY 2013 by Agency'!R34*Inflator!$E$8</f>
        <v>137628.22742701968</v>
      </c>
      <c r="S34" s="69">
        <f t="shared" si="1"/>
        <v>11586.46818731536</v>
      </c>
      <c r="T34" s="72">
        <f t="shared" si="2"/>
        <v>9.1925630499018904E-2</v>
      </c>
      <c r="U34" s="52">
        <f>'FY 2013 by Agency'!U34*Inflator!$E$9</f>
        <v>150160.95490716179</v>
      </c>
      <c r="V34" s="69">
        <f t="shared" si="15"/>
        <v>12532.727480142115</v>
      </c>
      <c r="W34" s="69">
        <f t="shared" si="16"/>
        <v>9.1062187709914838E-2</v>
      </c>
      <c r="X34" s="52">
        <f>'FY 2013 by Agency'!X34*Inflator!$E$10</f>
        <v>141216.08891711658</v>
      </c>
      <c r="Y34" s="39">
        <f>X34-U34</f>
        <v>-8944.8659900452185</v>
      </c>
      <c r="Z34" s="58">
        <f t="shared" si="40"/>
        <v>-5.9568520961893544E-2</v>
      </c>
      <c r="AA34" s="52">
        <f>'FY 2013 by Agency'!AA34*Inflator!$E$11</f>
        <v>166536.64033131572</v>
      </c>
      <c r="AB34" s="39">
        <f t="shared" si="3"/>
        <v>25320.551414199144</v>
      </c>
      <c r="AC34" s="58">
        <f t="shared" si="4"/>
        <v>0.1793035879152583</v>
      </c>
      <c r="AD34" s="52" t="e">
        <f>'FY 2013 by Agency'!AD34*Inflator!#REF!</f>
        <v>#REF!</v>
      </c>
      <c r="AE34" s="52">
        <f>'FY 2013 by Agency'!AE34*Inflator!$B$8</f>
        <v>0</v>
      </c>
      <c r="AF34" s="52">
        <f>'FY 2013 by Agency'!AF34*Inflator!$E$12</f>
        <v>138780.40914786968</v>
      </c>
      <c r="AG34" s="52">
        <f t="shared" si="18"/>
        <v>-27756.231183446042</v>
      </c>
      <c r="AH34" s="58">
        <f t="shared" si="19"/>
        <v>-0.16666741401908017</v>
      </c>
      <c r="AI34" s="52">
        <f>'FY 2013 by Agency'!AI34*Inflator!$B$8</f>
        <v>0</v>
      </c>
      <c r="AJ34" s="52">
        <f>'FY 2013 by Agency'!AJ34*Inflator!$B$8</f>
        <v>0</v>
      </c>
      <c r="AK34" s="52">
        <f>'FY 2013 by Agency'!AK34</f>
        <v>109217</v>
      </c>
      <c r="AL34" s="52">
        <f>'FY 2013 by Agency'!AL34</f>
        <v>0</v>
      </c>
      <c r="AM34" s="52">
        <f>'FY 2013 by Agency'!AM34</f>
        <v>109217</v>
      </c>
      <c r="AN34" s="52">
        <f>'FY 2013 by Agency'!AN34</f>
        <v>87413</v>
      </c>
      <c r="AO34" s="52">
        <f>'FY 2013 by Agency'!AO34</f>
        <v>121453</v>
      </c>
      <c r="AP34" s="52">
        <f>'FY 2013 by Agency'!AP34</f>
        <v>14702</v>
      </c>
      <c r="AQ34" s="52">
        <f>'FY 2013 by Agency'!AQ34</f>
        <v>0</v>
      </c>
      <c r="AR34" s="52">
        <f>'FY 2013 by Agency'!AR34</f>
        <v>14702</v>
      </c>
      <c r="AS34" s="52">
        <f>'FY 2013 by Agency'!AS34</f>
        <v>118809.95961000001</v>
      </c>
      <c r="AT34" s="52" t="e">
        <f t="shared" si="20"/>
        <v>#REF!</v>
      </c>
      <c r="AU34" s="58" t="e">
        <f t="shared" si="21"/>
        <v>#REF!</v>
      </c>
      <c r="AV34" s="52">
        <f t="shared" si="22"/>
        <v>-19970.449537869674</v>
      </c>
      <c r="AW34" s="58">
        <f t="shared" si="23"/>
        <v>-0.14389963007380446</v>
      </c>
      <c r="AX34" s="281" t="s">
        <v>278</v>
      </c>
      <c r="AY34" s="282">
        <v>121887.09804</v>
      </c>
      <c r="AZ34" s="282">
        <f t="shared" si="24"/>
        <v>434.09803999999713</v>
      </c>
      <c r="BA34" s="282">
        <f t="shared" si="25"/>
        <v>-19536.351497869677</v>
      </c>
      <c r="BB34" s="282">
        <f t="shared" si="26"/>
        <v>119244.05765</v>
      </c>
      <c r="BC34" s="58">
        <f t="shared" si="27"/>
        <v>-0.14077168108831417</v>
      </c>
      <c r="BD34" s="294">
        <v>0</v>
      </c>
      <c r="BE34" s="51">
        <f t="shared" si="5"/>
        <v>0</v>
      </c>
      <c r="BF34" s="63">
        <v>861</v>
      </c>
      <c r="BH34" s="63">
        <v>56</v>
      </c>
      <c r="BI34" s="246">
        <v>121617</v>
      </c>
      <c r="BJ34" s="282">
        <f t="shared" si="28"/>
        <v>-270.09803999999713</v>
      </c>
      <c r="BK34" s="65">
        <f t="shared" si="29"/>
        <v>136319</v>
      </c>
      <c r="BL34" s="569">
        <f>'FY 2013 by Agency'!AS34*Inflator!$E$13</f>
        <v>123196.90044393655</v>
      </c>
      <c r="BM34" s="52">
        <f t="shared" si="30"/>
        <v>-15583.508703933127</v>
      </c>
      <c r="BN34" s="51">
        <f t="shared" si="31"/>
        <v>-0.11228896642990145</v>
      </c>
      <c r="BO34" s="52">
        <f>'FY 2013 by Agency'!AX34*Inflator!$E$13</f>
        <v>126107.58803783951</v>
      </c>
      <c r="BP34" s="52">
        <f t="shared" si="32"/>
        <v>-12672.821110030171</v>
      </c>
      <c r="BQ34" s="51">
        <f t="shared" si="33"/>
        <v>-9.131563444612241E-2</v>
      </c>
      <c r="BR34" s="52">
        <f>'FY 2013 by Agency'!BE34*Inflator!$E$14</f>
        <v>121323.5150791281</v>
      </c>
      <c r="BS34" s="52">
        <f t="shared" si="34"/>
        <v>-4784.0729587114038</v>
      </c>
      <c r="BT34" s="51">
        <f t="shared" si="35"/>
        <v>-3.7936440091740617E-2</v>
      </c>
      <c r="BU34" s="69">
        <f>'FY 2013 by Agency'!BL34*Inflator!$E$14</f>
        <v>138803.58196476562</v>
      </c>
      <c r="BV34" s="10">
        <f t="shared" si="36"/>
        <v>15606.681520829065</v>
      </c>
      <c r="BW34" s="495">
        <f>128292-2200</f>
        <v>126092</v>
      </c>
      <c r="BX34" s="39">
        <f>'FY 2013 by Agency'!BV34*Inflator!E15</f>
        <v>145233.69999999998</v>
      </c>
      <c r="BY34" s="39">
        <f t="shared" si="37"/>
        <v>4768.4849208718952</v>
      </c>
      <c r="BZ34" s="51">
        <f t="shared" si="38"/>
        <v>3.930388035461925E-2</v>
      </c>
      <c r="CB34" s="39"/>
    </row>
    <row r="35" spans="1:81" s="63" customFormat="1" ht="18" customHeight="1">
      <c r="A35" s="103" t="s">
        <v>214</v>
      </c>
      <c r="B35" s="328" t="s">
        <v>78</v>
      </c>
      <c r="C35" s="328" t="s">
        <v>78</v>
      </c>
      <c r="D35" s="328" t="s">
        <v>78</v>
      </c>
      <c r="E35" s="328" t="s">
        <v>78</v>
      </c>
      <c r="F35" s="328" t="s">
        <v>78</v>
      </c>
      <c r="G35" s="328" t="s">
        <v>78</v>
      </c>
      <c r="H35" s="328" t="s">
        <v>78</v>
      </c>
      <c r="I35" s="328" t="s">
        <v>78</v>
      </c>
      <c r="J35" s="328" t="s">
        <v>78</v>
      </c>
      <c r="K35" s="328" t="s">
        <v>78</v>
      </c>
      <c r="L35" s="328" t="s">
        <v>78</v>
      </c>
      <c r="M35" s="328" t="s">
        <v>78</v>
      </c>
      <c r="N35" s="328" t="s">
        <v>78</v>
      </c>
      <c r="O35" s="328" t="s">
        <v>78</v>
      </c>
      <c r="P35" s="328" t="s">
        <v>78</v>
      </c>
      <c r="Q35" s="328" t="s">
        <v>78</v>
      </c>
      <c r="R35" s="328" t="s">
        <v>78</v>
      </c>
      <c r="S35" s="328" t="s">
        <v>78</v>
      </c>
      <c r="T35" s="328" t="s">
        <v>78</v>
      </c>
      <c r="U35" s="328" t="s">
        <v>78</v>
      </c>
      <c r="V35" s="328" t="s">
        <v>78</v>
      </c>
      <c r="W35" s="328" t="s">
        <v>78</v>
      </c>
      <c r="X35" s="328" t="s">
        <v>78</v>
      </c>
      <c r="Y35" s="328" t="s">
        <v>78</v>
      </c>
      <c r="Z35" s="328" t="s">
        <v>78</v>
      </c>
      <c r="AA35" s="328" t="s">
        <v>78</v>
      </c>
      <c r="AB35" s="328" t="s">
        <v>78</v>
      </c>
      <c r="AC35" s="328" t="s">
        <v>78</v>
      </c>
      <c r="AD35" s="52">
        <v>0</v>
      </c>
      <c r="AE35" s="52">
        <f>'FY 2013 by Agency'!AE35*Inflator!$B$8</f>
        <v>0</v>
      </c>
      <c r="AF35" s="52">
        <f>'FY 2013 by Agency'!AF35*Inflator!$E$12</f>
        <v>0</v>
      </c>
      <c r="AG35" s="328" t="s">
        <v>78</v>
      </c>
      <c r="AH35" s="328" t="s">
        <v>78</v>
      </c>
      <c r="AI35" s="52">
        <f>'FY 2013 by Agency'!AI35*Inflator!$B$8</f>
        <v>0</v>
      </c>
      <c r="AJ35" s="52">
        <f>'FY 2013 by Agency'!AJ35*Inflator!$B$8</f>
        <v>0</v>
      </c>
      <c r="AK35" s="52">
        <f>'FY 2013 by Agency'!AK35</f>
        <v>0</v>
      </c>
      <c r="AL35" s="52">
        <f>'FY 2013 by Agency'!AL35</f>
        <v>0</v>
      </c>
      <c r="AM35" s="52">
        <f>'FY 2013 by Agency'!AM35</f>
        <v>0</v>
      </c>
      <c r="AN35" s="52">
        <f>'FY 2013 by Agency'!AN35</f>
        <v>1000</v>
      </c>
      <c r="AO35" s="52">
        <f>'FY 2013 by Agency'!AO35</f>
        <v>1000</v>
      </c>
      <c r="AP35" s="52">
        <f>'FY 2013 by Agency'!AP35</f>
        <v>0</v>
      </c>
      <c r="AQ35" s="52">
        <f>'FY 2013 by Agency'!AQ35</f>
        <v>0</v>
      </c>
      <c r="AR35" s="52">
        <f>'FY 2013 by Agency'!AR35</f>
        <v>0</v>
      </c>
      <c r="AS35" s="52">
        <f>'FY 2013 by Agency'!AS35</f>
        <v>196.37821</v>
      </c>
      <c r="AT35" s="52">
        <f t="shared" si="20"/>
        <v>0</v>
      </c>
      <c r="AU35" s="58"/>
      <c r="AV35" s="52">
        <f t="shared" si="22"/>
        <v>196.37821</v>
      </c>
      <c r="AW35" s="58" t="e">
        <f t="shared" si="23"/>
        <v>#DIV/0!</v>
      </c>
      <c r="AX35" s="281" t="s">
        <v>262</v>
      </c>
      <c r="AY35" s="282">
        <v>2500</v>
      </c>
      <c r="AZ35" s="282">
        <f t="shared" si="24"/>
        <v>1500</v>
      </c>
      <c r="BA35" s="282">
        <f t="shared" si="25"/>
        <v>1696.3782100000001</v>
      </c>
      <c r="BB35" s="282">
        <f t="shared" si="26"/>
        <v>1696.3782100000001</v>
      </c>
      <c r="BC35" s="58" t="e">
        <f t="shared" si="27"/>
        <v>#DIV/0!</v>
      </c>
      <c r="BD35" s="294">
        <v>0</v>
      </c>
      <c r="BE35" s="51">
        <f t="shared" si="5"/>
        <v>0</v>
      </c>
      <c r="BI35" s="80">
        <v>3182</v>
      </c>
      <c r="BJ35" s="282">
        <f t="shared" si="28"/>
        <v>682</v>
      </c>
      <c r="BK35" s="65">
        <f t="shared" si="29"/>
        <v>3182</v>
      </c>
      <c r="BL35" s="569">
        <f>'FY 2013 by Agency'!AS35*Inflator!$E$13</f>
        <v>203.62928214220327</v>
      </c>
      <c r="BM35" s="52">
        <f t="shared" si="30"/>
        <v>203.62928214220327</v>
      </c>
      <c r="BN35" s="51" t="e">
        <f t="shared" si="31"/>
        <v>#DIV/0!</v>
      </c>
      <c r="BO35" s="52">
        <f>'FY 2013 by Agency'!AX35*Inflator!$E$13</f>
        <v>3299.4922184925244</v>
      </c>
      <c r="BP35" s="52">
        <f t="shared" si="32"/>
        <v>3299.4922184925244</v>
      </c>
      <c r="BQ35" s="51" t="e">
        <f t="shared" si="33"/>
        <v>#DIV/0!</v>
      </c>
      <c r="BR35" s="52">
        <f>'FY 2013 by Agency'!BE35*Inflator!$E$14</f>
        <v>3228.556584054942</v>
      </c>
      <c r="BS35" s="52">
        <f t="shared" si="34"/>
        <v>-70.935634437582394</v>
      </c>
      <c r="BT35" s="51">
        <f t="shared" si="35"/>
        <v>-2.1498954911914156E-2</v>
      </c>
      <c r="BU35" s="69">
        <f>'FY 2013 by Agency'!BL35*Inflator!$E$14</f>
        <v>3228.556584054942</v>
      </c>
      <c r="BV35" s="10">
        <f t="shared" si="36"/>
        <v>3024.9273019127386</v>
      </c>
      <c r="BW35" s="39">
        <v>2496</v>
      </c>
      <c r="BX35" s="39">
        <f>'FY 2013 by Agency'!BV35*Inflator!E15</f>
        <v>2496</v>
      </c>
      <c r="BY35" s="39">
        <f t="shared" si="37"/>
        <v>-732.55658405494205</v>
      </c>
      <c r="BZ35" s="51">
        <f t="shared" si="38"/>
        <v>-0.22689910025825824</v>
      </c>
      <c r="CB35" s="39"/>
    </row>
    <row r="36" spans="1:81" s="63" customFormat="1" ht="18" customHeight="1">
      <c r="A36" s="270" t="s">
        <v>358</v>
      </c>
      <c r="B36" s="328" t="s">
        <v>78</v>
      </c>
      <c r="C36" s="328" t="s">
        <v>78</v>
      </c>
      <c r="D36" s="328" t="s">
        <v>78</v>
      </c>
      <c r="E36" s="328" t="s">
        <v>78</v>
      </c>
      <c r="F36" s="328" t="s">
        <v>78</v>
      </c>
      <c r="G36" s="328" t="s">
        <v>78</v>
      </c>
      <c r="H36" s="328" t="s">
        <v>78</v>
      </c>
      <c r="I36" s="328" t="s">
        <v>78</v>
      </c>
      <c r="J36" s="328" t="s">
        <v>78</v>
      </c>
      <c r="K36" s="328" t="s">
        <v>78</v>
      </c>
      <c r="L36" s="328" t="s">
        <v>78</v>
      </c>
      <c r="M36" s="328" t="s">
        <v>78</v>
      </c>
      <c r="N36" s="328" t="s">
        <v>78</v>
      </c>
      <c r="O36" s="328" t="s">
        <v>78</v>
      </c>
      <c r="P36" s="328" t="s">
        <v>78</v>
      </c>
      <c r="Q36" s="328" t="s">
        <v>78</v>
      </c>
      <c r="R36" s="328" t="s">
        <v>78</v>
      </c>
      <c r="S36" s="328" t="s">
        <v>78</v>
      </c>
      <c r="T36" s="328" t="s">
        <v>78</v>
      </c>
      <c r="U36" s="328" t="s">
        <v>78</v>
      </c>
      <c r="V36" s="328" t="s">
        <v>78</v>
      </c>
      <c r="W36" s="328" t="s">
        <v>78</v>
      </c>
      <c r="X36" s="328" t="s">
        <v>78</v>
      </c>
      <c r="Y36" s="328" t="s">
        <v>78</v>
      </c>
      <c r="Z36" s="328" t="s">
        <v>78</v>
      </c>
      <c r="AA36" s="328" t="s">
        <v>78</v>
      </c>
      <c r="AB36" s="328" t="s">
        <v>78</v>
      </c>
      <c r="AC36" s="328" t="s">
        <v>78</v>
      </c>
      <c r="AD36" s="52">
        <v>0</v>
      </c>
      <c r="AE36" s="52">
        <f>'FY 2013 by Agency'!AE37*Inflator!$B$8</f>
        <v>0</v>
      </c>
      <c r="AF36" s="52">
        <f>'FY 2013 by Agency'!AF36*Inflator!$E$12</f>
        <v>0</v>
      </c>
      <c r="AG36" s="328" t="s">
        <v>78</v>
      </c>
      <c r="AH36" s="328" t="s">
        <v>78</v>
      </c>
      <c r="AI36" s="52">
        <f>'FY 2013 by Agency'!AI37*Inflator!$B$8</f>
        <v>0</v>
      </c>
      <c r="AJ36" s="52">
        <f>'FY 2013 by Agency'!AJ37*Inflator!$B$8</f>
        <v>0</v>
      </c>
      <c r="AK36" s="52">
        <f>'FY 2013 by Agency'!AK37</f>
        <v>0</v>
      </c>
      <c r="AL36" s="52">
        <f>'FY 2013 by Agency'!AL37</f>
        <v>0</v>
      </c>
      <c r="AM36" s="52">
        <f>'FY 2013 by Agency'!AM37</f>
        <v>0</v>
      </c>
      <c r="AN36" s="52">
        <f>'FY 2013 by Agency'!AN37</f>
        <v>123860</v>
      </c>
      <c r="AO36" s="52">
        <f>'FY 2013 by Agency'!AO37</f>
        <v>124425</v>
      </c>
      <c r="AP36" s="52">
        <f>'FY 2013 by Agency'!AP37</f>
        <v>0</v>
      </c>
      <c r="AQ36" s="52">
        <f>'FY 2013 by Agency'!AQ37</f>
        <v>0</v>
      </c>
      <c r="AR36" s="52">
        <f>'FY 2013 by Agency'!AR37</f>
        <v>0</v>
      </c>
      <c r="AS36" s="52">
        <f>'FY 2013 by Agency'!AS37</f>
        <v>2951</v>
      </c>
      <c r="AT36" s="52">
        <f t="shared" si="20"/>
        <v>0</v>
      </c>
      <c r="AU36" s="58"/>
      <c r="AV36" s="52">
        <f t="shared" si="22"/>
        <v>2951</v>
      </c>
      <c r="AW36" s="58" t="e">
        <f t="shared" si="23"/>
        <v>#DIV/0!</v>
      </c>
      <c r="AX36" s="314" t="s">
        <v>274</v>
      </c>
      <c r="AY36" s="282">
        <v>124021.132</v>
      </c>
      <c r="AZ36" s="282">
        <f t="shared" si="24"/>
        <v>-403.86800000000221</v>
      </c>
      <c r="BA36" s="282">
        <f>+AZ36+AV36</f>
        <v>2547.1319999999978</v>
      </c>
      <c r="BB36" s="282">
        <f t="shared" si="26"/>
        <v>2547.1319999999978</v>
      </c>
      <c r="BC36" s="58" t="e">
        <f t="shared" si="27"/>
        <v>#DIV/0!</v>
      </c>
      <c r="BD36" s="294">
        <v>1401.556</v>
      </c>
      <c r="BE36" s="51">
        <f t="shared" si="5"/>
        <v>1.1300945067974385E-2</v>
      </c>
      <c r="BI36" s="80">
        <v>121004</v>
      </c>
      <c r="BJ36" s="282">
        <f t="shared" si="28"/>
        <v>-3017.1319999999978</v>
      </c>
      <c r="BK36" s="65">
        <f>BB36+AP36+AQ36</f>
        <v>2547.1319999999978</v>
      </c>
      <c r="BL36" s="569">
        <f>'FY 2013 by Agency'!AS36*Inflator!$E$13</f>
        <v>128191.34423110163</v>
      </c>
      <c r="BM36" s="52">
        <f t="shared" si="30"/>
        <v>128191.34423110163</v>
      </c>
      <c r="BN36" s="51" t="e">
        <f t="shared" si="31"/>
        <v>#DIV/0!</v>
      </c>
      <c r="BO36" s="52">
        <f>'FY 2013 by Agency'!AX36*Inflator!$E$13</f>
        <v>0</v>
      </c>
      <c r="BP36" s="52">
        <f t="shared" si="32"/>
        <v>0</v>
      </c>
      <c r="BQ36" s="51" t="e">
        <f t="shared" si="33"/>
        <v>#DIV/0!</v>
      </c>
      <c r="BR36" s="52">
        <f>'FY 2013 by Agency'!BE36*Inflator!$E$14</f>
        <v>0</v>
      </c>
      <c r="BS36" s="52">
        <f t="shared" si="34"/>
        <v>0</v>
      </c>
      <c r="BT36" s="51" t="e">
        <f t="shared" si="35"/>
        <v>#DIV/0!</v>
      </c>
      <c r="BU36" s="69">
        <f>'FY 2013 by Agency'!BL36*Inflator!$E$14</f>
        <v>0</v>
      </c>
      <c r="BV36" s="10">
        <f t="shared" si="36"/>
        <v>-128191.34423110163</v>
      </c>
      <c r="BW36" s="39">
        <v>0</v>
      </c>
      <c r="BX36" s="39">
        <f>'FY 2013 by Agency'!BV36*Inflator!E15</f>
        <v>0</v>
      </c>
      <c r="BY36" s="39">
        <f t="shared" si="37"/>
        <v>0</v>
      </c>
      <c r="BZ36" s="51" t="e">
        <f t="shared" si="38"/>
        <v>#DIV/0!</v>
      </c>
      <c r="CB36" s="39"/>
    </row>
    <row r="37" spans="1:81" s="63" customFormat="1" ht="18" customHeight="1">
      <c r="A37" s="270" t="s">
        <v>243</v>
      </c>
      <c r="B37" s="328" t="s">
        <v>78</v>
      </c>
      <c r="C37" s="328" t="s">
        <v>78</v>
      </c>
      <c r="D37" s="328" t="s">
        <v>78</v>
      </c>
      <c r="E37" s="328" t="s">
        <v>78</v>
      </c>
      <c r="F37" s="328" t="s">
        <v>78</v>
      </c>
      <c r="G37" s="328" t="s">
        <v>78</v>
      </c>
      <c r="H37" s="328" t="s">
        <v>78</v>
      </c>
      <c r="I37" s="328" t="s">
        <v>78</v>
      </c>
      <c r="J37" s="328" t="s">
        <v>78</v>
      </c>
      <c r="K37" s="328" t="s">
        <v>78</v>
      </c>
      <c r="L37" s="328" t="s">
        <v>78</v>
      </c>
      <c r="M37" s="328" t="s">
        <v>78</v>
      </c>
      <c r="N37" s="328" t="s">
        <v>78</v>
      </c>
      <c r="O37" s="328" t="s">
        <v>78</v>
      </c>
      <c r="P37" s="328" t="s">
        <v>78</v>
      </c>
      <c r="Q37" s="328" t="s">
        <v>78</v>
      </c>
      <c r="R37" s="328" t="s">
        <v>78</v>
      </c>
      <c r="S37" s="328" t="s">
        <v>78</v>
      </c>
      <c r="T37" s="328" t="s">
        <v>78</v>
      </c>
      <c r="U37" s="328" t="s">
        <v>78</v>
      </c>
      <c r="V37" s="328" t="s">
        <v>78</v>
      </c>
      <c r="W37" s="328" t="s">
        <v>78</v>
      </c>
      <c r="X37" s="328" t="s">
        <v>78</v>
      </c>
      <c r="Y37" s="328" t="s">
        <v>78</v>
      </c>
      <c r="Z37" s="328" t="s">
        <v>78</v>
      </c>
      <c r="AA37" s="328" t="s">
        <v>78</v>
      </c>
      <c r="AB37" s="328" t="s">
        <v>78</v>
      </c>
      <c r="AC37" s="328" t="s">
        <v>78</v>
      </c>
      <c r="AD37" s="52">
        <v>0</v>
      </c>
      <c r="AE37" s="52"/>
      <c r="AF37" s="52">
        <f>'FY 2013 by Agency'!AF37*Inflator!$E$12</f>
        <v>0</v>
      </c>
      <c r="AG37" s="328" t="s">
        <v>78</v>
      </c>
      <c r="AH37" s="328" t="s">
        <v>78</v>
      </c>
      <c r="AI37" s="52"/>
      <c r="AJ37" s="52"/>
      <c r="AK37" s="52"/>
      <c r="AL37" s="52"/>
      <c r="AM37" s="52"/>
      <c r="AN37" s="52"/>
      <c r="AO37" s="52"/>
      <c r="AP37" s="52"/>
      <c r="AQ37" s="52"/>
      <c r="AR37" s="52"/>
      <c r="AS37" s="52"/>
      <c r="AT37" s="52"/>
      <c r="AU37" s="58"/>
      <c r="AV37" s="52"/>
      <c r="AW37" s="58"/>
      <c r="AX37" s="311"/>
      <c r="AY37" s="282"/>
      <c r="AZ37" s="282"/>
      <c r="BA37" s="282"/>
      <c r="BB37" s="282"/>
      <c r="BC37" s="58"/>
      <c r="BD37" s="294"/>
      <c r="BE37" s="51"/>
      <c r="BI37" s="80"/>
      <c r="BJ37" s="282"/>
      <c r="BK37" s="65">
        <f t="shared" si="29"/>
        <v>0</v>
      </c>
      <c r="BL37" s="569">
        <f>'FY 2013 by Agency'!AS37*Inflator!$E$13</f>
        <v>3059.9627708269763</v>
      </c>
      <c r="BM37" s="52">
        <f t="shared" si="30"/>
        <v>3059.9627708269763</v>
      </c>
      <c r="BN37" s="51" t="e">
        <f t="shared" si="31"/>
        <v>#DIV/0!</v>
      </c>
      <c r="BO37" s="52">
        <f>'FY 2013 by Agency'!AX37*Inflator!$E$13</f>
        <v>3059.9627708269763</v>
      </c>
      <c r="BP37" s="52">
        <f t="shared" si="32"/>
        <v>3059.9627708269763</v>
      </c>
      <c r="BQ37" s="51" t="e">
        <f t="shared" si="33"/>
        <v>#DIV/0!</v>
      </c>
      <c r="BR37" s="52">
        <f>'FY 2013 by Agency'!BE37*Inflator!$E$14</f>
        <v>0</v>
      </c>
      <c r="BS37" s="52">
        <f t="shared" si="34"/>
        <v>-3059.9627708269763</v>
      </c>
      <c r="BT37" s="51">
        <f t="shared" si="35"/>
        <v>-1</v>
      </c>
      <c r="BU37" s="69">
        <f>'FY 2013 by Agency'!BL37*Inflator!$E$14</f>
        <v>0</v>
      </c>
      <c r="BV37" s="10">
        <f t="shared" si="36"/>
        <v>-3059.9627708269763</v>
      </c>
      <c r="BW37" s="39">
        <v>2951</v>
      </c>
      <c r="BX37" s="39">
        <f>'FY 2013 by Agency'!BV37*Inflator!E15</f>
        <v>2951</v>
      </c>
      <c r="BY37" s="39">
        <f t="shared" si="37"/>
        <v>2951</v>
      </c>
      <c r="BZ37" s="51" t="e">
        <f t="shared" si="38"/>
        <v>#DIV/0!</v>
      </c>
      <c r="CB37" s="39"/>
    </row>
    <row r="38" spans="1:81" s="63" customFormat="1" ht="18" customHeight="1">
      <c r="A38" s="53" t="s">
        <v>162</v>
      </c>
      <c r="B38" s="328" t="s">
        <v>78</v>
      </c>
      <c r="C38" s="328" t="s">
        <v>78</v>
      </c>
      <c r="D38" s="328" t="s">
        <v>78</v>
      </c>
      <c r="E38" s="328" t="s">
        <v>78</v>
      </c>
      <c r="F38" s="328" t="s">
        <v>78</v>
      </c>
      <c r="G38" s="328" t="s">
        <v>78</v>
      </c>
      <c r="H38" s="328" t="s">
        <v>78</v>
      </c>
      <c r="I38" s="328" t="s">
        <v>78</v>
      </c>
      <c r="J38" s="328" t="s">
        <v>78</v>
      </c>
      <c r="K38" s="328" t="s">
        <v>78</v>
      </c>
      <c r="L38" s="328" t="s">
        <v>78</v>
      </c>
      <c r="M38" s="328" t="s">
        <v>78</v>
      </c>
      <c r="N38" s="328" t="s">
        <v>78</v>
      </c>
      <c r="O38" s="328" t="s">
        <v>78</v>
      </c>
      <c r="P38" s="328" t="s">
        <v>78</v>
      </c>
      <c r="Q38" s="328" t="s">
        <v>78</v>
      </c>
      <c r="R38" s="328" t="s">
        <v>78</v>
      </c>
      <c r="S38" s="328" t="s">
        <v>78</v>
      </c>
      <c r="T38" s="328" t="s">
        <v>78</v>
      </c>
      <c r="U38" s="328" t="s">
        <v>78</v>
      </c>
      <c r="V38" s="328" t="s">
        <v>78</v>
      </c>
      <c r="W38" s="328" t="s">
        <v>78</v>
      </c>
      <c r="X38" s="52">
        <f>'FY 2013 by Agency'!X38*Inflator!$E$10</f>
        <v>10790.727214988887</v>
      </c>
      <c r="Y38" s="328" t="s">
        <v>78</v>
      </c>
      <c r="Z38" s="328" t="s">
        <v>78</v>
      </c>
      <c r="AA38" s="328" t="s">
        <v>78</v>
      </c>
      <c r="AB38" s="328" t="s">
        <v>78</v>
      </c>
      <c r="AC38" s="328" t="s">
        <v>78</v>
      </c>
      <c r="AD38" s="328" t="s">
        <v>78</v>
      </c>
      <c r="AE38" s="69">
        <f>'FY 2013 by Agency'!AE38*Inflator!$B$8</f>
        <v>0</v>
      </c>
      <c r="AF38" s="52">
        <f>'FY 2013 by Agency'!AF38*Inflator!$E$12</f>
        <v>0</v>
      </c>
      <c r="AG38" s="328" t="s">
        <v>78</v>
      </c>
      <c r="AH38" s="328" t="s">
        <v>78</v>
      </c>
      <c r="AI38" s="69">
        <f>'FY 2013 by Agency'!AI38*Inflator!$B$8</f>
        <v>0</v>
      </c>
      <c r="AJ38" s="69">
        <f>'FY 2013 by Agency'!AJ38*Inflator!$B$8</f>
        <v>0</v>
      </c>
      <c r="AK38" s="69">
        <f>'FY 2013 by Agency'!AK38</f>
        <v>0</v>
      </c>
      <c r="AL38" s="69">
        <f>'FY 2013 by Agency'!AL38</f>
        <v>0</v>
      </c>
      <c r="AM38" s="69">
        <f>'FY 2013 by Agency'!AM38</f>
        <v>0</v>
      </c>
      <c r="AN38" s="69">
        <f>'FY 2013 by Agency'!AN38</f>
        <v>0</v>
      </c>
      <c r="AO38" s="69">
        <f>'FY 2013 by Agency'!AO38</f>
        <v>0</v>
      </c>
      <c r="AP38" s="69">
        <f>'FY 2013 by Agency'!AP38</f>
        <v>0</v>
      </c>
      <c r="AQ38" s="69">
        <f>'FY 2013 by Agency'!AQ38</f>
        <v>0</v>
      </c>
      <c r="AR38" s="69">
        <f>'FY 2013 by Agency'!AR38</f>
        <v>0</v>
      </c>
      <c r="AS38" s="69">
        <f>'FY 2013 by Agency'!AS38</f>
        <v>0</v>
      </c>
      <c r="AT38" s="69" t="e">
        <f t="shared" si="20"/>
        <v>#VALUE!</v>
      </c>
      <c r="AU38" s="72"/>
      <c r="AV38" s="69">
        <f t="shared" si="22"/>
        <v>0</v>
      </c>
      <c r="AW38" s="72" t="e">
        <f t="shared" si="23"/>
        <v>#DIV/0!</v>
      </c>
      <c r="AX38" s="311" t="s">
        <v>276</v>
      </c>
      <c r="AY38" s="308">
        <v>3279</v>
      </c>
      <c r="AZ38" s="308">
        <f t="shared" si="24"/>
        <v>3279</v>
      </c>
      <c r="BA38" s="308">
        <f t="shared" si="25"/>
        <v>3279</v>
      </c>
      <c r="BB38" s="72"/>
      <c r="BC38" s="72"/>
      <c r="BD38" s="312">
        <v>327.9</v>
      </c>
      <c r="BE38" s="313">
        <f t="shared" si="5"/>
        <v>9.9999999999999992E-2</v>
      </c>
      <c r="BI38" s="80">
        <v>2951</v>
      </c>
      <c r="BJ38" s="282">
        <f t="shared" si="28"/>
        <v>-328</v>
      </c>
      <c r="BK38" s="65">
        <f t="shared" si="29"/>
        <v>2951</v>
      </c>
      <c r="BL38" s="569">
        <f>'FY 2013 by Agency'!AS38*Inflator!$E$13</f>
        <v>0</v>
      </c>
      <c r="BM38" s="52">
        <f t="shared" si="30"/>
        <v>0</v>
      </c>
      <c r="BN38" s="51" t="e">
        <f t="shared" si="31"/>
        <v>#DIV/0!</v>
      </c>
      <c r="BO38" s="52">
        <f>'FY 2013 by Agency'!AX38*Inflator!$E$13</f>
        <v>0</v>
      </c>
      <c r="BP38" s="52">
        <f t="shared" si="32"/>
        <v>0</v>
      </c>
      <c r="BQ38" s="51" t="e">
        <f t="shared" si="33"/>
        <v>#DIV/0!</v>
      </c>
      <c r="BR38" s="52">
        <f>'FY 2013 by Agency'!BE38*Inflator!$E$14</f>
        <v>0</v>
      </c>
      <c r="BS38" s="52">
        <f t="shared" si="34"/>
        <v>0</v>
      </c>
      <c r="BT38" s="51" t="e">
        <f t="shared" si="35"/>
        <v>#DIV/0!</v>
      </c>
      <c r="BU38" s="69">
        <f>'FY 2013 by Agency'!BL38*Inflator!$E$14</f>
        <v>0</v>
      </c>
      <c r="BV38" s="10">
        <f t="shared" si="36"/>
        <v>0</v>
      </c>
      <c r="BW38" s="39">
        <v>0</v>
      </c>
      <c r="BX38" s="39">
        <f>'FY 2013 by Agency'!BV38*Inflator!E15</f>
        <v>0</v>
      </c>
      <c r="BY38" s="39">
        <f t="shared" si="37"/>
        <v>0</v>
      </c>
      <c r="BZ38" s="51" t="e">
        <f t="shared" si="38"/>
        <v>#DIV/0!</v>
      </c>
      <c r="CB38" s="39"/>
    </row>
    <row r="39" spans="1:81" s="63" customFormat="1" ht="18" customHeight="1">
      <c r="A39" s="626" t="s">
        <v>418</v>
      </c>
      <c r="B39" s="328"/>
      <c r="C39" s="328"/>
      <c r="D39" s="328"/>
      <c r="E39" s="328"/>
      <c r="F39" s="328"/>
      <c r="G39" s="328"/>
      <c r="H39" s="328"/>
      <c r="I39" s="328"/>
      <c r="J39" s="328"/>
      <c r="K39" s="328"/>
      <c r="L39" s="328"/>
      <c r="M39" s="328"/>
      <c r="N39" s="328"/>
      <c r="O39" s="328"/>
      <c r="P39" s="328"/>
      <c r="Q39" s="328"/>
      <c r="R39" s="328"/>
      <c r="S39" s="328"/>
      <c r="T39" s="328"/>
      <c r="U39" s="328"/>
      <c r="V39" s="328"/>
      <c r="W39" s="328"/>
      <c r="X39" s="52"/>
      <c r="Y39" s="328"/>
      <c r="Z39" s="328"/>
      <c r="AA39" s="328"/>
      <c r="AB39" s="328"/>
      <c r="AC39" s="328"/>
      <c r="AD39" s="328"/>
      <c r="AE39" s="69"/>
      <c r="AF39" s="52"/>
      <c r="AG39" s="328"/>
      <c r="AH39" s="328"/>
      <c r="AI39" s="69"/>
      <c r="AJ39" s="69"/>
      <c r="AK39" s="69"/>
      <c r="AL39" s="69"/>
      <c r="AM39" s="69"/>
      <c r="AN39" s="69"/>
      <c r="AO39" s="69"/>
      <c r="AP39" s="69"/>
      <c r="AQ39" s="69"/>
      <c r="AR39" s="69"/>
      <c r="AS39" s="69"/>
      <c r="AT39" s="69"/>
      <c r="AU39" s="72"/>
      <c r="AV39" s="69"/>
      <c r="AW39" s="72"/>
      <c r="AX39" s="311"/>
      <c r="AY39" s="308"/>
      <c r="AZ39" s="308"/>
      <c r="BA39" s="308"/>
      <c r="BB39" s="72"/>
      <c r="BC39" s="72"/>
      <c r="BD39" s="312"/>
      <c r="BE39" s="313"/>
      <c r="BI39" s="80"/>
      <c r="BJ39" s="282"/>
      <c r="BK39" s="65"/>
      <c r="BL39" s="569"/>
      <c r="BM39" s="52"/>
      <c r="BN39" s="51"/>
      <c r="BO39" s="52"/>
      <c r="BP39" s="52"/>
      <c r="BQ39" s="51"/>
      <c r="BR39" s="52"/>
      <c r="BS39" s="52"/>
      <c r="BT39" s="51"/>
      <c r="BU39" s="69"/>
      <c r="BV39" s="10"/>
      <c r="BW39" s="39"/>
      <c r="BX39" s="39">
        <f>'FY 2013 by Agency'!BV39*Inflator!E15</f>
        <v>717.851</v>
      </c>
      <c r="BY39" s="39">
        <f t="shared" si="37"/>
        <v>0</v>
      </c>
      <c r="BZ39" s="51" t="e">
        <f t="shared" si="38"/>
        <v>#DIV/0!</v>
      </c>
      <c r="CB39" s="39"/>
    </row>
    <row r="40" spans="1:81" s="310" customFormat="1" ht="18" customHeight="1" thickBot="1">
      <c r="A40" s="256" t="s">
        <v>359</v>
      </c>
      <c r="B40" s="332" t="s">
        <v>78</v>
      </c>
      <c r="C40" s="332" t="s">
        <v>78</v>
      </c>
      <c r="D40" s="332" t="s">
        <v>78</v>
      </c>
      <c r="E40" s="332" t="s">
        <v>78</v>
      </c>
      <c r="F40" s="332" t="s">
        <v>78</v>
      </c>
      <c r="G40" s="332" t="s">
        <v>78</v>
      </c>
      <c r="H40" s="332" t="s">
        <v>78</v>
      </c>
      <c r="I40" s="332" t="s">
        <v>78</v>
      </c>
      <c r="J40" s="332" t="s">
        <v>78</v>
      </c>
      <c r="K40" s="332" t="s">
        <v>78</v>
      </c>
      <c r="L40" s="332" t="s">
        <v>78</v>
      </c>
      <c r="M40" s="332" t="s">
        <v>78</v>
      </c>
      <c r="N40" s="332" t="s">
        <v>78</v>
      </c>
      <c r="O40" s="332" t="s">
        <v>78</v>
      </c>
      <c r="P40" s="332" t="s">
        <v>78</v>
      </c>
      <c r="Q40" s="332" t="s">
        <v>78</v>
      </c>
      <c r="R40" s="332" t="s">
        <v>78</v>
      </c>
      <c r="S40" s="332" t="s">
        <v>78</v>
      </c>
      <c r="T40" s="332" t="s">
        <v>78</v>
      </c>
      <c r="U40" s="332" t="s">
        <v>78</v>
      </c>
      <c r="V40" s="332" t="s">
        <v>78</v>
      </c>
      <c r="W40" s="332" t="s">
        <v>78</v>
      </c>
      <c r="X40" s="332" t="s">
        <v>78</v>
      </c>
      <c r="Y40" s="332" t="s">
        <v>78</v>
      </c>
      <c r="Z40" s="332" t="s">
        <v>78</v>
      </c>
      <c r="AA40" s="332" t="s">
        <v>78</v>
      </c>
      <c r="AB40" s="332" t="s">
        <v>78</v>
      </c>
      <c r="AC40" s="332" t="s">
        <v>78</v>
      </c>
      <c r="AD40" s="332" t="s">
        <v>78</v>
      </c>
      <c r="AE40" s="75"/>
      <c r="AF40" s="75">
        <f>'FY 2013 by Agency'!AF40*Inflator!$E$12</f>
        <v>0</v>
      </c>
      <c r="AG40" s="75"/>
      <c r="AH40" s="77"/>
      <c r="AI40" s="75"/>
      <c r="AJ40" s="75"/>
      <c r="AK40" s="75"/>
      <c r="AL40" s="75"/>
      <c r="AM40" s="75"/>
      <c r="AN40" s="75"/>
      <c r="AO40" s="75"/>
      <c r="AP40" s="75"/>
      <c r="AQ40" s="75"/>
      <c r="AR40" s="75"/>
      <c r="AS40" s="75"/>
      <c r="AT40" s="75"/>
      <c r="AU40" s="77"/>
      <c r="AV40" s="75"/>
      <c r="AW40" s="77"/>
      <c r="AX40" s="497"/>
      <c r="AY40" s="285"/>
      <c r="AZ40" s="285"/>
      <c r="BA40" s="285"/>
      <c r="BB40" s="77"/>
      <c r="BC40" s="77"/>
      <c r="BD40" s="390"/>
      <c r="BE40" s="55"/>
      <c r="BF40" s="54"/>
      <c r="BG40" s="54"/>
      <c r="BH40" s="54"/>
      <c r="BI40" s="94">
        <v>263</v>
      </c>
      <c r="BJ40" s="285">
        <f t="shared" si="28"/>
        <v>263</v>
      </c>
      <c r="BK40" s="94">
        <f t="shared" si="29"/>
        <v>263</v>
      </c>
      <c r="BL40" s="570">
        <f>'FY 2013 by Agency'!AS40*Inflator!$E$13</f>
        <v>0</v>
      </c>
      <c r="BM40" s="52">
        <f t="shared" si="30"/>
        <v>0</v>
      </c>
      <c r="BN40" s="55" t="e">
        <f t="shared" si="31"/>
        <v>#DIV/0!</v>
      </c>
      <c r="BO40" s="75">
        <f>'FY 2013 by Agency'!AX40*Inflator!$E$13</f>
        <v>272.71101617332931</v>
      </c>
      <c r="BP40" s="75">
        <f t="shared" si="32"/>
        <v>272.71101617332931</v>
      </c>
      <c r="BQ40" s="55" t="e">
        <f t="shared" si="33"/>
        <v>#DIV/0!</v>
      </c>
      <c r="BR40" s="75">
        <f>'FY 2013 by Agency'!BE40*Inflator!$E$14</f>
        <v>355.12093162137955</v>
      </c>
      <c r="BS40" s="75">
        <f t="shared" si="34"/>
        <v>82.409915448050242</v>
      </c>
      <c r="BT40" s="55">
        <f t="shared" si="35"/>
        <v>0.30218770258870753</v>
      </c>
      <c r="BU40" s="75">
        <f>'FY 2013 by Agency'!BL40*Inflator!$E$14</f>
        <v>355.12093162137955</v>
      </c>
      <c r="BV40" s="10">
        <f t="shared" si="36"/>
        <v>355.12093162137955</v>
      </c>
      <c r="BW40" s="39">
        <v>835</v>
      </c>
      <c r="BX40" s="39">
        <f>'FY 2013 by Agency'!BV40*Inflator!E15</f>
        <v>835</v>
      </c>
      <c r="BY40" s="39">
        <f t="shared" si="37"/>
        <v>479.87906837862045</v>
      </c>
      <c r="BZ40" s="51">
        <f t="shared" si="38"/>
        <v>1.351311695955604</v>
      </c>
      <c r="CB40" s="39"/>
    </row>
    <row r="41" spans="1:81" s="20" customFormat="1" ht="18" customHeight="1">
      <c r="A41" s="85" t="s">
        <v>55</v>
      </c>
      <c r="B41" s="326">
        <f>'FY 2013 by Agency'!B41*Inflator!$E$2</f>
        <v>277354.29824561405</v>
      </c>
      <c r="C41" s="326">
        <f>'FY 2013 by Agency'!C41*Inflator!$E$3</f>
        <v>288965.2372488408</v>
      </c>
      <c r="D41" s="47">
        <f t="shared" si="6"/>
        <v>11610.939003226755</v>
      </c>
      <c r="E41" s="360">
        <f t="shared" si="7"/>
        <v>4.1863201964674669E-2</v>
      </c>
      <c r="F41" s="10">
        <f>'FY 2013 by Agency'!F41*Inflator!$E$4</f>
        <v>303320.97601827182</v>
      </c>
      <c r="G41" s="12">
        <f t="shared" si="8"/>
        <v>14355.738769431016</v>
      </c>
      <c r="H41" s="15">
        <f t="shared" si="9"/>
        <v>4.9679812375038913E-2</v>
      </c>
      <c r="I41" s="10">
        <f>'FY 2013 by Agency'!I41*Inflator!$E$5</f>
        <v>261407.16697657126</v>
      </c>
      <c r="J41" s="12">
        <f t="shared" si="10"/>
        <v>-41913.809041700559</v>
      </c>
      <c r="K41" s="15">
        <f t="shared" si="11"/>
        <v>-0.13818302180056188</v>
      </c>
      <c r="L41" s="10">
        <f>'FY 2013 by Agency'!L41*Inflator!$E$6</f>
        <v>285777.85241730278</v>
      </c>
      <c r="M41" s="10">
        <f t="shared" si="12"/>
        <v>24370.685440731526</v>
      </c>
      <c r="N41" s="14">
        <f t="shared" si="13"/>
        <v>9.3228834245832906E-2</v>
      </c>
      <c r="O41" s="10">
        <f>'FY 2013 by Agency'!O41*Inflator!$E$7</f>
        <v>337781.05455825408</v>
      </c>
      <c r="P41" s="136">
        <f>O41-L41</f>
        <v>52003.202140951296</v>
      </c>
      <c r="Q41" s="137">
        <f>P41/L41</f>
        <v>0.18197072201737455</v>
      </c>
      <c r="R41" s="52">
        <f>'FY 2013 by Agency'!R41*Inflator!$E$8</f>
        <v>384791.78071961977</v>
      </c>
      <c r="S41" s="136">
        <f t="shared" si="1"/>
        <v>47010.726161365688</v>
      </c>
      <c r="T41" s="137">
        <f>S41/O41</f>
        <v>0.13917514178776469</v>
      </c>
      <c r="U41" s="52">
        <f>'FY 2013 by Agency'!U41*Inflator!$E$9</f>
        <v>412647.44164456229</v>
      </c>
      <c r="V41" s="136">
        <f>U41-R41</f>
        <v>27855.660924942524</v>
      </c>
      <c r="W41" s="36">
        <f t="shared" ref="W41" si="41">V41/R41</f>
        <v>7.2391517492520652E-2</v>
      </c>
      <c r="X41" s="52">
        <f>'FY 2013 by Agency'!X41*Inflator!$E$10</f>
        <v>412280.23563035892</v>
      </c>
      <c r="Y41" s="136">
        <f>X41-U41</f>
        <v>-367.20601420337334</v>
      </c>
      <c r="Z41" s="36">
        <f t="shared" ref="Z41" si="42">Y41/U41</f>
        <v>-8.8987832504162153E-4</v>
      </c>
      <c r="AA41" s="52">
        <f>'FY 2013 by Agency'!AA41*Inflator!$E$11</f>
        <v>439332.4969735585</v>
      </c>
      <c r="AB41" s="136">
        <f>AA41-X41</f>
        <v>27052.261343199585</v>
      </c>
      <c r="AC41" s="36">
        <f>AB41/X41</f>
        <v>6.5616197443561244E-2</v>
      </c>
      <c r="AD41" s="46" t="e">
        <f>'FY 2013 by Agency'!AD41*Inflator!#REF!</f>
        <v>#REF!</v>
      </c>
      <c r="AE41" s="182" t="e">
        <f>SUM(AE7:AE40)</f>
        <v>#VALUE!</v>
      </c>
      <c r="AF41" s="52">
        <f>'FY 2013 by Agency'!AF41*Inflator!$E$12</f>
        <v>371593.44235588977</v>
      </c>
      <c r="AG41" s="12">
        <f>AF41-AA41</f>
        <v>-67739.054617668735</v>
      </c>
      <c r="AH41" s="36">
        <f>AG41/AA41</f>
        <v>-0.15418630555286614</v>
      </c>
      <c r="AI41" s="136">
        <f>SUM(AI7:AI40)</f>
        <v>0</v>
      </c>
      <c r="AJ41" s="136">
        <f t="shared" ref="AJ41:AM41" si="43">SUM(AJ7:AJ38)</f>
        <v>0</v>
      </c>
      <c r="AK41" s="136">
        <f t="shared" si="43"/>
        <v>321065</v>
      </c>
      <c r="AL41" s="136">
        <f t="shared" si="43"/>
        <v>2050</v>
      </c>
      <c r="AM41" s="136">
        <f t="shared" si="43"/>
        <v>323115</v>
      </c>
      <c r="AN41" s="136">
        <f t="shared" ref="AN41:AS41" si="44">SUM(AN7:AN40)</f>
        <v>413423</v>
      </c>
      <c r="AO41" s="136">
        <f t="shared" si="44"/>
        <v>477608</v>
      </c>
      <c r="AP41" s="136">
        <f t="shared" si="44"/>
        <v>34814</v>
      </c>
      <c r="AQ41" s="136">
        <f t="shared" si="44"/>
        <v>2383</v>
      </c>
      <c r="AR41" s="136">
        <f t="shared" si="44"/>
        <v>37197</v>
      </c>
      <c r="AS41" s="136">
        <f t="shared" si="44"/>
        <v>333613.97927000001</v>
      </c>
      <c r="AT41" s="12" t="e">
        <f t="shared" si="20"/>
        <v>#REF!</v>
      </c>
      <c r="AU41" s="36" t="e">
        <f t="shared" si="21"/>
        <v>#REF!</v>
      </c>
      <c r="AV41" s="12">
        <f t="shared" si="22"/>
        <v>-37979.463085889758</v>
      </c>
      <c r="AW41" s="36">
        <f t="shared" si="23"/>
        <v>-0.10220703262442216</v>
      </c>
      <c r="AY41" s="283">
        <f>SUM(AY7:AY40)</f>
        <v>479299.27185999998</v>
      </c>
      <c r="AZ41" s="304">
        <f>SUM(AZ7:AZ38)</f>
        <v>1691.2718599999944</v>
      </c>
      <c r="BA41" s="304"/>
      <c r="BB41" s="93">
        <f>SUM(BB7:BB38)</f>
        <v>335305.25112999999</v>
      </c>
      <c r="BC41" s="36"/>
      <c r="BD41" s="295">
        <f>SUM(BD7:BD38)</f>
        <v>4234.2110000000002</v>
      </c>
      <c r="BE41" s="15">
        <f>BD41/AY41</f>
        <v>8.8341694815609571E-3</v>
      </c>
      <c r="BF41" s="15">
        <f>(BB41-X41)/X41</f>
        <v>-0.18670549264305009</v>
      </c>
      <c r="BI41" s="139">
        <f>SUM(BI7:BI40)</f>
        <v>464046</v>
      </c>
      <c r="BJ41" s="304">
        <f t="shared" si="28"/>
        <v>-15253.271859999979</v>
      </c>
      <c r="BK41" s="138">
        <f>SUM(BK7:BK40)</f>
        <v>382786.13199999998</v>
      </c>
      <c r="BL41" s="571">
        <f>SUM(BL7:BL40)</f>
        <v>474123.69136551127</v>
      </c>
      <c r="BM41" s="52">
        <f t="shared" si="30"/>
        <v>102530.2490096215</v>
      </c>
      <c r="BN41" s="266">
        <f t="shared" si="31"/>
        <v>0.2759205016094558</v>
      </c>
      <c r="BO41" s="12">
        <f>'FY 2013 by Agency'!AX41*Inflator!$E$13</f>
        <v>355708.48825144954</v>
      </c>
      <c r="BP41" s="12">
        <f t="shared" si="32"/>
        <v>-15884.954104440229</v>
      </c>
      <c r="BQ41" s="15">
        <f t="shared" si="33"/>
        <v>-4.2748208912757345E-2</v>
      </c>
      <c r="BR41" s="12">
        <f>'FY 2013 by Agency'!BE41*Inflator!$E$14</f>
        <v>487474.5028366677</v>
      </c>
      <c r="BS41" s="12">
        <f t="shared" si="34"/>
        <v>131766.01458521816</v>
      </c>
      <c r="BT41" s="15">
        <f t="shared" si="35"/>
        <v>0.3704325843696849</v>
      </c>
      <c r="BU41" s="136">
        <f>SUM(BU7:BU40)</f>
        <v>522971.37653030758</v>
      </c>
      <c r="BV41" s="10">
        <f t="shared" si="36"/>
        <v>48847.685164796305</v>
      </c>
      <c r="BW41" s="30">
        <f>SUM(BW7:BW40)</f>
        <v>541241</v>
      </c>
      <c r="BX41" s="136">
        <f>SUM(BX7:BX40)</f>
        <v>591398.08499999996</v>
      </c>
      <c r="BY41" s="39">
        <f t="shared" si="37"/>
        <v>53766.4971633323</v>
      </c>
      <c r="BZ41" s="51">
        <f t="shared" si="38"/>
        <v>0.11029601927989904</v>
      </c>
      <c r="CB41" s="39"/>
      <c r="CC41" s="674"/>
    </row>
    <row r="42" spans="1:81" s="20" customFormat="1" ht="18" customHeight="1">
      <c r="A42" s="85"/>
      <c r="B42" s="326"/>
      <c r="C42" s="326"/>
      <c r="D42" s="326"/>
      <c r="E42" s="355"/>
      <c r="F42" s="10"/>
      <c r="G42" s="10"/>
      <c r="H42" s="14"/>
      <c r="I42" s="10"/>
      <c r="J42" s="10"/>
      <c r="K42" s="14"/>
      <c r="L42" s="10"/>
      <c r="M42" s="10"/>
      <c r="N42" s="14"/>
      <c r="O42" s="10"/>
      <c r="P42" s="136"/>
      <c r="Q42" s="137"/>
      <c r="R42" s="52"/>
      <c r="S42" s="136"/>
      <c r="T42" s="137"/>
      <c r="U42" s="52"/>
      <c r="V42" s="136"/>
      <c r="W42" s="36"/>
      <c r="X42" s="52"/>
      <c r="Y42" s="136"/>
      <c r="Z42" s="36"/>
      <c r="AA42" s="52"/>
      <c r="AB42" s="136"/>
      <c r="AC42" s="36"/>
      <c r="AD42" s="52"/>
      <c r="AE42" s="182"/>
      <c r="AF42" s="136"/>
      <c r="AG42" s="52"/>
      <c r="AH42" s="58"/>
      <c r="AI42" s="136"/>
      <c r="AJ42" s="136"/>
      <c r="AK42" s="136"/>
      <c r="AL42" s="136"/>
      <c r="AM42" s="136"/>
      <c r="AN42" s="136"/>
      <c r="AO42" s="136"/>
      <c r="AP42" s="136"/>
      <c r="AQ42" s="136"/>
      <c r="AR42" s="52">
        <f>'FY 2013 by Agency'!AR42</f>
        <v>0</v>
      </c>
      <c r="AS42" s="52">
        <f>'FY 2013 by Agency'!AS42</f>
        <v>0</v>
      </c>
      <c r="AT42" s="12"/>
      <c r="AU42" s="36"/>
      <c r="AV42" s="12"/>
      <c r="AW42" s="58"/>
      <c r="AX42" s="58"/>
      <c r="AY42" s="58"/>
      <c r="AZ42" s="58"/>
      <c r="BA42" s="58"/>
      <c r="BB42" s="58"/>
      <c r="BC42" s="58"/>
      <c r="BD42" s="292"/>
      <c r="BE42" s="282"/>
      <c r="BI42" s="139"/>
      <c r="BK42" s="322"/>
      <c r="BL42" s="571"/>
      <c r="BM42" s="136"/>
      <c r="BN42" s="218"/>
      <c r="BP42" s="52"/>
      <c r="BQ42" s="50"/>
      <c r="BR42" s="52"/>
      <c r="BS42" s="52"/>
      <c r="BT42" s="50"/>
      <c r="BU42" s="202"/>
      <c r="BV42" s="202"/>
      <c r="BW42" s="39"/>
      <c r="BX42" s="136"/>
      <c r="BY42" s="39">
        <f t="shared" si="37"/>
        <v>0</v>
      </c>
      <c r="BZ42" s="51" t="e">
        <f t="shared" si="38"/>
        <v>#DIV/0!</v>
      </c>
      <c r="CB42" s="39"/>
    </row>
    <row r="43" spans="1:81" s="20" customFormat="1" ht="18" customHeight="1">
      <c r="A43" s="85"/>
      <c r="B43" s="326"/>
      <c r="C43" s="326"/>
      <c r="D43" s="326"/>
      <c r="E43" s="355"/>
      <c r="F43" s="10"/>
      <c r="G43" s="10"/>
      <c r="H43" s="14"/>
      <c r="I43" s="10"/>
      <c r="J43" s="10"/>
      <c r="K43" s="14"/>
      <c r="L43" s="10"/>
      <c r="M43" s="10"/>
      <c r="N43" s="14"/>
      <c r="O43" s="10"/>
      <c r="P43" s="136"/>
      <c r="Q43" s="137"/>
      <c r="R43" s="52"/>
      <c r="S43" s="136"/>
      <c r="T43" s="137"/>
      <c r="U43" s="52"/>
      <c r="V43" s="136"/>
      <c r="W43" s="36"/>
      <c r="X43" s="52"/>
      <c r="Y43" s="136"/>
      <c r="Z43" s="36"/>
      <c r="AA43" s="52"/>
      <c r="AB43" s="136"/>
      <c r="AC43" s="36"/>
      <c r="AD43" s="52"/>
      <c r="AE43" s="182"/>
      <c r="AF43" s="136"/>
      <c r="AG43" s="52"/>
      <c r="AH43" s="58"/>
      <c r="AI43" s="136"/>
      <c r="AJ43" s="136"/>
      <c r="AK43" s="136"/>
      <c r="AL43" s="136"/>
      <c r="AM43" s="136"/>
      <c r="AN43" s="136"/>
      <c r="AO43" s="136"/>
      <c r="AP43" s="136"/>
      <c r="AQ43" s="136"/>
      <c r="AR43" s="52">
        <f>'FY 2013 by Agency'!AR43</f>
        <v>0</v>
      </c>
      <c r="AS43" s="52">
        <f>'FY 2013 by Agency'!AS43</f>
        <v>0</v>
      </c>
      <c r="AT43" s="12" t="e">
        <f>AR43-AD41</f>
        <v>#REF!</v>
      </c>
      <c r="AU43" s="36" t="e">
        <f>AT43/AD41</f>
        <v>#REF!</v>
      </c>
      <c r="AV43" s="12">
        <f>AS43-AF41</f>
        <v>-371593.44235588977</v>
      </c>
      <c r="AW43" s="58">
        <f>AV43/AF41</f>
        <v>-1</v>
      </c>
      <c r="AX43" s="58"/>
      <c r="AY43" s="65">
        <f>+AS43+AZ41</f>
        <v>1691.2718599999944</v>
      </c>
      <c r="AZ43" s="65">
        <f>+AY43-AF41</f>
        <v>-369902.17049588979</v>
      </c>
      <c r="BA43" s="65"/>
      <c r="BB43" s="58">
        <f>+AZ43/AF41</f>
        <v>-0.99544859605358649</v>
      </c>
      <c r="BC43" s="58"/>
      <c r="BD43" s="292"/>
      <c r="BE43" s="282"/>
      <c r="BI43" s="139"/>
      <c r="BK43" s="322"/>
      <c r="BL43" s="571"/>
      <c r="BM43" s="136"/>
      <c r="BN43" s="218"/>
      <c r="BP43" s="52"/>
      <c r="BQ43" s="50"/>
      <c r="BR43" s="52"/>
      <c r="BS43" s="52"/>
      <c r="BT43" s="50"/>
      <c r="BU43" s="202"/>
      <c r="BV43" s="202"/>
      <c r="BW43" s="39"/>
      <c r="BX43" s="136"/>
      <c r="BY43" s="39">
        <f t="shared" si="37"/>
        <v>0</v>
      </c>
      <c r="BZ43" s="51" t="e">
        <f t="shared" si="38"/>
        <v>#DIV/0!</v>
      </c>
      <c r="CB43" s="39"/>
    </row>
    <row r="44" spans="1:81" s="13" customFormat="1" ht="18" customHeight="1">
      <c r="A44" s="64"/>
      <c r="B44" s="326"/>
      <c r="C44" s="326"/>
      <c r="D44" s="326"/>
      <c r="E44" s="355"/>
      <c r="F44" s="10"/>
      <c r="G44" s="10"/>
      <c r="H44" s="14"/>
      <c r="I44" s="10"/>
      <c r="J44" s="10"/>
      <c r="K44" s="14"/>
      <c r="L44" s="10"/>
      <c r="M44" s="10"/>
      <c r="N44" s="14"/>
      <c r="O44" s="10"/>
      <c r="P44" s="12"/>
      <c r="Q44" s="36"/>
      <c r="R44" s="52"/>
      <c r="S44" s="12"/>
      <c r="T44" s="36"/>
      <c r="U44" s="52"/>
      <c r="V44" s="12"/>
      <c r="W44" s="12"/>
      <c r="X44" s="52"/>
      <c r="Y44" s="12"/>
      <c r="Z44" s="12"/>
      <c r="AA44" s="52"/>
      <c r="AB44" s="12"/>
      <c r="AC44" s="12"/>
      <c r="AD44" s="52"/>
      <c r="AE44" s="178"/>
      <c r="AF44" s="12"/>
      <c r="AG44" s="12"/>
      <c r="AH44" s="12"/>
      <c r="AI44" s="12"/>
      <c r="AJ44" s="28"/>
      <c r="AK44" s="28"/>
      <c r="AL44" s="28"/>
      <c r="AM44" s="28"/>
      <c r="AN44" s="165"/>
      <c r="AO44" s="97"/>
      <c r="AP44" s="12"/>
      <c r="AQ44" s="12"/>
      <c r="AR44" s="12"/>
      <c r="AS44" s="12"/>
      <c r="AT44" s="12"/>
      <c r="AU44" s="30"/>
      <c r="AV44" s="97"/>
      <c r="AW44" s="136"/>
      <c r="AY44" s="28">
        <f>+AY43-2892</f>
        <v>-1200.7281400000056</v>
      </c>
      <c r="AZ44" s="13" t="s">
        <v>350</v>
      </c>
      <c r="BD44" s="295"/>
      <c r="BE44" s="304"/>
      <c r="BI44" s="28"/>
      <c r="BK44" s="323"/>
      <c r="BL44" s="572"/>
      <c r="BM44" s="12"/>
      <c r="BN44" s="290"/>
      <c r="BP44" s="52"/>
      <c r="BQ44" s="50"/>
      <c r="BR44" s="52"/>
      <c r="BS44" s="52"/>
      <c r="BT44" s="50"/>
      <c r="BU44" s="258"/>
      <c r="BV44" s="258"/>
      <c r="BW44" s="39"/>
      <c r="BY44" s="39">
        <f t="shared" si="37"/>
        <v>0</v>
      </c>
      <c r="BZ44" s="51" t="e">
        <f t="shared" si="38"/>
        <v>#DIV/0!</v>
      </c>
      <c r="CB44" s="39"/>
    </row>
    <row r="45" spans="1:81" s="13" customFormat="1" ht="18" customHeight="1">
      <c r="A45" s="73" t="s">
        <v>158</v>
      </c>
      <c r="B45" s="326"/>
      <c r="C45" s="326"/>
      <c r="D45" s="326"/>
      <c r="E45" s="355"/>
      <c r="F45" s="10"/>
      <c r="G45" s="10"/>
      <c r="H45" s="14"/>
      <c r="I45" s="10"/>
      <c r="J45" s="10"/>
      <c r="K45" s="14"/>
      <c r="L45" s="10"/>
      <c r="M45" s="10"/>
      <c r="N45" s="14"/>
      <c r="O45" s="10"/>
      <c r="P45" s="12"/>
      <c r="Q45" s="36"/>
      <c r="R45" s="52"/>
      <c r="S45" s="12"/>
      <c r="T45" s="36"/>
      <c r="U45" s="52"/>
      <c r="V45" s="12"/>
      <c r="W45" s="12"/>
      <c r="X45" s="52"/>
      <c r="Y45" s="12"/>
      <c r="Z45" s="12"/>
      <c r="AA45" s="52"/>
      <c r="AB45" s="12"/>
      <c r="AC45" s="12"/>
      <c r="AD45" s="52"/>
      <c r="AE45" s="178"/>
      <c r="AF45" s="12"/>
      <c r="AG45" s="12"/>
      <c r="AH45" s="12"/>
      <c r="AI45" s="12"/>
      <c r="AJ45" s="28"/>
      <c r="AK45" s="28"/>
      <c r="AL45" s="28"/>
      <c r="AM45" s="28"/>
      <c r="AN45" s="165"/>
      <c r="AO45" s="97"/>
      <c r="AP45" s="12"/>
      <c r="AQ45" s="12"/>
      <c r="AR45" s="12"/>
      <c r="AS45" s="12"/>
      <c r="AT45" s="12"/>
      <c r="AU45" s="30"/>
      <c r="AV45" s="97"/>
      <c r="AW45" s="136"/>
      <c r="AY45" s="28"/>
      <c r="BD45" s="295"/>
      <c r="BE45" s="304"/>
      <c r="BI45" s="28"/>
      <c r="BK45" s="323"/>
      <c r="BL45" s="572"/>
      <c r="BM45" s="12"/>
      <c r="BN45" s="290"/>
      <c r="BP45" s="52"/>
      <c r="BQ45" s="50"/>
      <c r="BR45" s="52"/>
      <c r="BS45" s="52"/>
      <c r="BT45" s="50"/>
      <c r="BU45" s="258"/>
      <c r="BV45" s="258"/>
      <c r="BW45" s="39"/>
      <c r="BY45" s="39">
        <f t="shared" si="37"/>
        <v>0</v>
      </c>
      <c r="BZ45" s="51" t="e">
        <f t="shared" si="38"/>
        <v>#DIV/0!</v>
      </c>
      <c r="CB45" s="39"/>
    </row>
    <row r="46" spans="1:81" s="13" customFormat="1" ht="18" customHeight="1">
      <c r="A46" s="73" t="s">
        <v>159</v>
      </c>
      <c r="B46" s="326"/>
      <c r="C46" s="326"/>
      <c r="D46" s="326"/>
      <c r="E46" s="355"/>
      <c r="F46" s="10"/>
      <c r="G46" s="10"/>
      <c r="H46" s="14"/>
      <c r="I46" s="10"/>
      <c r="J46" s="10"/>
      <c r="K46" s="14"/>
      <c r="L46" s="10"/>
      <c r="M46" s="10"/>
      <c r="N46" s="14"/>
      <c r="O46" s="10"/>
      <c r="P46" s="12"/>
      <c r="Q46" s="36"/>
      <c r="R46" s="52"/>
      <c r="S46" s="12"/>
      <c r="T46" s="36"/>
      <c r="U46" s="52"/>
      <c r="V46" s="12"/>
      <c r="W46" s="12"/>
      <c r="X46" s="52"/>
      <c r="Y46" s="12"/>
      <c r="Z46" s="12"/>
      <c r="AA46" s="52"/>
      <c r="AB46" s="12"/>
      <c r="AC46" s="12"/>
      <c r="AD46" s="52"/>
      <c r="AE46" s="178"/>
      <c r="AF46" s="12"/>
      <c r="AG46" s="12"/>
      <c r="AH46" s="12"/>
      <c r="AI46" s="12"/>
      <c r="AJ46" s="28"/>
      <c r="AK46" s="28"/>
      <c r="AL46" s="28"/>
      <c r="AM46" s="28"/>
      <c r="AN46" s="165"/>
      <c r="AO46" s="97"/>
      <c r="AP46" s="12"/>
      <c r="AQ46" s="12"/>
      <c r="AR46" s="12"/>
      <c r="AS46" s="12"/>
      <c r="AT46" s="12"/>
      <c r="AU46" s="30"/>
      <c r="AV46" s="97"/>
      <c r="AW46" s="136"/>
      <c r="BD46" s="295"/>
      <c r="BE46" s="304"/>
      <c r="BI46" s="28"/>
      <c r="BK46" s="323"/>
      <c r="BL46" s="572"/>
      <c r="BM46" s="12"/>
      <c r="BN46" s="290"/>
      <c r="BP46" s="52"/>
      <c r="BQ46" s="50"/>
      <c r="BR46" s="52"/>
      <c r="BS46" s="52"/>
      <c r="BT46" s="50"/>
      <c r="BU46" s="258"/>
      <c r="BV46" s="258"/>
      <c r="BW46" s="39"/>
      <c r="BY46" s="39">
        <f t="shared" si="37"/>
        <v>0</v>
      </c>
      <c r="BZ46" s="51" t="e">
        <f t="shared" si="38"/>
        <v>#DIV/0!</v>
      </c>
      <c r="CB46" s="39"/>
    </row>
    <row r="47" spans="1:81" s="13" customFormat="1" ht="18" customHeight="1">
      <c r="A47" s="73" t="s">
        <v>161</v>
      </c>
      <c r="B47" s="326"/>
      <c r="C47" s="326"/>
      <c r="D47" s="326"/>
      <c r="E47" s="355"/>
      <c r="F47" s="10"/>
      <c r="G47" s="10"/>
      <c r="H47" s="14"/>
      <c r="I47" s="10"/>
      <c r="J47" s="10"/>
      <c r="K47" s="14"/>
      <c r="L47" s="10"/>
      <c r="M47" s="10"/>
      <c r="N47" s="14"/>
      <c r="O47" s="10"/>
      <c r="P47" s="12"/>
      <c r="Q47" s="36"/>
      <c r="R47" s="52"/>
      <c r="S47" s="12"/>
      <c r="T47" s="36"/>
      <c r="U47" s="52"/>
      <c r="V47" s="12"/>
      <c r="W47" s="12"/>
      <c r="X47" s="52"/>
      <c r="Y47" s="12"/>
      <c r="Z47" s="12"/>
      <c r="AA47" s="52"/>
      <c r="AB47" s="12"/>
      <c r="AC47" s="12"/>
      <c r="AD47" s="52"/>
      <c r="AE47" s="178"/>
      <c r="AF47" s="12"/>
      <c r="AG47" s="12"/>
      <c r="AH47" s="12"/>
      <c r="AI47" s="12"/>
      <c r="AJ47" s="28"/>
      <c r="AK47" s="28"/>
      <c r="AL47" s="28"/>
      <c r="AM47" s="28"/>
      <c r="AN47" s="165"/>
      <c r="AO47" s="97"/>
      <c r="AP47" s="12"/>
      <c r="AQ47" s="12"/>
      <c r="AR47" s="12"/>
      <c r="AS47" s="12"/>
      <c r="AT47" s="12"/>
      <c r="AU47" s="30"/>
      <c r="AV47" s="97"/>
      <c r="AW47" s="136"/>
      <c r="BD47" s="295"/>
      <c r="BE47" s="304"/>
      <c r="BI47" s="28"/>
      <c r="BK47" s="323"/>
      <c r="BL47" s="572"/>
      <c r="BM47" s="12"/>
      <c r="BN47" s="290"/>
      <c r="BP47" s="52"/>
      <c r="BQ47" s="50"/>
      <c r="BR47" s="52"/>
      <c r="BS47" s="52"/>
      <c r="BT47" s="50"/>
      <c r="BU47" s="258"/>
      <c r="BV47" s="258"/>
      <c r="BW47" s="39"/>
      <c r="BY47" s="39">
        <f t="shared" si="37"/>
        <v>0</v>
      </c>
      <c r="BZ47" s="51" t="e">
        <f t="shared" si="38"/>
        <v>#DIV/0!</v>
      </c>
      <c r="CB47" s="39"/>
    </row>
    <row r="48" spans="1:81" ht="18" customHeight="1">
      <c r="A48" s="73" t="s">
        <v>163</v>
      </c>
      <c r="B48" s="326"/>
      <c r="C48" s="326"/>
      <c r="D48" s="326"/>
      <c r="E48" s="355"/>
      <c r="F48" s="10"/>
      <c r="G48" s="10"/>
      <c r="H48" s="14"/>
      <c r="I48" s="10"/>
      <c r="J48" s="10"/>
      <c r="K48" s="14"/>
      <c r="L48" s="10"/>
      <c r="M48" s="10"/>
      <c r="N48" s="14"/>
      <c r="O48" s="10"/>
      <c r="Q48" s="58"/>
      <c r="R48" s="52"/>
      <c r="S48" s="52"/>
      <c r="T48" s="58"/>
      <c r="U48" s="52"/>
      <c r="V48" s="52"/>
      <c r="W48" s="58"/>
      <c r="X48" s="52"/>
      <c r="AA48" s="52"/>
      <c r="AD48" s="52"/>
      <c r="AI48" s="157"/>
      <c r="AM48" s="84"/>
      <c r="AN48" s="172"/>
      <c r="BD48" s="292"/>
      <c r="BI48" s="65"/>
      <c r="BL48" s="572"/>
      <c r="BM48" s="12"/>
      <c r="BN48" s="51"/>
      <c r="BP48" s="52"/>
      <c r="BR48" s="52"/>
      <c r="BS48" s="52"/>
      <c r="BW48" s="39"/>
      <c r="BY48" s="39">
        <f t="shared" si="37"/>
        <v>0</v>
      </c>
      <c r="BZ48" s="51" t="e">
        <f t="shared" si="38"/>
        <v>#DIV/0!</v>
      </c>
      <c r="CB48" s="39"/>
    </row>
    <row r="49" spans="1:80" ht="18" customHeight="1">
      <c r="A49" s="73" t="s">
        <v>360</v>
      </c>
      <c r="B49" s="326"/>
      <c r="C49" s="326"/>
      <c r="D49" s="326"/>
      <c r="E49" s="355"/>
      <c r="F49" s="10"/>
      <c r="G49" s="10"/>
      <c r="H49" s="14"/>
      <c r="I49" s="10"/>
      <c r="J49" s="10"/>
      <c r="K49" s="14"/>
      <c r="L49" s="10"/>
      <c r="M49" s="10"/>
      <c r="N49" s="14"/>
      <c r="O49" s="10"/>
      <c r="Q49" s="58"/>
      <c r="R49" s="52"/>
      <c r="S49" s="52"/>
      <c r="T49" s="58"/>
      <c r="U49" s="52"/>
      <c r="V49" s="52"/>
      <c r="W49" s="58"/>
      <c r="X49" s="52"/>
      <c r="AA49" s="52"/>
      <c r="AD49" s="52"/>
      <c r="AI49" s="157"/>
      <c r="AM49" s="84"/>
      <c r="AN49" s="172"/>
      <c r="BD49" s="292"/>
      <c r="BI49" s="65"/>
      <c r="BL49" s="572"/>
      <c r="BM49" s="12"/>
      <c r="BN49" s="51"/>
      <c r="BP49" s="52"/>
      <c r="BR49" s="52"/>
      <c r="BS49" s="52"/>
      <c r="BW49" s="39"/>
      <c r="BY49" s="39">
        <f t="shared" si="37"/>
        <v>0</v>
      </c>
      <c r="BZ49" s="51" t="e">
        <f t="shared" si="38"/>
        <v>#DIV/0!</v>
      </c>
      <c r="CB49" s="39"/>
    </row>
    <row r="50" spans="1:80" s="118" customFormat="1" ht="18" customHeight="1">
      <c r="A50" s="116" t="s">
        <v>50</v>
      </c>
      <c r="B50" s="358"/>
      <c r="C50" s="358"/>
      <c r="D50" s="358"/>
      <c r="E50" s="361"/>
      <c r="F50" s="362"/>
      <c r="G50" s="362"/>
      <c r="H50" s="364"/>
      <c r="I50" s="362"/>
      <c r="J50" s="362"/>
      <c r="K50" s="364"/>
      <c r="L50" s="362"/>
      <c r="M50" s="362"/>
      <c r="N50" s="364"/>
      <c r="O50" s="362"/>
      <c r="P50" s="105"/>
      <c r="Q50" s="117"/>
      <c r="R50" s="107"/>
      <c r="T50" s="119"/>
      <c r="U50" s="107"/>
      <c r="W50" s="119"/>
      <c r="X50" s="107"/>
      <c r="AA50" s="107"/>
      <c r="AC50" s="120"/>
      <c r="AD50" s="107"/>
      <c r="AE50" s="179"/>
      <c r="AF50" s="162"/>
      <c r="AG50" s="162"/>
      <c r="AH50" s="162"/>
      <c r="AI50" s="162"/>
      <c r="AM50" s="123"/>
      <c r="AN50" s="170"/>
      <c r="AO50" s="124"/>
      <c r="AP50" s="154"/>
      <c r="AQ50" s="154"/>
      <c r="AR50" s="154"/>
      <c r="AS50" s="107"/>
      <c r="AT50" s="107"/>
      <c r="AU50" s="121"/>
      <c r="AV50" s="124"/>
      <c r="AW50" s="154"/>
      <c r="BD50" s="296"/>
      <c r="BE50" s="305"/>
      <c r="BI50" s="120"/>
      <c r="BK50" s="324"/>
      <c r="BL50" s="574"/>
      <c r="BM50" s="142"/>
      <c r="BN50" s="357"/>
      <c r="BP50" s="107"/>
      <c r="BQ50" s="109"/>
      <c r="BR50" s="107"/>
      <c r="BS50" s="107"/>
      <c r="BT50" s="109"/>
      <c r="BU50" s="154"/>
      <c r="BV50" s="154"/>
      <c r="BW50" s="562"/>
      <c r="BY50" s="39">
        <f t="shared" si="37"/>
        <v>0</v>
      </c>
      <c r="BZ50" s="51" t="e">
        <f t="shared" si="38"/>
        <v>#DIV/0!</v>
      </c>
      <c r="CB50" s="39"/>
    </row>
    <row r="51" spans="1:80" ht="18" customHeight="1">
      <c r="A51" s="59" t="s">
        <v>164</v>
      </c>
      <c r="B51" s="326">
        <f>'FY 2013 by Agency'!B51*Inflator!$E$2</f>
        <v>20520.776714513559</v>
      </c>
      <c r="C51" s="326">
        <f>'FY 2013 by Agency'!C51*Inflator!$E$3</f>
        <v>27646.170015455951</v>
      </c>
      <c r="D51" s="326">
        <f t="shared" si="6"/>
        <v>7125.3933009423927</v>
      </c>
      <c r="E51" s="355">
        <f t="shared" si="7"/>
        <v>0.34722824579553441</v>
      </c>
      <c r="F51" s="10">
        <f>'FY 2013 by Agency'!F51*Inflator!$E$4</f>
        <v>26052.195660449182</v>
      </c>
      <c r="G51" s="10">
        <f t="shared" si="8"/>
        <v>-1593.9743550067687</v>
      </c>
      <c r="H51" s="14">
        <f t="shared" si="9"/>
        <v>-5.7656245118786316E-2</v>
      </c>
      <c r="I51" s="10">
        <f>'FY 2013 by Agency'!I51*Inflator!$E$5</f>
        <v>27820.888062476763</v>
      </c>
      <c r="J51" s="10">
        <f t="shared" si="10"/>
        <v>1768.6924020275801</v>
      </c>
      <c r="K51" s="14">
        <f t="shared" si="11"/>
        <v>6.7890339266593894E-2</v>
      </c>
      <c r="L51" s="10">
        <f>'FY 2013 by Agency'!L51*Inflator!$E$6</f>
        <v>39150.493638676839</v>
      </c>
      <c r="M51" s="10">
        <f t="shared" si="12"/>
        <v>11329.605576200076</v>
      </c>
      <c r="N51" s="14">
        <f t="shared" si="13"/>
        <v>0.4072337860228411</v>
      </c>
      <c r="O51" s="10">
        <f>'FY 2013 by Agency'!O51*Inflator!$E$7</f>
        <v>36309.920450545578</v>
      </c>
      <c r="P51" s="52">
        <f>O51-L51</f>
        <v>-2840.5731881312604</v>
      </c>
      <c r="Q51" s="58">
        <f t="shared" ref="Q51:Q74" si="45">P51/L51</f>
        <v>-7.2555233002861888E-2</v>
      </c>
      <c r="R51" s="52">
        <f>'FY 2013 by Agency'!R51*Inflator!$E$8</f>
        <v>49929.60760353021</v>
      </c>
      <c r="S51" s="52">
        <f t="shared" ref="S51:S74" si="46">R51-O51</f>
        <v>13619.687152984632</v>
      </c>
      <c r="T51" s="58">
        <f t="shared" ref="T51:T74" si="47">S51/O51</f>
        <v>0.37509548310728918</v>
      </c>
      <c r="U51" s="52">
        <f>'FY 2013 by Agency'!U51*Inflator!$E$9</f>
        <v>51851.046419098137</v>
      </c>
      <c r="V51" s="52">
        <f>U51-R51</f>
        <v>1921.4388155679262</v>
      </c>
      <c r="W51" s="58">
        <f>V51/R51</f>
        <v>3.8482954459110819E-2</v>
      </c>
      <c r="X51" s="52">
        <f>'FY 2013 by Agency'!X51*Inflator!$E$10</f>
        <v>69031.519212448402</v>
      </c>
      <c r="Y51" s="39">
        <f t="shared" ref="Y51:Y71" si="48">X51-U51</f>
        <v>17180.472793350265</v>
      </c>
      <c r="Z51" s="58">
        <f t="shared" ref="Z51:Z58" si="49">Y51/U51</f>
        <v>0.33134283644895224</v>
      </c>
      <c r="AA51" s="52">
        <f>'FY 2013 by Agency'!AA51*Inflator!$E$11</f>
        <v>59456.881172347894</v>
      </c>
      <c r="AB51" s="39">
        <f t="shared" ref="AB51:AB71" si="50">AA51-X51</f>
        <v>-9574.6380401005081</v>
      </c>
      <c r="AC51" s="58">
        <f t="shared" ref="AC51:AC58" si="51">AB51/X51</f>
        <v>-0.13869951218419543</v>
      </c>
      <c r="AD51" s="52" t="e">
        <f>'FY 2013 by Agency'!AD51*Inflator!#REF!</f>
        <v>#REF!</v>
      </c>
      <c r="AE51" s="52">
        <f>'FY 2013 by Agency'!AE51*Inflator!$B$8</f>
        <v>0</v>
      </c>
      <c r="AF51" s="52">
        <f>'FY 2013 by Agency'!AF51*Inflator!$E$12</f>
        <v>29458.914160401007</v>
      </c>
      <c r="AG51" s="52">
        <f t="shared" ref="AG51:AG73" si="52">AF51-AA51</f>
        <v>-29997.967011946886</v>
      </c>
      <c r="AH51" s="58">
        <f t="shared" ref="AH51:AH73" si="53">AG51/AA51</f>
        <v>-0.50453314099997382</v>
      </c>
      <c r="AI51" s="52">
        <f>'FY 2013 by Agency'!AI51*Inflator!$B$8</f>
        <v>0</v>
      </c>
      <c r="AJ51" s="52">
        <f>'FY 2013 by Agency'!AJ51*Inflator!$B$8</f>
        <v>0</v>
      </c>
      <c r="AK51" s="52">
        <f>'FY 2013 by Agency'!AK51</f>
        <v>3040</v>
      </c>
      <c r="AL51" s="52">
        <f>'FY 2013 by Agency'!AL51</f>
        <v>680</v>
      </c>
      <c r="AM51" s="52">
        <f>'FY 2013 by Agency'!AM51</f>
        <v>3720</v>
      </c>
      <c r="AN51" s="52">
        <f>'FY 2013 by Agency'!AN51</f>
        <v>2403</v>
      </c>
      <c r="AO51" s="52">
        <f>'FY 2013 by Agency'!AO51</f>
        <v>17074</v>
      </c>
      <c r="AP51" s="52">
        <f>'FY 2013 by Agency'!AP51</f>
        <v>611</v>
      </c>
      <c r="AQ51" s="52">
        <f>'FY 2013 by Agency'!AQ51</f>
        <v>601</v>
      </c>
      <c r="AR51" s="52">
        <f>'FY 2013 by Agency'!AR51</f>
        <v>1212</v>
      </c>
      <c r="AS51" s="52">
        <f>'FY 2013 by Agency'!AS51</f>
        <v>16868.30013</v>
      </c>
      <c r="AT51" s="52" t="e">
        <f t="shared" ref="AT51:AT74" si="54">AR51-AD51</f>
        <v>#REF!</v>
      </c>
      <c r="AU51" s="58" t="e">
        <f t="shared" ref="AU51:AU74" si="55">AT51/AD51</f>
        <v>#REF!</v>
      </c>
      <c r="AV51" s="52">
        <f t="shared" ref="AV51:AV74" si="56">AS51-AF51</f>
        <v>-12590.614030401008</v>
      </c>
      <c r="AW51" s="58">
        <f t="shared" ref="AW51:AW74" si="57">AV51/AF51</f>
        <v>-0.42739572687052557</v>
      </c>
      <c r="AX51" s="39">
        <f>2295+6793+7878</f>
        <v>16966</v>
      </c>
      <c r="AY51" s="39">
        <f>2295+6793+7878</f>
        <v>16966</v>
      </c>
      <c r="AZ51" s="39">
        <f t="shared" ref="AZ51:AZ73" si="58">+AY51-AO51</f>
        <v>-108</v>
      </c>
      <c r="BA51" s="39">
        <f t="shared" ref="BA51:BA73" si="59">+AZ51+AV51</f>
        <v>-12698.614030401008</v>
      </c>
      <c r="BB51" s="39">
        <f t="shared" ref="BB51:BB73" si="60">+AZ51+AS51</f>
        <v>16760.30013</v>
      </c>
      <c r="BC51" s="58">
        <f t="shared" ref="BC51:BC74" si="61">+BB51/AF51-1</f>
        <v>-0.43106184977688766</v>
      </c>
      <c r="BD51" s="294">
        <v>82.584999999999994</v>
      </c>
      <c r="BE51" s="51">
        <f t="shared" ref="BE51:BE64" si="62">BD51/AY51</f>
        <v>4.8676765295296472E-3</v>
      </c>
      <c r="BG51" s="50">
        <v>1126</v>
      </c>
      <c r="BH51" s="50">
        <v>199</v>
      </c>
      <c r="BI51" s="219">
        <v>15457</v>
      </c>
      <c r="BJ51" s="39">
        <f>BI51-AY51</f>
        <v>-1509</v>
      </c>
      <c r="BK51" s="65">
        <f>BI51+AP51+AQ51</f>
        <v>16669</v>
      </c>
      <c r="BL51" s="575">
        <f>'FY 2013 by Agency'!AS51*Inflator!$E$13</f>
        <v>17491.145511669212</v>
      </c>
      <c r="BM51" s="258">
        <f>BL51-AF51</f>
        <v>-11967.768648731795</v>
      </c>
      <c r="BN51" s="51">
        <f>BM51/AF51</f>
        <v>-0.40625287760330964</v>
      </c>
      <c r="BO51" s="52">
        <f>'FY 2013 by Agency'!AX51*Inflator!$E$13</f>
        <v>16027.734513274339</v>
      </c>
      <c r="BP51" s="52">
        <f t="shared" si="32"/>
        <v>-13431.179647126668</v>
      </c>
      <c r="BQ51" s="51">
        <f t="shared" si="33"/>
        <v>-0.45592921633143579</v>
      </c>
      <c r="BR51" s="52">
        <f>'FY 2013 by Agency'!BE51*Inflator!$E$14</f>
        <v>13411.3956404897</v>
      </c>
      <c r="BS51" s="52">
        <f t="shared" si="34"/>
        <v>-2616.3388727846395</v>
      </c>
      <c r="BT51" s="51">
        <f t="shared" si="35"/>
        <v>-0.16323822126063792</v>
      </c>
      <c r="BU51" s="52">
        <f>'FY 2013 by Agency'!BL51*Inflator!$E$14</f>
        <v>13763.472678411466</v>
      </c>
      <c r="BV51" s="52">
        <f>BU51-BL51</f>
        <v>-3727.6728332577459</v>
      </c>
      <c r="BW51" s="495">
        <v>19527</v>
      </c>
      <c r="BX51" s="39">
        <f>'FY 2013 by Agency'!BV51*Inflator!E15</f>
        <v>23635</v>
      </c>
      <c r="BY51" s="39">
        <f t="shared" si="37"/>
        <v>6115.6043595103001</v>
      </c>
      <c r="BZ51" s="51">
        <f t="shared" si="38"/>
        <v>0.4560005925891093</v>
      </c>
      <c r="CB51" s="39"/>
    </row>
    <row r="52" spans="1:80" ht="18" customHeight="1">
      <c r="A52" s="59" t="s">
        <v>63</v>
      </c>
      <c r="B52" s="326">
        <f>'FY 2013 by Agency'!B52*Inflator!$E$2</f>
        <v>0</v>
      </c>
      <c r="C52" s="326">
        <f>'FY 2013 by Agency'!C52*Inflator!$E$3</f>
        <v>0</v>
      </c>
      <c r="D52" s="326">
        <f t="shared" si="6"/>
        <v>0</v>
      </c>
      <c r="E52" s="328" t="s">
        <v>78</v>
      </c>
      <c r="F52" s="10">
        <f>'FY 2013 by Agency'!F52*Inflator!$E$4</f>
        <v>7045.6437000380665</v>
      </c>
      <c r="G52" s="10">
        <f t="shared" si="8"/>
        <v>7045.6437000380665</v>
      </c>
      <c r="H52" s="328" t="s">
        <v>78</v>
      </c>
      <c r="I52" s="10">
        <f>'FY 2013 by Agency'!I52*Inflator!$E$5</f>
        <v>7728.586091483824</v>
      </c>
      <c r="J52" s="10">
        <f t="shared" si="10"/>
        <v>682.94239144575749</v>
      </c>
      <c r="K52" s="328" t="s">
        <v>78</v>
      </c>
      <c r="L52" s="10">
        <f>'FY 2013 by Agency'!L52*Inflator!$E$6</f>
        <v>7542.0530716103231</v>
      </c>
      <c r="M52" s="10">
        <f t="shared" si="12"/>
        <v>-186.53301987350096</v>
      </c>
      <c r="N52" s="14">
        <f t="shared" si="13"/>
        <v>-2.4135465098725217E-2</v>
      </c>
      <c r="O52" s="10">
        <f>'FY 2013 by Agency'!O52*Inflator!$E$7</f>
        <v>7111.7592397043281</v>
      </c>
      <c r="P52" s="52">
        <f t="shared" ref="P52:P74" si="63">O52-L52</f>
        <v>-430.29383190599492</v>
      </c>
      <c r="Q52" s="58">
        <f t="shared" si="45"/>
        <v>-5.7052612573849443E-2</v>
      </c>
      <c r="R52" s="52">
        <f>'FY 2013 by Agency'!R52*Inflator!$E$8</f>
        <v>6825.9891378139846</v>
      </c>
      <c r="S52" s="52">
        <f t="shared" si="46"/>
        <v>-285.77010189034354</v>
      </c>
      <c r="T52" s="58">
        <f t="shared" si="47"/>
        <v>-4.0182758197847043E-2</v>
      </c>
      <c r="U52" s="52">
        <f>'FY 2013 by Agency'!U52*Inflator!$E$9</f>
        <v>7394.2553050397873</v>
      </c>
      <c r="V52" s="52">
        <f t="shared" ref="V52:V71" si="64">U52-R52</f>
        <v>568.26616722580275</v>
      </c>
      <c r="W52" s="58">
        <f t="shared" ref="W52:W70" si="65">V52/R52</f>
        <v>8.32503767223675E-2</v>
      </c>
      <c r="X52" s="52">
        <f>'FY 2013 by Agency'!X52*Inflator!$E$10</f>
        <v>8677.9028262940628</v>
      </c>
      <c r="Y52" s="39">
        <f t="shared" si="48"/>
        <v>1283.6475212542755</v>
      </c>
      <c r="Z52" s="58">
        <f t="shared" si="49"/>
        <v>0.17360064919307899</v>
      </c>
      <c r="AA52" s="52">
        <f>'FY 2013 by Agency'!AA52*Inflator!$E$11</f>
        <v>10200.495062121696</v>
      </c>
      <c r="AB52" s="39">
        <f t="shared" si="50"/>
        <v>1522.592235827633</v>
      </c>
      <c r="AC52" s="58">
        <f t="shared" si="51"/>
        <v>0.17545624401487597</v>
      </c>
      <c r="AD52" s="52" t="e">
        <f>'FY 2013 by Agency'!AD52*Inflator!#REF!</f>
        <v>#REF!</v>
      </c>
      <c r="AE52" s="52">
        <f>'FY 2013 by Agency'!AE52*Inflator!$B$8</f>
        <v>0</v>
      </c>
      <c r="AF52" s="52">
        <f>'FY 2013 by Agency'!AF52*Inflator!$E$12</f>
        <v>7716.8239348370935</v>
      </c>
      <c r="AG52" s="52">
        <f t="shared" si="52"/>
        <v>-2483.6711272846023</v>
      </c>
      <c r="AH52" s="58">
        <f t="shared" si="53"/>
        <v>-0.24348535165782439</v>
      </c>
      <c r="AI52" s="52">
        <f>'FY 2013 by Agency'!AI52*Inflator!$B$8</f>
        <v>0</v>
      </c>
      <c r="AJ52" s="52">
        <f>'FY 2013 by Agency'!AJ52*Inflator!$B$8</f>
        <v>0</v>
      </c>
      <c r="AK52" s="52">
        <f>'FY 2013 by Agency'!AK52</f>
        <v>8369</v>
      </c>
      <c r="AL52" s="52">
        <f>'FY 2013 by Agency'!AL52</f>
        <v>0</v>
      </c>
      <c r="AM52" s="52">
        <f>'FY 2013 by Agency'!AM52</f>
        <v>8369</v>
      </c>
      <c r="AN52" s="52">
        <f>'FY 2013 by Agency'!AN52</f>
        <v>6112</v>
      </c>
      <c r="AO52" s="52">
        <f>'FY 2013 by Agency'!AO52</f>
        <v>6130</v>
      </c>
      <c r="AP52" s="52">
        <f>'FY 2013 by Agency'!AP52</f>
        <v>977</v>
      </c>
      <c r="AQ52" s="52">
        <f>'FY 2013 by Agency'!AQ52</f>
        <v>95</v>
      </c>
      <c r="AR52" s="52">
        <f>'FY 2013 by Agency'!AR52</f>
        <v>1072</v>
      </c>
      <c r="AS52" s="52">
        <f>'FY 2013 by Agency'!AS52</f>
        <v>6571.4900099999995</v>
      </c>
      <c r="AT52" s="52" t="e">
        <f t="shared" si="54"/>
        <v>#REF!</v>
      </c>
      <c r="AU52" s="58" t="e">
        <f t="shared" si="55"/>
        <v>#REF!</v>
      </c>
      <c r="AV52" s="52">
        <f t="shared" si="56"/>
        <v>-1145.3339248370939</v>
      </c>
      <c r="AW52" s="58">
        <f t="shared" si="57"/>
        <v>-0.14842037793120552</v>
      </c>
      <c r="AX52" s="39">
        <f>6112+18</f>
        <v>6130</v>
      </c>
      <c r="AY52" s="39">
        <f>6112+18</f>
        <v>6130</v>
      </c>
      <c r="AZ52" s="39">
        <f t="shared" si="58"/>
        <v>0</v>
      </c>
      <c r="BA52" s="39">
        <f t="shared" si="59"/>
        <v>-1145.3339248370939</v>
      </c>
      <c r="BB52" s="39">
        <f t="shared" si="60"/>
        <v>6571.4900099999995</v>
      </c>
      <c r="BC52" s="58">
        <f t="shared" si="61"/>
        <v>-0.14842037793120555</v>
      </c>
      <c r="BD52" s="294">
        <v>73.468999999999994</v>
      </c>
      <c r="BE52" s="51">
        <f t="shared" si="62"/>
        <v>1.1985154975530179E-2</v>
      </c>
      <c r="BF52" s="50">
        <v>75</v>
      </c>
      <c r="BI52" s="65">
        <v>5974</v>
      </c>
      <c r="BJ52" s="39">
        <f t="shared" ref="BJ52:BJ74" si="66">BI52-AY52</f>
        <v>-156</v>
      </c>
      <c r="BK52" s="65">
        <f t="shared" ref="BK52:BK73" si="67">BI52+AP52+AQ52</f>
        <v>7046</v>
      </c>
      <c r="BL52" s="575">
        <f>'FY 2013 by Agency'!AS52*Inflator!$E$13</f>
        <v>6814.1358114067752</v>
      </c>
      <c r="BM52" s="258">
        <f t="shared" ref="BM52:BM74" si="68">BL52-AF52</f>
        <v>-902.68812343031823</v>
      </c>
      <c r="BN52" s="51">
        <f t="shared" ref="BN52:BN74" si="69">BM52/AF52</f>
        <v>-0.11697663845292519</v>
      </c>
      <c r="BO52" s="52">
        <f>'FY 2013 by Agency'!AX52*Inflator!$E$13</f>
        <v>6194.5840707964617</v>
      </c>
      <c r="BP52" s="52">
        <f t="shared" si="32"/>
        <v>-1522.2398640406318</v>
      </c>
      <c r="BQ52" s="51">
        <f t="shared" si="33"/>
        <v>-0.19726248478581715</v>
      </c>
      <c r="BR52" s="52">
        <f>'FY 2013 by Agency'!BE52*Inflator!$E$14</f>
        <v>6367.8256195879376</v>
      </c>
      <c r="BS52" s="52">
        <f t="shared" si="34"/>
        <v>173.24154879147591</v>
      </c>
      <c r="BT52" s="51">
        <f t="shared" si="35"/>
        <v>2.7966615161169581E-2</v>
      </c>
      <c r="BU52" s="52">
        <f>'FY 2013 by Agency'!BL52*Inflator!$E$14</f>
        <v>7655.3926545237391</v>
      </c>
      <c r="BV52" s="52">
        <f t="shared" ref="BV52:BV74" si="70">BU52-BL52</f>
        <v>841.25684311696386</v>
      </c>
      <c r="BW52" s="495">
        <v>6389</v>
      </c>
      <c r="BX52" s="39">
        <f>'FY 2013 by Agency'!BV52*Inflator!E15</f>
        <v>7728</v>
      </c>
      <c r="BY52" s="39">
        <f t="shared" si="37"/>
        <v>21.174380412062419</v>
      </c>
      <c r="BZ52" s="51">
        <f t="shared" si="38"/>
        <v>3.3252136093250327E-3</v>
      </c>
      <c r="CB52" s="39"/>
    </row>
    <row r="53" spans="1:80" ht="18" customHeight="1">
      <c r="A53" s="59" t="s">
        <v>102</v>
      </c>
      <c r="B53" s="326">
        <f>'FY 2013 by Agency'!B53*Inflator!$E$2</f>
        <v>0</v>
      </c>
      <c r="C53" s="326">
        <f>'FY 2013 by Agency'!C53*Inflator!$E$3</f>
        <v>0</v>
      </c>
      <c r="D53" s="326">
        <f t="shared" si="6"/>
        <v>0</v>
      </c>
      <c r="E53" s="328" t="s">
        <v>78</v>
      </c>
      <c r="F53" s="10">
        <f>'FY 2013 by Agency'!F53*Inflator!$E$4</f>
        <v>1572.8846593071946</v>
      </c>
      <c r="G53" s="10">
        <f t="shared" si="8"/>
        <v>1572.8846593071946</v>
      </c>
      <c r="H53" s="328" t="s">
        <v>78</v>
      </c>
      <c r="I53" s="10">
        <f>'FY 2013 by Agency'!I53*Inflator!$E$5</f>
        <v>1211.8564522127188</v>
      </c>
      <c r="J53" s="10">
        <f t="shared" si="10"/>
        <v>-361.02820709447587</v>
      </c>
      <c r="K53" s="328" t="s">
        <v>78</v>
      </c>
      <c r="L53" s="10">
        <f>'FY 2013 by Agency'!L53*Inflator!$E$6</f>
        <v>1237.6575790621591</v>
      </c>
      <c r="M53" s="10">
        <f t="shared" si="12"/>
        <v>25.801126849440379</v>
      </c>
      <c r="N53" s="14">
        <f t="shared" si="13"/>
        <v>2.1290580086717626E-2</v>
      </c>
      <c r="O53" s="10">
        <f>'FY 2013 by Agency'!O53*Inflator!$E$7</f>
        <v>1174.5286870820132</v>
      </c>
      <c r="P53" s="52">
        <f t="shared" si="63"/>
        <v>-63.128891980145909</v>
      </c>
      <c r="Q53" s="58">
        <f t="shared" si="45"/>
        <v>-5.1006751017500435E-2</v>
      </c>
      <c r="R53" s="52">
        <f>'FY 2013 by Agency'!R53*Inflator!$E$8</f>
        <v>1958.5213849287168</v>
      </c>
      <c r="S53" s="52">
        <f t="shared" si="46"/>
        <v>783.99269784670355</v>
      </c>
      <c r="T53" s="58">
        <f t="shared" si="47"/>
        <v>0.66749557202765886</v>
      </c>
      <c r="U53" s="52">
        <f>'FY 2013 by Agency'!U53*Inflator!$E$9</f>
        <v>2307.3952254641908</v>
      </c>
      <c r="V53" s="52">
        <f t="shared" si="64"/>
        <v>348.87384053547407</v>
      </c>
      <c r="W53" s="58">
        <f t="shared" si="65"/>
        <v>0.17813123881114623</v>
      </c>
      <c r="X53" s="52">
        <f>'FY 2013 by Agency'!X53*Inflator!$E$10</f>
        <v>4848.273737694507</v>
      </c>
      <c r="Y53" s="39">
        <f t="shared" si="48"/>
        <v>2540.8785122303161</v>
      </c>
      <c r="Z53" s="58">
        <f t="shared" si="49"/>
        <v>1.101189117577009</v>
      </c>
      <c r="AA53" s="52">
        <f>'FY 2013 by Agency'!AA53*Inflator!$E$11</f>
        <v>3491.0958904109593</v>
      </c>
      <c r="AB53" s="39">
        <f t="shared" si="50"/>
        <v>-1357.1778472835476</v>
      </c>
      <c r="AC53" s="58">
        <f t="shared" si="51"/>
        <v>-0.27993011960766978</v>
      </c>
      <c r="AD53" s="52" t="e">
        <f>'FY 2013 by Agency'!AD53*Inflator!#REF!</f>
        <v>#REF!</v>
      </c>
      <c r="AE53" s="52">
        <f>'FY 2013 by Agency'!AE53*Inflator!$B$8</f>
        <v>0</v>
      </c>
      <c r="AF53" s="52">
        <f>'FY 2013 by Agency'!AF53*Inflator!$E$12</f>
        <v>2489.9505012531331</v>
      </c>
      <c r="AG53" s="52">
        <f t="shared" si="52"/>
        <v>-1001.1453891578262</v>
      </c>
      <c r="AH53" s="58">
        <f t="shared" si="53"/>
        <v>-0.28677109440267334</v>
      </c>
      <c r="AI53" s="52">
        <f>'FY 2013 by Agency'!AI53*Inflator!$B$8</f>
        <v>0</v>
      </c>
      <c r="AJ53" s="52">
        <f>'FY 2013 by Agency'!AJ53*Inflator!$B$8</f>
        <v>0</v>
      </c>
      <c r="AK53" s="52">
        <f>'FY 2013 by Agency'!AK53</f>
        <v>2453</v>
      </c>
      <c r="AL53" s="52">
        <f>'FY 2013 by Agency'!AL53</f>
        <v>0</v>
      </c>
      <c r="AM53" s="52">
        <f>'FY 2013 by Agency'!AM53</f>
        <v>2453</v>
      </c>
      <c r="AN53" s="52">
        <f>'FY 2013 by Agency'!AN53</f>
        <v>2114</v>
      </c>
      <c r="AO53" s="52">
        <f>'FY 2013 by Agency'!AO53</f>
        <v>2114</v>
      </c>
      <c r="AP53" s="52">
        <f>'FY 2013 by Agency'!AP53</f>
        <v>88</v>
      </c>
      <c r="AQ53" s="52">
        <f>'FY 2013 by Agency'!AQ53</f>
        <v>28</v>
      </c>
      <c r="AR53" s="52">
        <f>'FY 2013 by Agency'!AR53</f>
        <v>116</v>
      </c>
      <c r="AS53" s="52">
        <f>'FY 2013 by Agency'!AS53</f>
        <v>7651.7482600000003</v>
      </c>
      <c r="AT53" s="52" t="e">
        <f t="shared" si="54"/>
        <v>#REF!</v>
      </c>
      <c r="AU53" s="58" t="e">
        <f t="shared" si="55"/>
        <v>#REF!</v>
      </c>
      <c r="AV53" s="52">
        <f t="shared" si="56"/>
        <v>5161.7977587468667</v>
      </c>
      <c r="AW53" s="58">
        <f t="shared" si="57"/>
        <v>2.0730523583296359</v>
      </c>
      <c r="AX53" s="39">
        <v>4599</v>
      </c>
      <c r="AY53" s="39">
        <v>4599</v>
      </c>
      <c r="AZ53" s="39">
        <f t="shared" si="58"/>
        <v>2485</v>
      </c>
      <c r="BA53" s="39">
        <f t="shared" si="59"/>
        <v>7646.7977587468667</v>
      </c>
      <c r="BB53" s="39">
        <f t="shared" si="60"/>
        <v>10136.74826</v>
      </c>
      <c r="BC53" s="58">
        <f t="shared" si="61"/>
        <v>3.0710641656926176</v>
      </c>
      <c r="BD53" s="294">
        <v>273.30599999999998</v>
      </c>
      <c r="BE53" s="51">
        <f t="shared" si="62"/>
        <v>5.9427266797129806E-2</v>
      </c>
      <c r="BF53" s="50">
        <v>1810</v>
      </c>
      <c r="BI53" s="65">
        <v>4653</v>
      </c>
      <c r="BJ53" s="39">
        <f t="shared" si="66"/>
        <v>54</v>
      </c>
      <c r="BK53" s="65">
        <f t="shared" si="67"/>
        <v>4769</v>
      </c>
      <c r="BL53" s="575">
        <f>'FY 2013 by Agency'!AS53*Inflator!$E$13</f>
        <v>7934.2815341715004</v>
      </c>
      <c r="BM53" s="258">
        <f t="shared" si="68"/>
        <v>5444.3310329183678</v>
      </c>
      <c r="BN53" s="51">
        <f t="shared" si="69"/>
        <v>2.1865217923723241</v>
      </c>
      <c r="BO53" s="52">
        <f>'FY 2013 by Agency'!AX53*Inflator!$E$13</f>
        <v>7959.4287458040908</v>
      </c>
      <c r="BP53" s="52">
        <f t="shared" si="32"/>
        <v>5469.4782445509572</v>
      </c>
      <c r="BQ53" s="51">
        <f t="shared" si="33"/>
        <v>2.1966212749202438</v>
      </c>
      <c r="BR53" s="52">
        <f>'FY 2013 by Agency'!BE53*Inflator!$E$14</f>
        <v>4922.9907435055247</v>
      </c>
      <c r="BS53" s="52">
        <f t="shared" si="34"/>
        <v>-3036.4380022985661</v>
      </c>
      <c r="BT53" s="51">
        <f t="shared" si="35"/>
        <v>-0.38148943840966743</v>
      </c>
      <c r="BU53" s="52">
        <f>'FY 2013 by Agency'!BL53*Inflator!$E$14</f>
        <v>5033.5855479247539</v>
      </c>
      <c r="BV53" s="52">
        <f t="shared" si="70"/>
        <v>-2900.6959862467465</v>
      </c>
      <c r="BW53" s="495">
        <v>5276</v>
      </c>
      <c r="BX53" s="39">
        <f>'FY 2013 by Agency'!BV53*Inflator!E15</f>
        <v>5363</v>
      </c>
      <c r="BY53" s="39">
        <f t="shared" si="37"/>
        <v>353.00925649447527</v>
      </c>
      <c r="BZ53" s="51">
        <f t="shared" si="38"/>
        <v>7.1706260459695109E-2</v>
      </c>
      <c r="CB53" s="39"/>
    </row>
    <row r="54" spans="1:80" ht="18" customHeight="1">
      <c r="A54" s="59" t="s">
        <v>103</v>
      </c>
      <c r="B54" s="326">
        <f>'FY 2013 by Agency'!B54*Inflator!$E$2</f>
        <v>0</v>
      </c>
      <c r="C54" s="326">
        <f>'FY 2013 by Agency'!C54*Inflator!$E$3</f>
        <v>0</v>
      </c>
      <c r="D54" s="326">
        <f t="shared" si="6"/>
        <v>0</v>
      </c>
      <c r="E54" s="328" t="s">
        <v>78</v>
      </c>
      <c r="F54" s="10">
        <f>'FY 2013 by Agency'!F54*Inflator!$E$4</f>
        <v>552.32051770079943</v>
      </c>
      <c r="G54" s="10">
        <f t="shared" si="8"/>
        <v>552.32051770079943</v>
      </c>
      <c r="H54" s="328" t="s">
        <v>78</v>
      </c>
      <c r="I54" s="10">
        <f>'FY 2013 by Agency'!I54*Inflator!$E$5</f>
        <v>559.80438824841963</v>
      </c>
      <c r="J54" s="10">
        <f t="shared" si="10"/>
        <v>7.4838705476201994</v>
      </c>
      <c r="K54" s="328" t="s">
        <v>78</v>
      </c>
      <c r="L54" s="10">
        <f>'FY 2013 by Agency'!L54*Inflator!$E$6</f>
        <v>636.12141039621952</v>
      </c>
      <c r="M54" s="10">
        <f t="shared" si="12"/>
        <v>76.317022147799889</v>
      </c>
      <c r="N54" s="14">
        <f t="shared" si="13"/>
        <v>0.13632801698212721</v>
      </c>
      <c r="O54" s="10">
        <f>'FY 2013 by Agency'!O54*Inflator!$E$7</f>
        <v>617.16578669482567</v>
      </c>
      <c r="P54" s="52">
        <f t="shared" si="63"/>
        <v>-18.955623701393847</v>
      </c>
      <c r="Q54" s="58">
        <f t="shared" si="45"/>
        <v>-2.9798751294327602E-2</v>
      </c>
      <c r="R54" s="52">
        <f>'FY 2013 by Agency'!R54*Inflator!$E$8</f>
        <v>618.23761031907668</v>
      </c>
      <c r="S54" s="52">
        <f t="shared" si="46"/>
        <v>1.0718236242510102</v>
      </c>
      <c r="T54" s="58">
        <f t="shared" si="47"/>
        <v>1.7366867175043234E-3</v>
      </c>
      <c r="U54" s="52">
        <f>'FY 2013 by Agency'!U54*Inflator!$E$9</f>
        <v>611.77519893899205</v>
      </c>
      <c r="V54" s="52">
        <f t="shared" si="64"/>
        <v>-6.4624113800846317</v>
      </c>
      <c r="W54" s="58">
        <f t="shared" si="65"/>
        <v>-1.0452957361732388E-2</v>
      </c>
      <c r="X54" s="52">
        <f>'FY 2013 by Agency'!X54*Inflator!$E$10</f>
        <v>907.50015878056536</v>
      </c>
      <c r="Y54" s="39">
        <f t="shared" si="48"/>
        <v>295.72495984157331</v>
      </c>
      <c r="Z54" s="58">
        <f t="shared" si="49"/>
        <v>0.48338827784201144</v>
      </c>
      <c r="AA54" s="52">
        <f>'FY 2013 by Agency'!AA54*Inflator!$E$11</f>
        <v>705.79675055750249</v>
      </c>
      <c r="AB54" s="39">
        <f t="shared" si="50"/>
        <v>-201.70340822306287</v>
      </c>
      <c r="AC54" s="58">
        <f t="shared" si="51"/>
        <v>-0.22226266989759833</v>
      </c>
      <c r="AD54" s="52" t="e">
        <f>'FY 2013 by Agency'!AD54*Inflator!#REF!</f>
        <v>#REF!</v>
      </c>
      <c r="AE54" s="52">
        <f>'FY 2013 by Agency'!AE54*Inflator!$B$8</f>
        <v>0</v>
      </c>
      <c r="AF54" s="52">
        <f>'FY 2013 by Agency'!AF54*Inflator!$E$12</f>
        <v>571.6560150375941</v>
      </c>
      <c r="AG54" s="52">
        <f t="shared" si="52"/>
        <v>-134.14073551990839</v>
      </c>
      <c r="AH54" s="58">
        <f t="shared" si="53"/>
        <v>-0.19005575672309605</v>
      </c>
      <c r="AI54" s="52">
        <f>'FY 2013 by Agency'!AI54*Inflator!$B$8</f>
        <v>0</v>
      </c>
      <c r="AJ54" s="52">
        <f>'FY 2013 by Agency'!AJ54*Inflator!$B$8</f>
        <v>0</v>
      </c>
      <c r="AK54" s="52">
        <f>'FY 2013 by Agency'!AK54</f>
        <v>595</v>
      </c>
      <c r="AL54" s="52">
        <f>'FY 2013 by Agency'!AL54</f>
        <v>0</v>
      </c>
      <c r="AM54" s="52">
        <f>'FY 2013 by Agency'!AM54</f>
        <v>595</v>
      </c>
      <c r="AN54" s="52">
        <f>'FY 2013 by Agency'!AN54</f>
        <v>555</v>
      </c>
      <c r="AO54" s="52">
        <f>'FY 2013 by Agency'!AO54</f>
        <v>602</v>
      </c>
      <c r="AP54" s="52">
        <f>'FY 2013 by Agency'!AP54</f>
        <v>0</v>
      </c>
      <c r="AQ54" s="52">
        <f>'FY 2013 by Agency'!AQ54</f>
        <v>2</v>
      </c>
      <c r="AR54" s="52">
        <f>'FY 2013 by Agency'!AR54</f>
        <v>2</v>
      </c>
      <c r="AS54" s="52">
        <f>'FY 2013 by Agency'!AS54</f>
        <v>646.78075000000001</v>
      </c>
      <c r="AT54" s="52" t="e">
        <f t="shared" si="54"/>
        <v>#REF!</v>
      </c>
      <c r="AU54" s="58" t="e">
        <f t="shared" si="55"/>
        <v>#REF!</v>
      </c>
      <c r="AV54" s="52">
        <f t="shared" si="56"/>
        <v>75.12473496240591</v>
      </c>
      <c r="AW54" s="58">
        <f t="shared" si="57"/>
        <v>0.13141597916618694</v>
      </c>
      <c r="AX54" s="39">
        <f>555+46</f>
        <v>601</v>
      </c>
      <c r="AY54" s="39">
        <f>555+46</f>
        <v>601</v>
      </c>
      <c r="AZ54" s="39">
        <f t="shared" si="58"/>
        <v>-1</v>
      </c>
      <c r="BA54" s="39">
        <f t="shared" si="59"/>
        <v>74.12473496240591</v>
      </c>
      <c r="BB54" s="39">
        <f t="shared" si="60"/>
        <v>645.78075000000001</v>
      </c>
      <c r="BC54" s="58">
        <f t="shared" si="61"/>
        <v>0.12966667543510613</v>
      </c>
      <c r="BD54" s="294">
        <v>12.016999999999999</v>
      </c>
      <c r="BE54" s="51">
        <f t="shared" si="62"/>
        <v>1.9995008319467555E-2</v>
      </c>
      <c r="BI54" s="219">
        <v>593</v>
      </c>
      <c r="BJ54" s="39">
        <f t="shared" si="66"/>
        <v>-8</v>
      </c>
      <c r="BK54" s="65">
        <f t="shared" si="67"/>
        <v>595</v>
      </c>
      <c r="BL54" s="576">
        <f>'FY 2013 by Agency'!AS54*Inflator!$E$13</f>
        <v>670.66249267622834</v>
      </c>
      <c r="BM54" s="258">
        <f t="shared" si="68"/>
        <v>99.006477638634237</v>
      </c>
      <c r="BN54" s="51">
        <f t="shared" si="69"/>
        <v>0.17319240073442282</v>
      </c>
      <c r="BO54" s="52">
        <f>'FY 2013 by Agency'!AX54*Inflator!$E$13</f>
        <v>618.00671345743069</v>
      </c>
      <c r="BP54" s="52">
        <f t="shared" si="32"/>
        <v>46.35069841983659</v>
      </c>
      <c r="BQ54" s="51">
        <f t="shared" si="33"/>
        <v>8.1081449684017412E-2</v>
      </c>
      <c r="BR54" s="52">
        <f>'FY 2013 by Agency'!BE54*Inflator!$E$14</f>
        <v>736.62227530606151</v>
      </c>
      <c r="BS54" s="52">
        <f t="shared" si="34"/>
        <v>118.61556184863082</v>
      </c>
      <c r="BT54" s="51">
        <f t="shared" si="35"/>
        <v>0.19193248109723204</v>
      </c>
      <c r="BU54" s="52">
        <f>'FY 2013 by Agency'!BL54*Inflator!$E$14</f>
        <v>760.97342490295614</v>
      </c>
      <c r="BV54" s="52">
        <f t="shared" si="70"/>
        <v>90.3109322267278</v>
      </c>
      <c r="BW54" s="495">
        <v>869</v>
      </c>
      <c r="BX54" s="39">
        <f>'FY 2013 by Agency'!BV54*Inflator!E15</f>
        <v>1016</v>
      </c>
      <c r="BY54" s="39">
        <f t="shared" si="37"/>
        <v>132.37772469393849</v>
      </c>
      <c r="BZ54" s="51">
        <f t="shared" si="38"/>
        <v>0.17970909804341234</v>
      </c>
      <c r="CB54" s="39"/>
    </row>
    <row r="55" spans="1:80" ht="18" customHeight="1">
      <c r="A55" s="59" t="s">
        <v>64</v>
      </c>
      <c r="B55" s="326">
        <f>'FY 2013 by Agency'!B55*Inflator!$E$2</f>
        <v>1655.6443381180225</v>
      </c>
      <c r="C55" s="326">
        <f>'FY 2013 by Agency'!C55*Inflator!$E$3</f>
        <v>2380.4381761978361</v>
      </c>
      <c r="D55" s="326">
        <f t="shared" si="6"/>
        <v>724.79383807981367</v>
      </c>
      <c r="E55" s="355">
        <f t="shared" si="7"/>
        <v>0.43777145936046247</v>
      </c>
      <c r="F55" s="10">
        <f>'FY 2013 by Agency'!F55*Inflator!$E$4</f>
        <v>2447.2843547773127</v>
      </c>
      <c r="G55" s="10">
        <f t="shared" si="8"/>
        <v>66.8461785794766</v>
      </c>
      <c r="H55" s="14">
        <f t="shared" si="9"/>
        <v>2.8081459643806803E-2</v>
      </c>
      <c r="I55" s="10">
        <f>'FY 2013 by Agency'!I55*Inflator!$E$5</f>
        <v>2908.9609520267763</v>
      </c>
      <c r="J55" s="10">
        <f t="shared" si="10"/>
        <v>461.67659724946361</v>
      </c>
      <c r="K55" s="14">
        <f t="shared" si="11"/>
        <v>0.18864853050207697</v>
      </c>
      <c r="L55" s="10">
        <f>'FY 2013 by Agency'!L55*Inflator!$E$6</f>
        <v>3043.5012722646306</v>
      </c>
      <c r="M55" s="10">
        <f t="shared" si="12"/>
        <v>134.5403202378543</v>
      </c>
      <c r="N55" s="14">
        <f t="shared" si="13"/>
        <v>4.6250301209480066E-2</v>
      </c>
      <c r="O55" s="10">
        <f>'FY 2013 by Agency'!O55*Inflator!$E$7</f>
        <v>2938.7138331573387</v>
      </c>
      <c r="P55" s="52">
        <f t="shared" si="63"/>
        <v>-104.7874391072919</v>
      </c>
      <c r="Q55" s="58">
        <f t="shared" si="45"/>
        <v>-3.4429898243256166E-2</v>
      </c>
      <c r="R55" s="52">
        <f>'FY 2013 by Agency'!R55*Inflator!$E$8</f>
        <v>3001.2206381534284</v>
      </c>
      <c r="S55" s="52">
        <f t="shared" si="46"/>
        <v>62.506804996089613</v>
      </c>
      <c r="T55" s="58">
        <f t="shared" si="47"/>
        <v>2.1270123103117062E-2</v>
      </c>
      <c r="U55" s="52">
        <f>'FY 2013 by Agency'!U55*Inflator!$E$9</f>
        <v>3441.9396551724135</v>
      </c>
      <c r="V55" s="52">
        <f t="shared" si="64"/>
        <v>440.71901701898514</v>
      </c>
      <c r="W55" s="58">
        <f t="shared" si="65"/>
        <v>0.14684659015611323</v>
      </c>
      <c r="X55" s="52">
        <f>'FY 2013 by Agency'!X55*Inflator!$E$10</f>
        <v>3338.6510003175617</v>
      </c>
      <c r="Y55" s="39">
        <f t="shared" si="48"/>
        <v>-103.28865485485176</v>
      </c>
      <c r="Z55" s="58">
        <f t="shared" si="49"/>
        <v>-3.0008851171935445E-2</v>
      </c>
      <c r="AA55" s="52">
        <f>'FY 2013 by Agency'!AA55*Inflator!$E$11</f>
        <v>3395.8349792927688</v>
      </c>
      <c r="AB55" s="39">
        <f t="shared" si="50"/>
        <v>57.183978975207083</v>
      </c>
      <c r="AC55" s="58">
        <f t="shared" si="51"/>
        <v>1.7127869600556608E-2</v>
      </c>
      <c r="AD55" s="52" t="e">
        <f>'FY 2013 by Agency'!AD55*Inflator!#REF!</f>
        <v>#REF!</v>
      </c>
      <c r="AE55" s="52">
        <f>'FY 2013 by Agency'!AE55*Inflator!$B$8</f>
        <v>0</v>
      </c>
      <c r="AF55" s="52">
        <f>'FY 2013 by Agency'!AF55*Inflator!$E$12</f>
        <v>3178.7055137844613</v>
      </c>
      <c r="AG55" s="52">
        <f t="shared" si="52"/>
        <v>-217.12946550830748</v>
      </c>
      <c r="AH55" s="58">
        <f t="shared" si="53"/>
        <v>-6.393993431139218E-2</v>
      </c>
      <c r="AI55" s="52">
        <f>'FY 2013 by Agency'!AI55*Inflator!$B$8</f>
        <v>0</v>
      </c>
      <c r="AJ55" s="52">
        <f>'FY 2013 by Agency'!AJ55*Inflator!$B$8</f>
        <v>0</v>
      </c>
      <c r="AK55" s="52">
        <f>'FY 2013 by Agency'!AK55</f>
        <v>3224</v>
      </c>
      <c r="AL55" s="52">
        <f>'FY 2013 by Agency'!AL55</f>
        <v>0</v>
      </c>
      <c r="AM55" s="52">
        <f>'FY 2013 by Agency'!AM55</f>
        <v>3224</v>
      </c>
      <c r="AN55" s="52">
        <f>'FY 2013 by Agency'!AN55</f>
        <v>2657</v>
      </c>
      <c r="AO55" s="52">
        <f>'FY 2013 by Agency'!AO55</f>
        <v>2657</v>
      </c>
      <c r="AP55" s="52">
        <f>'FY 2013 by Agency'!AP55</f>
        <v>180</v>
      </c>
      <c r="AQ55" s="52">
        <f>'FY 2013 by Agency'!AQ55</f>
        <v>15</v>
      </c>
      <c r="AR55" s="52">
        <f>'FY 2013 by Agency'!AR55</f>
        <v>195</v>
      </c>
      <c r="AS55" s="52">
        <f>'FY 2013 by Agency'!AS55</f>
        <v>2661.2408</v>
      </c>
      <c r="AT55" s="52" t="e">
        <f t="shared" si="54"/>
        <v>#REF!</v>
      </c>
      <c r="AU55" s="58" t="e">
        <f t="shared" si="55"/>
        <v>#REF!</v>
      </c>
      <c r="AV55" s="52">
        <f t="shared" si="56"/>
        <v>-517.46471378446131</v>
      </c>
      <c r="AW55" s="58">
        <f t="shared" si="57"/>
        <v>-0.16279102028812509</v>
      </c>
      <c r="AX55" s="39">
        <v>2660</v>
      </c>
      <c r="AY55" s="39">
        <v>2660</v>
      </c>
      <c r="AZ55" s="39">
        <f t="shared" si="58"/>
        <v>3</v>
      </c>
      <c r="BA55" s="39">
        <f t="shared" si="59"/>
        <v>-514.46471378446131</v>
      </c>
      <c r="BB55" s="39">
        <f t="shared" si="60"/>
        <v>2664.2408</v>
      </c>
      <c r="BC55" s="58">
        <f t="shared" si="61"/>
        <v>-0.16184723987594452</v>
      </c>
      <c r="BD55" s="294">
        <v>0</v>
      </c>
      <c r="BE55" s="51">
        <f t="shared" si="62"/>
        <v>0</v>
      </c>
      <c r="BF55" s="50">
        <v>76</v>
      </c>
      <c r="BI55" s="219">
        <v>2553</v>
      </c>
      <c r="BJ55" s="39">
        <f t="shared" si="66"/>
        <v>-107</v>
      </c>
      <c r="BK55" s="65">
        <f t="shared" si="67"/>
        <v>2748</v>
      </c>
      <c r="BL55" s="576">
        <f>'FY 2013 by Agency'!AS55*Inflator!$E$13</f>
        <v>2759.5044975282276</v>
      </c>
      <c r="BM55" s="258">
        <f t="shared" si="68"/>
        <v>-419.20101625623374</v>
      </c>
      <c r="BN55" s="51">
        <f t="shared" si="69"/>
        <v>-0.13187790263626747</v>
      </c>
      <c r="BO55" s="52">
        <f>'FY 2013 by Agency'!AX55*Inflator!$E$13</f>
        <v>2647.2670125114437</v>
      </c>
      <c r="BP55" s="52">
        <f t="shared" si="32"/>
        <v>-531.43850127301766</v>
      </c>
      <c r="BQ55" s="51">
        <f t="shared" si="33"/>
        <v>-0.16718708259334933</v>
      </c>
      <c r="BR55" s="52">
        <f>'FY 2013 by Agency'!BE55*Inflator!$E$14</f>
        <v>2581.2218572708275</v>
      </c>
      <c r="BS55" s="52">
        <f t="shared" si="34"/>
        <v>-66.045155240616168</v>
      </c>
      <c r="BT55" s="51">
        <f t="shared" si="35"/>
        <v>-2.4948429806466554E-2</v>
      </c>
      <c r="BU55" s="52">
        <f>'FY 2013 by Agency'!BL55*Inflator!$E$14</f>
        <v>2733.4165422514184</v>
      </c>
      <c r="BV55" s="52">
        <f t="shared" si="70"/>
        <v>-26.087955276809225</v>
      </c>
      <c r="BW55" s="495">
        <v>2596</v>
      </c>
      <c r="BX55" s="39">
        <f>'FY 2013 by Agency'!BV55*Inflator!E15</f>
        <v>2771</v>
      </c>
      <c r="BY55" s="39">
        <f t="shared" si="37"/>
        <v>14.778142729172487</v>
      </c>
      <c r="BZ55" s="51">
        <f t="shared" si="38"/>
        <v>5.7252508874993347E-3</v>
      </c>
      <c r="CB55" s="39"/>
    </row>
    <row r="56" spans="1:80" ht="18" customHeight="1">
      <c r="A56" s="59" t="s">
        <v>65</v>
      </c>
      <c r="B56" s="326">
        <f>'FY 2013 by Agency'!B56*Inflator!$E$2</f>
        <v>7974.7320574162686</v>
      </c>
      <c r="C56" s="326">
        <f>'FY 2013 by Agency'!C56*Inflator!$E$3</f>
        <v>10573.452086553323</v>
      </c>
      <c r="D56" s="326">
        <f t="shared" si="6"/>
        <v>2598.7200291370546</v>
      </c>
      <c r="E56" s="355">
        <f t="shared" si="7"/>
        <v>0.32586925935904276</v>
      </c>
      <c r="F56" s="10">
        <f>'FY 2013 by Agency'!F56*Inflator!$E$4</f>
        <v>10716.570232204034</v>
      </c>
      <c r="G56" s="10">
        <f t="shared" si="8"/>
        <v>143.11814565071109</v>
      </c>
      <c r="H56" s="14">
        <f t="shared" si="9"/>
        <v>1.3535612066821591E-2</v>
      </c>
      <c r="I56" s="10">
        <f>'FY 2013 by Agency'!I56*Inflator!$E$5</f>
        <v>12866.655262179251</v>
      </c>
      <c r="J56" s="10">
        <f t="shared" si="10"/>
        <v>2150.0850299752165</v>
      </c>
      <c r="K56" s="14">
        <f t="shared" si="11"/>
        <v>0.20063182374469607</v>
      </c>
      <c r="L56" s="10">
        <f>'FY 2013 by Agency'!L56*Inflator!$E$6</f>
        <v>20488.050163576878</v>
      </c>
      <c r="M56" s="10">
        <f t="shared" si="12"/>
        <v>7621.3949013976271</v>
      </c>
      <c r="N56" s="14">
        <f t="shared" si="13"/>
        <v>0.59233691632356489</v>
      </c>
      <c r="O56" s="10">
        <f>'FY 2013 by Agency'!O56*Inflator!$E$7</f>
        <v>56801.977472720864</v>
      </c>
      <c r="P56" s="52">
        <f t="shared" si="63"/>
        <v>36313.927309143983</v>
      </c>
      <c r="Q56" s="58">
        <f t="shared" si="45"/>
        <v>1.7724442794318191</v>
      </c>
      <c r="R56" s="52">
        <f>'FY 2013 by Agency'!R56*Inflator!$E$8</f>
        <v>59268.91717583163</v>
      </c>
      <c r="S56" s="52">
        <f t="shared" si="46"/>
        <v>2466.9397031107655</v>
      </c>
      <c r="T56" s="58">
        <f t="shared" si="47"/>
        <v>4.3430525007611097E-2</v>
      </c>
      <c r="U56" s="52">
        <f>'FY 2013 by Agency'!U56*Inflator!$E$9</f>
        <v>84820.434350132622</v>
      </c>
      <c r="V56" s="52">
        <f t="shared" si="64"/>
        <v>25551.517174300992</v>
      </c>
      <c r="W56" s="58">
        <f t="shared" si="65"/>
        <v>0.43111159089507134</v>
      </c>
      <c r="X56" s="52">
        <f>'FY 2013 by Agency'!X56*Inflator!$E$10</f>
        <v>20976.094633216897</v>
      </c>
      <c r="Y56" s="39">
        <f t="shared" si="48"/>
        <v>-63844.339716915725</v>
      </c>
      <c r="Z56" s="58">
        <f t="shared" si="49"/>
        <v>-0.7526999856351938</v>
      </c>
      <c r="AA56" s="52">
        <f>'FY 2013 by Agency'!AA56*Inflator!$E$11</f>
        <v>66772.486142083479</v>
      </c>
      <c r="AB56" s="39">
        <f t="shared" si="50"/>
        <v>45796.391508866582</v>
      </c>
      <c r="AC56" s="58">
        <f t="shared" si="51"/>
        <v>2.183265870489794</v>
      </c>
      <c r="AD56" s="52" t="e">
        <f>'FY 2013 by Agency'!AD56*Inflator!#REF!</f>
        <v>#REF!</v>
      </c>
      <c r="AE56" s="52">
        <f>'FY 2013 by Agency'!AE56*Inflator!$B$8</f>
        <v>0</v>
      </c>
      <c r="AF56" s="52">
        <f>'FY 2013 by Agency'!AF56*Inflator!$E$12</f>
        <v>28164.437969924817</v>
      </c>
      <c r="AG56" s="52">
        <f t="shared" si="52"/>
        <v>-38608.048172158662</v>
      </c>
      <c r="AH56" s="58">
        <f t="shared" si="53"/>
        <v>-0.57820294559656771</v>
      </c>
      <c r="AI56" s="52">
        <f>'FY 2013 by Agency'!AI56*Inflator!$B$8</f>
        <v>0</v>
      </c>
      <c r="AJ56" s="52">
        <f>'FY 2013 by Agency'!AJ56*Inflator!$B$8</f>
        <v>0</v>
      </c>
      <c r="AK56" s="52">
        <f>'FY 2013 by Agency'!AK56</f>
        <v>9925</v>
      </c>
      <c r="AL56" s="52">
        <f>'FY 2013 by Agency'!AL56</f>
        <v>5031</v>
      </c>
      <c r="AM56" s="52">
        <f>'FY 2013 by Agency'!AM56</f>
        <v>14956</v>
      </c>
      <c r="AN56" s="52">
        <f>'FY 2013 by Agency'!AN56</f>
        <v>12064</v>
      </c>
      <c r="AO56" s="52">
        <f>'FY 2013 by Agency'!AO56</f>
        <v>20478</v>
      </c>
      <c r="AP56" s="52">
        <f>'FY 2013 by Agency'!AP56</f>
        <v>2445</v>
      </c>
      <c r="AQ56" s="52">
        <f>'FY 2013 by Agency'!AQ56</f>
        <v>54</v>
      </c>
      <c r="AR56" s="52">
        <f>'FY 2013 by Agency'!AR56</f>
        <v>2499</v>
      </c>
      <c r="AS56" s="52">
        <f>'FY 2013 by Agency'!AS56</f>
        <v>19880.780460000002</v>
      </c>
      <c r="AT56" s="52" t="e">
        <f t="shared" si="54"/>
        <v>#REF!</v>
      </c>
      <c r="AU56" s="58" t="e">
        <f t="shared" si="55"/>
        <v>#REF!</v>
      </c>
      <c r="AV56" s="52">
        <f t="shared" si="56"/>
        <v>-8283.6575099248148</v>
      </c>
      <c r="AW56" s="58">
        <f t="shared" si="57"/>
        <v>-0.29411762161810068</v>
      </c>
      <c r="AX56" s="39">
        <f>12064+8414</f>
        <v>20478</v>
      </c>
      <c r="AY56" s="39">
        <f>12064+8414</f>
        <v>20478</v>
      </c>
      <c r="AZ56" s="39">
        <f t="shared" si="58"/>
        <v>0</v>
      </c>
      <c r="BA56" s="39">
        <f t="shared" si="59"/>
        <v>-8283.6575099248148</v>
      </c>
      <c r="BB56" s="39">
        <f t="shared" si="60"/>
        <v>19880.780460000002</v>
      </c>
      <c r="BC56" s="58">
        <f t="shared" si="61"/>
        <v>-0.29411762161810073</v>
      </c>
      <c r="BD56" s="294">
        <v>960.21699999999998</v>
      </c>
      <c r="BE56" s="51">
        <f t="shared" si="62"/>
        <v>4.6890174821759938E-2</v>
      </c>
      <c r="BF56" s="50">
        <v>1486</v>
      </c>
      <c r="BG56" s="50">
        <v>44</v>
      </c>
      <c r="BI56" s="219">
        <v>18876</v>
      </c>
      <c r="BJ56" s="39">
        <f t="shared" si="66"/>
        <v>-1602</v>
      </c>
      <c r="BK56" s="65">
        <f>BI56+AP56+AQ56+26793</f>
        <v>48168</v>
      </c>
      <c r="BL56" s="576">
        <f>'FY 2013 by Agency'!AS56*Inflator!$E$13</f>
        <v>20614.858713176691</v>
      </c>
      <c r="BM56" s="258">
        <f t="shared" si="68"/>
        <v>-7549.5792567481258</v>
      </c>
      <c r="BN56" s="51">
        <f t="shared" si="69"/>
        <v>-0.26805360947766427</v>
      </c>
      <c r="BO56" s="52">
        <f>'FY 2013 by Agency'!AX56*Inflator!$E$13</f>
        <v>19572.97772352762</v>
      </c>
      <c r="BP56" s="52">
        <f t="shared" si="32"/>
        <v>-8591.4602463971969</v>
      </c>
      <c r="BQ56" s="51">
        <f t="shared" si="33"/>
        <v>-0.30504639416456752</v>
      </c>
      <c r="BR56" s="52">
        <f>'FY 2013 by Agency'!BE56*Inflator!$E$14</f>
        <v>20311.902657509705</v>
      </c>
      <c r="BS56" s="52">
        <f t="shared" si="34"/>
        <v>738.92493398208535</v>
      </c>
      <c r="BT56" s="51">
        <f t="shared" si="35"/>
        <v>3.7752300361220133E-2</v>
      </c>
      <c r="BU56" s="52">
        <f>'FY 2013 by Agency'!BL56*Inflator!$E$14</f>
        <v>23520.166616900569</v>
      </c>
      <c r="BV56" s="52">
        <f t="shared" si="70"/>
        <v>2905.3079037238786</v>
      </c>
      <c r="BW56" s="495">
        <v>14784</v>
      </c>
      <c r="BX56" s="39">
        <f>'FY 2013 by Agency'!BV56*Inflator!E15</f>
        <v>18268</v>
      </c>
      <c r="BY56" s="39">
        <f t="shared" si="37"/>
        <v>-5527.902657509705</v>
      </c>
      <c r="BZ56" s="51">
        <f t="shared" si="38"/>
        <v>-0.27215090337516618</v>
      </c>
      <c r="CB56" s="39"/>
    </row>
    <row r="57" spans="1:80" ht="18" customHeight="1">
      <c r="A57" s="59" t="s">
        <v>94</v>
      </c>
      <c r="B57" s="329" t="s">
        <v>78</v>
      </c>
      <c r="C57" s="329" t="s">
        <v>78</v>
      </c>
      <c r="D57" s="329" t="s">
        <v>78</v>
      </c>
      <c r="E57" s="329" t="s">
        <v>78</v>
      </c>
      <c r="F57" s="10">
        <f>'FY 2013 by Agency'!F57*Inflator!$E$4</f>
        <v>0</v>
      </c>
      <c r="G57" s="329" t="s">
        <v>78</v>
      </c>
      <c r="H57" s="329" t="s">
        <v>78</v>
      </c>
      <c r="I57" s="10">
        <f>'FY 2013 by Agency'!I57*Inflator!$E$5</f>
        <v>0</v>
      </c>
      <c r="J57" s="10">
        <f t="shared" si="10"/>
        <v>0</v>
      </c>
      <c r="K57" s="329" t="s">
        <v>78</v>
      </c>
      <c r="L57" s="10">
        <f>'FY 2013 by Agency'!L57*Inflator!$E$6</f>
        <v>0</v>
      </c>
      <c r="M57" s="10">
        <f t="shared" si="12"/>
        <v>0</v>
      </c>
      <c r="N57" s="329" t="s">
        <v>78</v>
      </c>
      <c r="O57" s="10">
        <f>'FY 2013 by Agency'!O57*Inflator!$E$7</f>
        <v>0</v>
      </c>
      <c r="P57" s="66">
        <v>0</v>
      </c>
      <c r="Q57" s="60" t="s">
        <v>78</v>
      </c>
      <c r="R57" s="52">
        <f>'FY 2013 by Agency'!R57*Inflator!$E$8</f>
        <v>12575.829599456891</v>
      </c>
      <c r="S57" s="52">
        <f t="shared" si="46"/>
        <v>12575.829599456891</v>
      </c>
      <c r="T57" s="60" t="s">
        <v>78</v>
      </c>
      <c r="U57" s="52">
        <f>'FY 2013 by Agency'!U57*Inflator!$E$9</f>
        <v>25608.932360742703</v>
      </c>
      <c r="V57" s="52">
        <f t="shared" si="64"/>
        <v>13033.102761285812</v>
      </c>
      <c r="W57" s="58">
        <f t="shared" si="65"/>
        <v>1.0363612720904449</v>
      </c>
      <c r="X57" s="52">
        <f>'FY 2013 by Agency'!X57*Inflator!$E$10</f>
        <v>33432.910130200071</v>
      </c>
      <c r="Y57" s="39">
        <f t="shared" si="48"/>
        <v>7823.9777694573677</v>
      </c>
      <c r="Z57" s="58">
        <f t="shared" si="49"/>
        <v>0.3055175303384049</v>
      </c>
      <c r="AA57" s="52">
        <f>'FY 2013 by Agency'!AA57*Inflator!$E$11</f>
        <v>33539.418286078377</v>
      </c>
      <c r="AB57" s="39">
        <f t="shared" si="50"/>
        <v>106.50815587830584</v>
      </c>
      <c r="AC57" s="58">
        <f t="shared" si="51"/>
        <v>3.1857279388340363E-3</v>
      </c>
      <c r="AD57" s="52" t="e">
        <f>'FY 2013 by Agency'!AD57*Inflator!#REF!</f>
        <v>#REF!</v>
      </c>
      <c r="AE57" s="52">
        <f>'FY 2013 by Agency'!AE57*Inflator!$B$8</f>
        <v>0</v>
      </c>
      <c r="AF57" s="52">
        <f>'FY 2013 by Agency'!AF57*Inflator!$E$12</f>
        <v>26723.05576441103</v>
      </c>
      <c r="AG57" s="52">
        <f t="shared" si="52"/>
        <v>-6816.3625216673463</v>
      </c>
      <c r="AH57" s="58">
        <f t="shared" si="53"/>
        <v>-0.203234369288292</v>
      </c>
      <c r="AI57" s="52">
        <f>'FY 2013 by Agency'!AI57*Inflator!$B$8</f>
        <v>0</v>
      </c>
      <c r="AJ57" s="52">
        <f>'FY 2013 by Agency'!AJ57*Inflator!$B$8</f>
        <v>0</v>
      </c>
      <c r="AK57" s="52">
        <f>'FY 2013 by Agency'!AK57</f>
        <v>16457</v>
      </c>
      <c r="AL57" s="52">
        <f>'FY 2013 by Agency'!AL57</f>
        <v>9000</v>
      </c>
      <c r="AM57" s="52">
        <f>'FY 2013 by Agency'!AM57</f>
        <v>25457</v>
      </c>
      <c r="AN57" s="52">
        <f>'FY 2013 by Agency'!AN57</f>
        <v>24823</v>
      </c>
      <c r="AO57" s="52">
        <f>'FY 2013 by Agency'!AO57</f>
        <v>24823</v>
      </c>
      <c r="AP57" s="52">
        <f>'FY 2013 by Agency'!AP57</f>
        <v>0</v>
      </c>
      <c r="AQ57" s="52">
        <f>'FY 2013 by Agency'!AQ57</f>
        <v>0</v>
      </c>
      <c r="AR57" s="52">
        <f>'FY 2013 by Agency'!AR57</f>
        <v>0</v>
      </c>
      <c r="AS57" s="52">
        <f>'FY 2013 by Agency'!AS57</f>
        <v>22822.88351</v>
      </c>
      <c r="AT57" s="52" t="e">
        <f t="shared" si="54"/>
        <v>#REF!</v>
      </c>
      <c r="AU57" s="58" t="e">
        <f t="shared" si="55"/>
        <v>#REF!</v>
      </c>
      <c r="AV57" s="52">
        <f t="shared" si="56"/>
        <v>-3900.1722544110307</v>
      </c>
      <c r="AW57" s="58">
        <f t="shared" si="57"/>
        <v>-0.14594783952833582</v>
      </c>
      <c r="AX57" s="39">
        <v>25823</v>
      </c>
      <c r="AY57" s="39">
        <v>25823</v>
      </c>
      <c r="AZ57" s="39">
        <f t="shared" si="58"/>
        <v>1000</v>
      </c>
      <c r="BA57" s="39">
        <f t="shared" si="59"/>
        <v>-2900.1722544110307</v>
      </c>
      <c r="BB57" s="39">
        <f t="shared" si="60"/>
        <v>23822.88351</v>
      </c>
      <c r="BC57" s="58">
        <f t="shared" si="61"/>
        <v>-0.10852696936977524</v>
      </c>
      <c r="BD57" s="294">
        <v>0</v>
      </c>
      <c r="BE57" s="51">
        <f t="shared" si="62"/>
        <v>0</v>
      </c>
      <c r="BF57" s="220">
        <v>3000</v>
      </c>
      <c r="BI57" s="219">
        <v>22823</v>
      </c>
      <c r="BJ57" s="39">
        <f t="shared" si="66"/>
        <v>-3000</v>
      </c>
      <c r="BK57" s="65">
        <f t="shared" si="67"/>
        <v>22823</v>
      </c>
      <c r="BL57" s="576">
        <f>'FY 2013 by Agency'!AS57*Inflator!$E$13</f>
        <v>23665.596022880687</v>
      </c>
      <c r="BM57" s="258">
        <f t="shared" si="68"/>
        <v>-3057.4597415303433</v>
      </c>
      <c r="BN57" s="51">
        <f t="shared" si="69"/>
        <v>-0.11441280400283328</v>
      </c>
      <c r="BO57" s="52">
        <f>'FY 2013 by Agency'!AX57*Inflator!$E$13</f>
        <v>23665.716814159296</v>
      </c>
      <c r="BP57" s="52">
        <f t="shared" si="32"/>
        <v>-3057.3389502517348</v>
      </c>
      <c r="BQ57" s="51">
        <f t="shared" si="33"/>
        <v>-0.11440828388808018</v>
      </c>
      <c r="BR57" s="52">
        <f>'FY 2013 by Agency'!BE57*Inflator!$E$14</f>
        <v>22321.887130486713</v>
      </c>
      <c r="BS57" s="52">
        <f t="shared" si="34"/>
        <v>-1343.8296836725822</v>
      </c>
      <c r="BT57" s="51">
        <f t="shared" si="35"/>
        <v>-5.6783814926263436E-2</v>
      </c>
      <c r="BU57" s="52">
        <f>'FY 2013 by Agency'!BL57*Inflator!$E$14</f>
        <v>22321.887130486713</v>
      </c>
      <c r="BV57" s="52">
        <f t="shared" si="70"/>
        <v>-1343.7088923939737</v>
      </c>
      <c r="BW57" s="39">
        <v>30182</v>
      </c>
      <c r="BX57" s="39">
        <f>'FY 2013 by Agency'!BV57*Inflator!E15</f>
        <v>30182</v>
      </c>
      <c r="BY57" s="39">
        <f t="shared" si="37"/>
        <v>7860.1128695132866</v>
      </c>
      <c r="BZ57" s="51">
        <f t="shared" si="38"/>
        <v>0.3521258226764406</v>
      </c>
      <c r="CB57" s="39"/>
    </row>
    <row r="58" spans="1:80" ht="18" customHeight="1">
      <c r="A58" s="59" t="s">
        <v>8</v>
      </c>
      <c r="B58" s="326">
        <f>'FY 2013 by Agency'!B58*Inflator!$E$2</f>
        <v>32230.870015948967</v>
      </c>
      <c r="C58" s="326">
        <f>'FY 2013 by Agency'!C58*Inflator!$E$3</f>
        <v>34774.354714064917</v>
      </c>
      <c r="D58" s="326">
        <f t="shared" si="6"/>
        <v>2543.4846981159499</v>
      </c>
      <c r="E58" s="355">
        <f t="shared" si="7"/>
        <v>7.8914552938141119E-2</v>
      </c>
      <c r="F58" s="10">
        <f>'FY 2013 by Agency'!F58*Inflator!$E$4</f>
        <v>30973.927674153027</v>
      </c>
      <c r="G58" s="10">
        <f t="shared" si="8"/>
        <v>-3800.4270399118905</v>
      </c>
      <c r="H58" s="14">
        <f t="shared" si="9"/>
        <v>-0.10928821170547158</v>
      </c>
      <c r="I58" s="10">
        <f>'FY 2013 by Agency'!I58*Inflator!$E$5</f>
        <v>42393.493492004469</v>
      </c>
      <c r="J58" s="10">
        <f t="shared" si="10"/>
        <v>11419.565817851442</v>
      </c>
      <c r="K58" s="14">
        <f t="shared" si="11"/>
        <v>0.36868316921204625</v>
      </c>
      <c r="L58" s="10">
        <f>'FY 2013 by Agency'!L58*Inflator!$E$6</f>
        <v>36898.747364594688</v>
      </c>
      <c r="M58" s="10">
        <f t="shared" si="12"/>
        <v>-5494.7461274097805</v>
      </c>
      <c r="N58" s="14">
        <f t="shared" si="13"/>
        <v>-0.12961295884818044</v>
      </c>
      <c r="O58" s="10">
        <f>'FY 2013 by Agency'!O58*Inflator!$E$7</f>
        <v>48189.165786694823</v>
      </c>
      <c r="P58" s="52">
        <f t="shared" si="63"/>
        <v>11290.418422100134</v>
      </c>
      <c r="Q58" s="58">
        <f t="shared" si="45"/>
        <v>0.30598378613073424</v>
      </c>
      <c r="R58" s="52">
        <f>'FY 2013 by Agency'!R58*Inflator!$E$8</f>
        <v>56274.61710794297</v>
      </c>
      <c r="S58" s="52">
        <f t="shared" si="46"/>
        <v>8085.451321248147</v>
      </c>
      <c r="T58" s="58">
        <f t="shared" si="47"/>
        <v>0.16778566694924121</v>
      </c>
      <c r="U58" s="52">
        <f>'FY 2013 by Agency'!U58*Inflator!$E$9</f>
        <v>79149.965517241377</v>
      </c>
      <c r="V58" s="52">
        <f t="shared" si="64"/>
        <v>22875.348409298407</v>
      </c>
      <c r="W58" s="58">
        <f t="shared" si="65"/>
        <v>0.40649496318064915</v>
      </c>
      <c r="X58" s="52">
        <f>'FY 2013 by Agency'!X58*Inflator!$E$10</f>
        <v>120846.43315338204</v>
      </c>
      <c r="Y58" s="39">
        <f t="shared" si="48"/>
        <v>41696.46763614066</v>
      </c>
      <c r="Z58" s="58">
        <f t="shared" si="49"/>
        <v>0.526803358203079</v>
      </c>
      <c r="AA58" s="52">
        <f>'FY 2013 by Agency'!AA58*Inflator!$E$11</f>
        <v>100945.17298502709</v>
      </c>
      <c r="AB58" s="39">
        <f t="shared" si="50"/>
        <v>-19901.260168354944</v>
      </c>
      <c r="AC58" s="58">
        <f t="shared" si="51"/>
        <v>-0.1646822305718833</v>
      </c>
      <c r="AD58" s="52" t="e">
        <f>'FY 2013 by Agency'!AD58*Inflator!#REF!</f>
        <v>#REF!</v>
      </c>
      <c r="AE58" s="52">
        <f>'FY 2013 by Agency'!AE58*Inflator!$B$8</f>
        <v>0</v>
      </c>
      <c r="AF58" s="52">
        <f>'FY 2013 by Agency'!AF58*Inflator!$E$12</f>
        <v>83973.82017543861</v>
      </c>
      <c r="AG58" s="52">
        <f t="shared" si="52"/>
        <v>-16971.352809588483</v>
      </c>
      <c r="AH58" s="58">
        <f t="shared" si="53"/>
        <v>-0.16812446110826712</v>
      </c>
      <c r="AI58" s="52">
        <f>'FY 2013 by Agency'!AI58*Inflator!$B$8</f>
        <v>0</v>
      </c>
      <c r="AJ58" s="52">
        <f>'FY 2013 by Agency'!AJ58*Inflator!$B$8</f>
        <v>0</v>
      </c>
      <c r="AK58" s="52">
        <f>'FY 2013 by Agency'!AK58</f>
        <v>33420</v>
      </c>
      <c r="AL58" s="52">
        <f>'FY 2013 by Agency'!AL58</f>
        <v>23420</v>
      </c>
      <c r="AM58" s="52">
        <f>'FY 2013 by Agency'!AM58</f>
        <v>56840</v>
      </c>
      <c r="AN58" s="52">
        <f>'FY 2013 by Agency'!AN58</f>
        <v>37872</v>
      </c>
      <c r="AO58" s="52">
        <f>'FY 2013 by Agency'!AO58</f>
        <v>74366</v>
      </c>
      <c r="AP58" s="52">
        <f>'FY 2013 by Agency'!AP58</f>
        <v>8901</v>
      </c>
      <c r="AQ58" s="52">
        <f>'FY 2013 by Agency'!AQ58</f>
        <v>737</v>
      </c>
      <c r="AR58" s="52">
        <f>'FY 2013 by Agency'!AR58</f>
        <v>9638</v>
      </c>
      <c r="AS58" s="52">
        <f>'FY 2013 by Agency'!AS58</f>
        <v>69549.239529999992</v>
      </c>
      <c r="AT58" s="52" t="e">
        <f t="shared" si="54"/>
        <v>#REF!</v>
      </c>
      <c r="AU58" s="58" t="e">
        <f t="shared" si="55"/>
        <v>#REF!</v>
      </c>
      <c r="AV58" s="52">
        <f t="shared" si="56"/>
        <v>-14424.580645438618</v>
      </c>
      <c r="AW58" s="58">
        <f t="shared" si="57"/>
        <v>-0.17177473426006698</v>
      </c>
      <c r="AX58" s="39">
        <f>36630+36494</f>
        <v>73124</v>
      </c>
      <c r="AY58" s="39">
        <f>36630+36494</f>
        <v>73124</v>
      </c>
      <c r="AZ58" s="39">
        <f t="shared" si="58"/>
        <v>-1242</v>
      </c>
      <c r="BA58" s="39">
        <f t="shared" si="59"/>
        <v>-15666.580645438618</v>
      </c>
      <c r="BB58" s="39">
        <f t="shared" si="60"/>
        <v>68307.239529999992</v>
      </c>
      <c r="BC58" s="58">
        <f t="shared" si="61"/>
        <v>-0.18656505816584146</v>
      </c>
      <c r="BD58" s="294">
        <v>3176.8449999999998</v>
      </c>
      <c r="BE58" s="51">
        <f t="shared" si="62"/>
        <v>4.3444628302609263E-2</v>
      </c>
      <c r="BF58" s="50">
        <v>4687</v>
      </c>
      <c r="BI58" s="219">
        <v>74405</v>
      </c>
      <c r="BJ58" s="39">
        <f t="shared" si="66"/>
        <v>1281</v>
      </c>
      <c r="BK58" s="65">
        <f t="shared" si="67"/>
        <v>84043</v>
      </c>
      <c r="BL58" s="576">
        <f>'FY 2013 by Agency'!AS58*Inflator!$E$13</f>
        <v>72117.276754025021</v>
      </c>
      <c r="BM58" s="258">
        <f t="shared" si="68"/>
        <v>-11856.543421413589</v>
      </c>
      <c r="BN58" s="51">
        <f t="shared" si="69"/>
        <v>-0.14119333140546456</v>
      </c>
      <c r="BO58" s="52">
        <f>'FY 2013 by Agency'!AX58*Inflator!$E$13</f>
        <v>77152.331400671363</v>
      </c>
      <c r="BP58" s="52">
        <f t="shared" si="32"/>
        <v>-6821.4887747672474</v>
      </c>
      <c r="BQ58" s="51">
        <f t="shared" si="33"/>
        <v>-8.1233517309510894E-2</v>
      </c>
      <c r="BR58" s="52">
        <f>'FY 2013 by Agency'!BE58*Inflator!$E$14</f>
        <v>71668.477157360408</v>
      </c>
      <c r="BS58" s="52">
        <f t="shared" si="34"/>
        <v>-5483.8542433109542</v>
      </c>
      <c r="BT58" s="51">
        <f t="shared" si="35"/>
        <v>-7.1078270011465064E-2</v>
      </c>
      <c r="BU58" s="52">
        <f>'FY 2013 by Agency'!BL58*Inflator!$E$14</f>
        <v>77038.920274708871</v>
      </c>
      <c r="BV58" s="52">
        <f t="shared" si="70"/>
        <v>4921.6435206838505</v>
      </c>
      <c r="BW58" s="495">
        <v>78332</v>
      </c>
      <c r="BX58" s="39">
        <f>'FY 2013 by Agency'!BV58*Inflator!E15</f>
        <v>83522</v>
      </c>
      <c r="BY58" s="39">
        <f t="shared" si="37"/>
        <v>6663.5228426395915</v>
      </c>
      <c r="BZ58" s="51">
        <f t="shared" si="38"/>
        <v>9.2977039654528817E-2</v>
      </c>
      <c r="CB58" s="39"/>
    </row>
    <row r="59" spans="1:80" ht="18" customHeight="1">
      <c r="A59" s="59" t="s">
        <v>165</v>
      </c>
      <c r="B59" s="326">
        <f>'FY 2013 by Agency'!B59*Inflator!$E$2</f>
        <v>325.16746411483257</v>
      </c>
      <c r="C59" s="326">
        <f>'FY 2013 by Agency'!C59*Inflator!$E$3</f>
        <v>315.1159196290572</v>
      </c>
      <c r="D59" s="326">
        <f t="shared" si="6"/>
        <v>-10.051544485775366</v>
      </c>
      <c r="E59" s="355">
        <f t="shared" si="7"/>
        <v>-3.091190108191659E-2</v>
      </c>
      <c r="F59" s="10">
        <f>'FY 2013 by Agency'!F59*Inflator!$E$4</f>
        <v>314.31823372668441</v>
      </c>
      <c r="G59" s="10">
        <f t="shared" si="8"/>
        <v>-0.79768590237279113</v>
      </c>
      <c r="H59" s="14">
        <f t="shared" si="9"/>
        <v>-2.5314046440808114E-3</v>
      </c>
      <c r="I59" s="10">
        <f>'FY 2013 by Agency'!I59*Inflator!$E$5</f>
        <v>328.55336556340654</v>
      </c>
      <c r="J59" s="10">
        <f t="shared" si="10"/>
        <v>14.235131836722132</v>
      </c>
      <c r="K59" s="14">
        <f t="shared" si="11"/>
        <v>4.5288915211645978E-2</v>
      </c>
      <c r="L59" s="10">
        <f>'FY 2013 by Agency'!L59*Inflator!$E$6</f>
        <v>91.403853144311142</v>
      </c>
      <c r="M59" s="10">
        <f t="shared" si="12"/>
        <v>-237.1495124190954</v>
      </c>
      <c r="N59" s="14">
        <f t="shared" si="13"/>
        <v>-0.72179906607387534</v>
      </c>
      <c r="O59" s="10">
        <f>'FY 2013 by Agency'!O59*Inflator!$E$7</f>
        <v>0</v>
      </c>
      <c r="P59" s="52">
        <f t="shared" si="63"/>
        <v>-91.403853144311142</v>
      </c>
      <c r="Q59" s="58">
        <f t="shared" si="45"/>
        <v>-1</v>
      </c>
      <c r="R59" s="52">
        <f>'FY 2013 by Agency'!R59*Inflator!$E$8</f>
        <v>0</v>
      </c>
      <c r="S59" s="52">
        <f t="shared" si="46"/>
        <v>0</v>
      </c>
      <c r="T59" s="60" t="s">
        <v>78</v>
      </c>
      <c r="U59" s="52">
        <f>'FY 2013 by Agency'!U59*Inflator!$E$9</f>
        <v>0</v>
      </c>
      <c r="V59" s="52">
        <f t="shared" si="64"/>
        <v>0</v>
      </c>
      <c r="W59" s="60" t="s">
        <v>78</v>
      </c>
      <c r="X59" s="52">
        <f>'FY 2013 by Agency'!X59*Inflator!$E$10</f>
        <v>0</v>
      </c>
      <c r="Y59" s="39">
        <f t="shared" si="48"/>
        <v>0</v>
      </c>
      <c r="Z59" s="61" t="s">
        <v>127</v>
      </c>
      <c r="AA59" s="52">
        <f>'FY 2013 by Agency'!AA59*Inflator!$E$11</f>
        <v>0</v>
      </c>
      <c r="AB59" s="39">
        <f t="shared" si="50"/>
        <v>0</v>
      </c>
      <c r="AC59" s="58"/>
      <c r="AD59" s="52" t="e">
        <f>'FY 2013 by Agency'!AD59*Inflator!#REF!</f>
        <v>#REF!</v>
      </c>
      <c r="AE59" s="52">
        <f>'FY 2013 by Agency'!AE59*Inflator!$B$8</f>
        <v>0</v>
      </c>
      <c r="AF59" s="52">
        <f>'FY 2013 by Agency'!AF59*Inflator!$E$12</f>
        <v>0</v>
      </c>
      <c r="AG59" s="52">
        <f t="shared" si="52"/>
        <v>0</v>
      </c>
      <c r="AH59" s="58" t="e">
        <f t="shared" si="53"/>
        <v>#DIV/0!</v>
      </c>
      <c r="AI59" s="52">
        <f>'FY 2013 by Agency'!AI59*Inflator!$B$8</f>
        <v>0</v>
      </c>
      <c r="AJ59" s="52">
        <f>'FY 2013 by Agency'!AJ59*Inflator!$B$8</f>
        <v>0</v>
      </c>
      <c r="AK59" s="52">
        <f>'FY 2013 by Agency'!AK59</f>
        <v>0</v>
      </c>
      <c r="AL59" s="52">
        <f>'FY 2013 by Agency'!AL59</f>
        <v>0</v>
      </c>
      <c r="AM59" s="52">
        <f>'FY 2013 by Agency'!AM59</f>
        <v>0</v>
      </c>
      <c r="AN59" s="52">
        <f>'FY 2013 by Agency'!AN59</f>
        <v>0</v>
      </c>
      <c r="AO59" s="52">
        <f>'FY 2013 by Agency'!AO59</f>
        <v>0</v>
      </c>
      <c r="AP59" s="52">
        <f>'FY 2013 by Agency'!AP59</f>
        <v>0</v>
      </c>
      <c r="AQ59" s="52">
        <f>'FY 2013 by Agency'!AQ59</f>
        <v>0</v>
      </c>
      <c r="AR59" s="52">
        <f>'FY 2013 by Agency'!AR59</f>
        <v>0</v>
      </c>
      <c r="AS59" s="52">
        <f>'FY 2013 by Agency'!AS59</f>
        <v>0</v>
      </c>
      <c r="AT59" s="52" t="e">
        <f t="shared" si="54"/>
        <v>#REF!</v>
      </c>
      <c r="AU59" s="58" t="e">
        <f t="shared" si="55"/>
        <v>#REF!</v>
      </c>
      <c r="AV59" s="52">
        <f t="shared" si="56"/>
        <v>0</v>
      </c>
      <c r="AW59" s="58" t="e">
        <f t="shared" si="57"/>
        <v>#DIV/0!</v>
      </c>
      <c r="AX59" s="39"/>
      <c r="AY59" s="39"/>
      <c r="AZ59" s="39">
        <f t="shared" si="58"/>
        <v>0</v>
      </c>
      <c r="BA59" s="39">
        <f t="shared" si="59"/>
        <v>0</v>
      </c>
      <c r="BB59" s="39">
        <f t="shared" si="60"/>
        <v>0</v>
      </c>
      <c r="BC59" s="58" t="e">
        <f t="shared" si="61"/>
        <v>#DIV/0!</v>
      </c>
      <c r="BD59" s="294"/>
      <c r="BE59" s="51"/>
      <c r="BI59" s="65"/>
      <c r="BJ59" s="39">
        <f t="shared" si="66"/>
        <v>0</v>
      </c>
      <c r="BK59" s="65">
        <f t="shared" si="67"/>
        <v>0</v>
      </c>
      <c r="BL59" s="576">
        <f>'FY 2013 by Agency'!AS59*Inflator!$E$13</f>
        <v>0</v>
      </c>
      <c r="BM59" s="258">
        <f t="shared" si="68"/>
        <v>0</v>
      </c>
      <c r="BN59" s="51" t="e">
        <f t="shared" si="69"/>
        <v>#DIV/0!</v>
      </c>
      <c r="BO59" s="52">
        <f>'FY 2013 by Agency'!AX59*Inflator!$E$13</f>
        <v>0</v>
      </c>
      <c r="BP59" s="52">
        <f t="shared" si="32"/>
        <v>0</v>
      </c>
      <c r="BQ59" s="51" t="e">
        <f t="shared" si="33"/>
        <v>#DIV/0!</v>
      </c>
      <c r="BR59" s="52">
        <f>'FY 2013 by Agency'!BE59*Inflator!$E$14</f>
        <v>0</v>
      </c>
      <c r="BS59" s="52">
        <f t="shared" si="34"/>
        <v>0</v>
      </c>
      <c r="BT59" s="51" t="e">
        <f t="shared" si="35"/>
        <v>#DIV/0!</v>
      </c>
      <c r="BU59" s="52">
        <f>'FY 2013 by Agency'!BL59*Inflator!$E$14</f>
        <v>0</v>
      </c>
      <c r="BV59" s="52">
        <f t="shared" si="70"/>
        <v>0</v>
      </c>
      <c r="BW59" s="39"/>
      <c r="BX59" s="39">
        <f>'FY 2013 by Agency'!BV59*Inflator!E15</f>
        <v>0</v>
      </c>
      <c r="BY59" s="39">
        <f t="shared" si="37"/>
        <v>0</v>
      </c>
      <c r="BZ59" s="51" t="e">
        <f t="shared" si="38"/>
        <v>#DIV/0!</v>
      </c>
      <c r="CB59" s="39"/>
    </row>
    <row r="60" spans="1:80" ht="18" customHeight="1">
      <c r="A60" s="59" t="s">
        <v>66</v>
      </c>
      <c r="B60" s="326">
        <f>'FY 2013 by Agency'!B60*Inflator!$E$2</f>
        <v>345.49043062200957</v>
      </c>
      <c r="C60" s="326">
        <f>'FY 2013 by Agency'!C60*Inflator!$E$3</f>
        <v>371.57418856259665</v>
      </c>
      <c r="D60" s="326">
        <f t="shared" si="6"/>
        <v>26.083757940587077</v>
      </c>
      <c r="E60" s="355">
        <f t="shared" si="7"/>
        <v>7.5497772524775117E-2</v>
      </c>
      <c r="F60" s="10">
        <f>'FY 2013 by Agency'!F60*Inflator!$E$4</f>
        <v>354.41644461362773</v>
      </c>
      <c r="G60" s="10">
        <f t="shared" si="8"/>
        <v>-17.157743948968914</v>
      </c>
      <c r="H60" s="14">
        <f t="shared" si="9"/>
        <v>-4.6175822963759126E-2</v>
      </c>
      <c r="I60" s="10">
        <f>'FY 2013 by Agency'!I60*Inflator!$E$5</f>
        <v>355.09036816660472</v>
      </c>
      <c r="J60" s="10">
        <f t="shared" si="10"/>
        <v>0.67392355297698714</v>
      </c>
      <c r="K60" s="14">
        <f t="shared" si="11"/>
        <v>1.901501928646891E-3</v>
      </c>
      <c r="L60" s="10">
        <f>'FY 2013 by Agency'!L60*Inflator!$E$6</f>
        <v>415.02290076335873</v>
      </c>
      <c r="M60" s="10">
        <f t="shared" si="12"/>
        <v>59.932532596754015</v>
      </c>
      <c r="N60" s="14">
        <f t="shared" si="13"/>
        <v>0.16878107087555327</v>
      </c>
      <c r="O60" s="10">
        <f>'FY 2013 by Agency'!O60*Inflator!$E$7</f>
        <v>403.07145371348111</v>
      </c>
      <c r="P60" s="52">
        <f t="shared" si="63"/>
        <v>-11.951447049877629</v>
      </c>
      <c r="Q60" s="58">
        <f t="shared" si="45"/>
        <v>-2.8797078493488257E-2</v>
      </c>
      <c r="R60" s="52">
        <f>'FY 2013 by Agency'!R60*Inflator!$E$8</f>
        <v>470.59877800407327</v>
      </c>
      <c r="S60" s="52">
        <f t="shared" si="46"/>
        <v>67.527324290592162</v>
      </c>
      <c r="T60" s="58">
        <f t="shared" si="47"/>
        <v>0.1675318945771665</v>
      </c>
      <c r="U60" s="52">
        <f>'FY 2013 by Agency'!U60*Inflator!$E$9</f>
        <v>584.73541114058355</v>
      </c>
      <c r="V60" s="52">
        <f t="shared" si="64"/>
        <v>114.13663313651028</v>
      </c>
      <c r="W60" s="58">
        <f t="shared" si="65"/>
        <v>0.2425349118427213</v>
      </c>
      <c r="X60" s="52">
        <f>'FY 2013 by Agency'!X60*Inflator!$E$10</f>
        <v>747.79739599872983</v>
      </c>
      <c r="Y60" s="39">
        <f t="shared" si="48"/>
        <v>163.06198485814627</v>
      </c>
      <c r="Z60" s="58">
        <f>Y60/U60</f>
        <v>0.27886456293125456</v>
      </c>
      <c r="AA60" s="52">
        <f>'FY 2013 by Agency'!AA60*Inflator!$E$11</f>
        <v>766.41733035998743</v>
      </c>
      <c r="AB60" s="39">
        <f t="shared" si="50"/>
        <v>18.619934361257606</v>
      </c>
      <c r="AC60" s="58">
        <f>AB60/X60</f>
        <v>2.4899704734047019E-2</v>
      </c>
      <c r="AD60" s="52" t="e">
        <f>'FY 2013 by Agency'!AD60*Inflator!#REF!</f>
        <v>#REF!</v>
      </c>
      <c r="AE60" s="52">
        <f>'FY 2013 by Agency'!AE60*Inflator!$B$8</f>
        <v>0</v>
      </c>
      <c r="AF60" s="52">
        <f>'FY 2013 by Agency'!AF60*Inflator!$E$12</f>
        <v>686.62593984962416</v>
      </c>
      <c r="AG60" s="52">
        <f t="shared" si="52"/>
        <v>-79.791390510363271</v>
      </c>
      <c r="AH60" s="58">
        <f t="shared" si="53"/>
        <v>-0.10410958540418851</v>
      </c>
      <c r="AI60" s="52">
        <f>'FY 2013 by Agency'!AI60*Inflator!$B$8</f>
        <v>0</v>
      </c>
      <c r="AJ60" s="52">
        <f>'FY 2013 by Agency'!AJ60*Inflator!$B$8</f>
        <v>0</v>
      </c>
      <c r="AK60" s="52">
        <f>'FY 2013 by Agency'!AK60</f>
        <v>716</v>
      </c>
      <c r="AL60" s="52">
        <f>'FY 2013 by Agency'!AL60</f>
        <v>0</v>
      </c>
      <c r="AM60" s="52">
        <f>'FY 2013 by Agency'!AM60</f>
        <v>716</v>
      </c>
      <c r="AN60" s="52">
        <f>'FY 2013 by Agency'!AN60</f>
        <v>734</v>
      </c>
      <c r="AO60" s="52">
        <f>'FY 2013 by Agency'!AO60</f>
        <v>734</v>
      </c>
      <c r="AP60" s="52">
        <f>'FY 2013 by Agency'!AP60</f>
        <v>47</v>
      </c>
      <c r="AQ60" s="52">
        <f>'FY 2013 by Agency'!AQ60</f>
        <v>0</v>
      </c>
      <c r="AR60" s="52">
        <f>'FY 2013 by Agency'!AR60</f>
        <v>47</v>
      </c>
      <c r="AS60" s="52">
        <f>'FY 2013 by Agency'!AS60</f>
        <v>1109.6933300000001</v>
      </c>
      <c r="AT60" s="52" t="e">
        <f t="shared" si="54"/>
        <v>#REF!</v>
      </c>
      <c r="AU60" s="58" t="e">
        <f t="shared" si="55"/>
        <v>#REF!</v>
      </c>
      <c r="AV60" s="52">
        <f t="shared" si="56"/>
        <v>423.0673901503759</v>
      </c>
      <c r="AW60" s="58">
        <f t="shared" si="57"/>
        <v>0.61615410312495711</v>
      </c>
      <c r="AX60" s="39">
        <v>1310</v>
      </c>
      <c r="AY60" s="39">
        <v>1310</v>
      </c>
      <c r="AZ60" s="39">
        <f t="shared" si="58"/>
        <v>576</v>
      </c>
      <c r="BA60" s="39">
        <f t="shared" si="59"/>
        <v>999.0673901503759</v>
      </c>
      <c r="BB60" s="39">
        <f t="shared" si="60"/>
        <v>1685.6933300000001</v>
      </c>
      <c r="BC60" s="58">
        <f t="shared" si="61"/>
        <v>1.4550388095870344</v>
      </c>
      <c r="BD60" s="294">
        <v>0</v>
      </c>
      <c r="BE60" s="51">
        <f t="shared" si="62"/>
        <v>0</v>
      </c>
      <c r="BF60" s="50">
        <v>95</v>
      </c>
      <c r="BI60" s="219">
        <v>1254</v>
      </c>
      <c r="BJ60" s="39">
        <f t="shared" si="66"/>
        <v>-56</v>
      </c>
      <c r="BK60" s="65">
        <f t="shared" si="67"/>
        <v>1301</v>
      </c>
      <c r="BL60" s="576">
        <f>'FY 2013 by Agency'!AS60*Inflator!$E$13</f>
        <v>1150.667664125725</v>
      </c>
      <c r="BM60" s="258">
        <f t="shared" si="68"/>
        <v>464.04172427610081</v>
      </c>
      <c r="BN60" s="51">
        <f t="shared" si="69"/>
        <v>0.67582900287415471</v>
      </c>
      <c r="BO60" s="52">
        <f>'FY 2013 by Agency'!AX60*Inflator!$E$13</f>
        <v>1300.3027158986881</v>
      </c>
      <c r="BP60" s="52">
        <f t="shared" si="32"/>
        <v>613.67677604906396</v>
      </c>
      <c r="BQ60" s="51">
        <f t="shared" si="33"/>
        <v>0.89375705232380742</v>
      </c>
      <c r="BR60" s="52">
        <f>'FY 2013 by Agency'!BE60*Inflator!$E$14</f>
        <v>1654.8635413556287</v>
      </c>
      <c r="BS60" s="52">
        <f t="shared" si="34"/>
        <v>354.56082545694062</v>
      </c>
      <c r="BT60" s="51">
        <f t="shared" si="35"/>
        <v>0.27267560170547694</v>
      </c>
      <c r="BU60" s="52">
        <f>'FY 2013 by Agency'!BL60*Inflator!$E$14</f>
        <v>1696.4634219169902</v>
      </c>
      <c r="BV60" s="52">
        <f t="shared" si="70"/>
        <v>545.79575779126526</v>
      </c>
      <c r="BW60" s="495">
        <v>1663</v>
      </c>
      <c r="BX60" s="495">
        <f>'FY 2013 by Agency'!BV60*Inflator!E15</f>
        <v>1732</v>
      </c>
      <c r="BY60" s="39">
        <f t="shared" si="37"/>
        <v>8.1364586443712597</v>
      </c>
      <c r="BZ60" s="51">
        <f t="shared" si="38"/>
        <v>4.9166946041400168E-3</v>
      </c>
      <c r="CB60" s="39"/>
    </row>
    <row r="61" spans="1:80" ht="18" customHeight="1">
      <c r="A61" s="53" t="s">
        <v>67</v>
      </c>
      <c r="B61" s="326">
        <f>'FY 2013 by Agency'!B61*Inflator!$E$2</f>
        <v>35631.57974481659</v>
      </c>
      <c r="C61" s="326">
        <f>'FY 2013 by Agency'!C61*Inflator!$E$3</f>
        <v>32828.51391035549</v>
      </c>
      <c r="D61" s="326">
        <f t="shared" si="6"/>
        <v>-2803.0658344611002</v>
      </c>
      <c r="E61" s="355">
        <f t="shared" si="7"/>
        <v>-7.8668020181419787E-2</v>
      </c>
      <c r="F61" s="10">
        <f>'FY 2013 by Agency'!F61*Inflator!$E$4</f>
        <v>35111.804339550821</v>
      </c>
      <c r="G61" s="10">
        <f t="shared" si="8"/>
        <v>2283.2904291953309</v>
      </c>
      <c r="H61" s="14">
        <f t="shared" si="9"/>
        <v>6.9552049642889427E-2</v>
      </c>
      <c r="I61" s="10">
        <f>'FY 2013 by Agency'!I61*Inflator!$E$5</f>
        <v>37537.222015619198</v>
      </c>
      <c r="J61" s="10">
        <f t="shared" si="10"/>
        <v>2425.4176760683767</v>
      </c>
      <c r="K61" s="14">
        <f t="shared" si="11"/>
        <v>6.9076987688050123E-2</v>
      </c>
      <c r="L61" s="10">
        <f>'FY 2013 by Agency'!L61*Inflator!$E$6</f>
        <v>37989.417666303161</v>
      </c>
      <c r="M61" s="10">
        <f t="shared" si="12"/>
        <v>452.19565068396332</v>
      </c>
      <c r="N61" s="14">
        <f t="shared" si="13"/>
        <v>1.2046593391908575E-2</v>
      </c>
      <c r="O61" s="10">
        <f>'FY 2013 by Agency'!O61*Inflator!$E$7</f>
        <v>41792.649067229846</v>
      </c>
      <c r="P61" s="69">
        <f t="shared" si="63"/>
        <v>3803.2314009266847</v>
      </c>
      <c r="Q61" s="58">
        <f t="shared" si="45"/>
        <v>0.10011291655834392</v>
      </c>
      <c r="R61" s="52">
        <f>'FY 2013 by Agency'!R61*Inflator!$E$8</f>
        <v>47885.732518669378</v>
      </c>
      <c r="S61" s="52">
        <f t="shared" si="46"/>
        <v>6093.0834514395319</v>
      </c>
      <c r="T61" s="58">
        <f t="shared" si="47"/>
        <v>0.14579318582169506</v>
      </c>
      <c r="U61" s="52">
        <f>'FY 2013 by Agency'!U61*Inflator!$E$9</f>
        <v>46970.364721485406</v>
      </c>
      <c r="V61" s="52">
        <f t="shared" si="64"/>
        <v>-915.36779718397156</v>
      </c>
      <c r="W61" s="58">
        <f t="shared" si="65"/>
        <v>-1.9115668677034313E-2</v>
      </c>
      <c r="X61" s="52">
        <f>'FY 2013 by Agency'!X61*Inflator!$E$10</f>
        <v>40351.924420450945</v>
      </c>
      <c r="Y61" s="39">
        <f t="shared" si="48"/>
        <v>-6618.4403010344613</v>
      </c>
      <c r="Z61" s="58">
        <f>Y61/U61</f>
        <v>-0.14090672576802502</v>
      </c>
      <c r="AA61" s="52">
        <f>'FY 2013 by Agency'!AA61*Inflator!$E$11</f>
        <v>39985.767441860473</v>
      </c>
      <c r="AB61" s="39">
        <f t="shared" si="50"/>
        <v>-366.15697859047214</v>
      </c>
      <c r="AC61" s="58">
        <f>AB61/X61</f>
        <v>-9.0740896214827962E-3</v>
      </c>
      <c r="AD61" s="52" t="e">
        <f>'FY 2013 by Agency'!AD61*Inflator!#REF!</f>
        <v>#REF!</v>
      </c>
      <c r="AE61" s="52">
        <f>'FY 2013 by Agency'!AE61*Inflator!$B$8</f>
        <v>0</v>
      </c>
      <c r="AF61" s="52">
        <f>'FY 2013 by Agency'!AF61*Inflator!$E$12</f>
        <v>34332.361528822061</v>
      </c>
      <c r="AG61" s="52">
        <f t="shared" si="52"/>
        <v>-5653.4059130384121</v>
      </c>
      <c r="AH61" s="58">
        <f t="shared" si="53"/>
        <v>-0.14138545474357833</v>
      </c>
      <c r="AI61" s="52">
        <f>'FY 2013 by Agency'!AI61*Inflator!$B$8</f>
        <v>0</v>
      </c>
      <c r="AJ61" s="52">
        <f>'FY 2013 by Agency'!AJ61*Inflator!$B$8</f>
        <v>0</v>
      </c>
      <c r="AK61" s="52">
        <f>'FY 2013 by Agency'!AK61</f>
        <v>13821</v>
      </c>
      <c r="AL61" s="52">
        <f>'FY 2013 by Agency'!AL61</f>
        <v>0</v>
      </c>
      <c r="AM61" s="52">
        <f>'FY 2013 by Agency'!AM61</f>
        <v>13821</v>
      </c>
      <c r="AN61" s="52">
        <f>'FY 2013 by Agency'!AN61</f>
        <v>8061</v>
      </c>
      <c r="AO61" s="52">
        <f>'FY 2013 by Agency'!AO61</f>
        <v>25592</v>
      </c>
      <c r="AP61" s="52">
        <f>'FY 2013 by Agency'!AP61</f>
        <v>6036</v>
      </c>
      <c r="AQ61" s="52">
        <f>'FY 2013 by Agency'!AQ61</f>
        <v>402</v>
      </c>
      <c r="AR61" s="52">
        <f>'FY 2013 by Agency'!AR61</f>
        <v>6438</v>
      </c>
      <c r="AS61" s="52">
        <f>'FY 2013 by Agency'!AS61</f>
        <v>28136.326290000001</v>
      </c>
      <c r="AT61" s="52" t="e">
        <f t="shared" si="54"/>
        <v>#REF!</v>
      </c>
      <c r="AU61" s="58" t="e">
        <f t="shared" si="55"/>
        <v>#REF!</v>
      </c>
      <c r="AV61" s="52">
        <f t="shared" si="56"/>
        <v>-6196.0352388220599</v>
      </c>
      <c r="AW61" s="58">
        <f t="shared" si="57"/>
        <v>-0.18047215405268527</v>
      </c>
      <c r="AX61" s="39">
        <f>8203+17531</f>
        <v>25734</v>
      </c>
      <c r="AY61" s="39">
        <f>8203+17531</f>
        <v>25734</v>
      </c>
      <c r="AZ61" s="39">
        <f t="shared" si="58"/>
        <v>142</v>
      </c>
      <c r="BA61" s="39">
        <f t="shared" si="59"/>
        <v>-6054.0352388220599</v>
      </c>
      <c r="BB61" s="39">
        <f t="shared" si="60"/>
        <v>28278.326290000001</v>
      </c>
      <c r="BC61" s="58">
        <f t="shared" si="61"/>
        <v>-0.17633611465205179</v>
      </c>
      <c r="BD61" s="294">
        <v>70.314999999999998</v>
      </c>
      <c r="BE61" s="51">
        <f t="shared" si="62"/>
        <v>2.7323773995492342E-3</v>
      </c>
      <c r="BF61" s="50">
        <v>210</v>
      </c>
      <c r="BH61" s="50">
        <v>562</v>
      </c>
      <c r="BI61" s="219">
        <v>24715</v>
      </c>
      <c r="BJ61" s="39">
        <f t="shared" si="66"/>
        <v>-1019</v>
      </c>
      <c r="BK61" s="65">
        <f t="shared" si="67"/>
        <v>31153</v>
      </c>
      <c r="BL61" s="576">
        <f>'FY 2013 by Agency'!AS61*Inflator!$E$13</f>
        <v>29175.232448404033</v>
      </c>
      <c r="BM61" s="258">
        <f t="shared" si="68"/>
        <v>-5157.129080418028</v>
      </c>
      <c r="BN61" s="51">
        <f t="shared" si="69"/>
        <v>-0.15021189486451761</v>
      </c>
      <c r="BO61" s="52">
        <f>'FY 2013 by Agency'!AX61*Inflator!$E$13</f>
        <v>25627.577052181878</v>
      </c>
      <c r="BP61" s="52">
        <f t="shared" si="32"/>
        <v>-8704.7844766401831</v>
      </c>
      <c r="BQ61" s="51">
        <f t="shared" si="33"/>
        <v>-0.253544588516945</v>
      </c>
      <c r="BR61" s="52">
        <f>'FY 2013 by Agency'!BE61*Inflator!$E$14</f>
        <v>26411.865631531804</v>
      </c>
      <c r="BS61" s="52">
        <f t="shared" si="34"/>
        <v>784.28857934992629</v>
      </c>
      <c r="BT61" s="51">
        <f t="shared" si="35"/>
        <v>3.0603305874487795E-2</v>
      </c>
      <c r="BU61" s="52">
        <f>'FY 2013 by Agency'!BL61*Inflator!$E$14</f>
        <v>33549.79635712153</v>
      </c>
      <c r="BV61" s="52">
        <f t="shared" si="70"/>
        <v>4374.5639087174968</v>
      </c>
      <c r="BW61" s="495">
        <v>33149</v>
      </c>
      <c r="BX61" s="39">
        <f>'FY 2013 by Agency'!BV61*Inflator!E15</f>
        <v>40091</v>
      </c>
      <c r="BY61" s="39">
        <f t="shared" si="37"/>
        <v>6737.134368468196</v>
      </c>
      <c r="BZ61" s="51">
        <f t="shared" si="38"/>
        <v>0.25507983655743988</v>
      </c>
      <c r="CB61" s="39"/>
    </row>
    <row r="62" spans="1:80" ht="18" customHeight="1">
      <c r="A62" s="53" t="s">
        <v>166</v>
      </c>
      <c r="B62" s="328" t="s">
        <v>78</v>
      </c>
      <c r="C62" s="328" t="s">
        <v>78</v>
      </c>
      <c r="D62" s="328" t="s">
        <v>78</v>
      </c>
      <c r="E62" s="328" t="s">
        <v>78</v>
      </c>
      <c r="F62" s="328" t="s">
        <v>78</v>
      </c>
      <c r="G62" s="328" t="s">
        <v>78</v>
      </c>
      <c r="H62" s="328" t="s">
        <v>78</v>
      </c>
      <c r="I62" s="328" t="s">
        <v>78</v>
      </c>
      <c r="J62" s="328" t="s">
        <v>78</v>
      </c>
      <c r="K62" s="328" t="s">
        <v>78</v>
      </c>
      <c r="L62" s="10">
        <f>'FY 2013 by Agency'!L62*Inflator!$E$6</f>
        <v>0</v>
      </c>
      <c r="M62" s="328" t="s">
        <v>78</v>
      </c>
      <c r="N62" s="328" t="s">
        <v>78</v>
      </c>
      <c r="O62" s="10">
        <f>'FY 2013 by Agency'!O62*Inflator!$E$7</f>
        <v>0</v>
      </c>
      <c r="P62" s="69">
        <f t="shared" si="63"/>
        <v>0</v>
      </c>
      <c r="Q62" s="60" t="s">
        <v>78</v>
      </c>
      <c r="R62" s="52">
        <f>'FY 2013 by Agency'!R62*Inflator!$E$8</f>
        <v>0</v>
      </c>
      <c r="S62" s="52">
        <f t="shared" si="46"/>
        <v>0</v>
      </c>
      <c r="T62" s="60" t="s">
        <v>78</v>
      </c>
      <c r="U62" s="52">
        <f>'FY 2013 by Agency'!U62*Inflator!$E$9</f>
        <v>0</v>
      </c>
      <c r="V62" s="52">
        <f t="shared" si="64"/>
        <v>0</v>
      </c>
      <c r="W62" s="60" t="s">
        <v>78</v>
      </c>
      <c r="X62" s="52">
        <f>'FY 2013 by Agency'!X62*Inflator!$E$10</f>
        <v>1643.4277548428074</v>
      </c>
      <c r="Y62" s="39">
        <f t="shared" si="48"/>
        <v>1643.4277548428074</v>
      </c>
      <c r="Z62" s="61" t="s">
        <v>127</v>
      </c>
      <c r="AA62" s="52">
        <f>'FY 2013 by Agency'!AA62*Inflator!$E$11</f>
        <v>2738.7511946479776</v>
      </c>
      <c r="AB62" s="39">
        <f t="shared" si="50"/>
        <v>1095.3234398051702</v>
      </c>
      <c r="AC62" s="58">
        <f>AB62/X62</f>
        <v>0.66648712520371001</v>
      </c>
      <c r="AD62" s="52" t="e">
        <f>'FY 2013 by Agency'!AD62*Inflator!#REF!</f>
        <v>#REF!</v>
      </c>
      <c r="AE62" s="52">
        <f>'FY 2013 by Agency'!AE62*Inflator!$B$8</f>
        <v>0</v>
      </c>
      <c r="AF62" s="52">
        <f>'FY 2013 by Agency'!AF62*Inflator!$E$12</f>
        <v>2468.6597744360906</v>
      </c>
      <c r="AG62" s="52">
        <f t="shared" si="52"/>
        <v>-270.091420211887</v>
      </c>
      <c r="AH62" s="58">
        <f t="shared" si="53"/>
        <v>-9.8618458200838102E-2</v>
      </c>
      <c r="AI62" s="52">
        <f>'FY 2013 by Agency'!AI62*Inflator!$B$8</f>
        <v>0</v>
      </c>
      <c r="AJ62" s="52">
        <f>'FY 2013 by Agency'!AJ62*Inflator!$B$8</f>
        <v>0</v>
      </c>
      <c r="AK62" s="52">
        <f>'FY 2013 by Agency'!AK62</f>
        <v>815</v>
      </c>
      <c r="AL62" s="52">
        <f>'FY 2013 by Agency'!AL62</f>
        <v>0</v>
      </c>
      <c r="AM62" s="52">
        <f>'FY 2013 by Agency'!AM62</f>
        <v>815</v>
      </c>
      <c r="AN62" s="52">
        <f>'FY 2013 by Agency'!AN62</f>
        <v>0</v>
      </c>
      <c r="AO62" s="52">
        <f>'FY 2013 by Agency'!AO62</f>
        <v>1570</v>
      </c>
      <c r="AP62" s="52">
        <f>'FY 2013 by Agency'!AP62</f>
        <v>0</v>
      </c>
      <c r="AQ62" s="52">
        <f>'FY 2013 by Agency'!AQ62</f>
        <v>0</v>
      </c>
      <c r="AR62" s="52">
        <f>'FY 2013 by Agency'!AR62</f>
        <v>0</v>
      </c>
      <c r="AS62" s="52">
        <f>'FY 2013 by Agency'!AS62</f>
        <v>1755.4464200000002</v>
      </c>
      <c r="AT62" s="52" t="e">
        <f t="shared" si="54"/>
        <v>#REF!</v>
      </c>
      <c r="AU62" s="58" t="e">
        <f t="shared" si="55"/>
        <v>#REF!</v>
      </c>
      <c r="AV62" s="52">
        <f t="shared" si="56"/>
        <v>-713.21335443609041</v>
      </c>
      <c r="AW62" s="58">
        <f t="shared" si="57"/>
        <v>-0.28890710733884251</v>
      </c>
      <c r="AX62" s="39">
        <f>654+1570</f>
        <v>2224</v>
      </c>
      <c r="AY62" s="39">
        <f>654+1570</f>
        <v>2224</v>
      </c>
      <c r="AZ62" s="39">
        <f t="shared" si="58"/>
        <v>654</v>
      </c>
      <c r="BA62" s="39">
        <f t="shared" si="59"/>
        <v>-59.213354436090412</v>
      </c>
      <c r="BB62" s="39">
        <f t="shared" si="60"/>
        <v>2409.4464200000002</v>
      </c>
      <c r="BC62" s="58">
        <f t="shared" si="61"/>
        <v>-2.3986032846351368E-2</v>
      </c>
      <c r="BD62" s="294">
        <v>0</v>
      </c>
      <c r="BE62" s="51">
        <f t="shared" si="62"/>
        <v>0</v>
      </c>
      <c r="BH62" s="50">
        <v>386</v>
      </c>
      <c r="BI62" s="219">
        <v>1816</v>
      </c>
      <c r="BJ62" s="39">
        <f t="shared" si="66"/>
        <v>-408</v>
      </c>
      <c r="BK62" s="65">
        <f t="shared" si="67"/>
        <v>1816</v>
      </c>
      <c r="BL62" s="576">
        <f>'FY 2013 by Agency'!AS62*Inflator!$E$13</f>
        <v>1820.2645514678065</v>
      </c>
      <c r="BM62" s="258">
        <f t="shared" si="68"/>
        <v>-648.39522296828409</v>
      </c>
      <c r="BN62" s="51">
        <f t="shared" si="69"/>
        <v>-0.26265070208647739</v>
      </c>
      <c r="BO62" s="52">
        <f>'FY 2013 by Agency'!AX62*Inflator!$E$13</f>
        <v>1883.0540128166008</v>
      </c>
      <c r="BP62" s="52">
        <f t="shared" si="32"/>
        <v>-585.60576161948984</v>
      </c>
      <c r="BQ62" s="51">
        <f t="shared" si="33"/>
        <v>-0.2372160666624295</v>
      </c>
      <c r="BR62" s="52">
        <f>'FY 2013 by Agency'!BE62*Inflator!$E$14</f>
        <v>1952.1504926843836</v>
      </c>
      <c r="BS62" s="52">
        <f t="shared" si="34"/>
        <v>69.096479867782818</v>
      </c>
      <c r="BT62" s="51">
        <f t="shared" si="35"/>
        <v>3.6693838518434704E-2</v>
      </c>
      <c r="BU62" s="52">
        <f>'FY 2013 by Agency'!BL62*Inflator!$E$14</f>
        <v>1978.530904747686</v>
      </c>
      <c r="BV62" s="52">
        <f t="shared" si="70"/>
        <v>158.26635327987947</v>
      </c>
      <c r="BW62" s="39">
        <v>1961</v>
      </c>
      <c r="BX62" s="39">
        <f>'FY 2013 by Agency'!BV62*Inflator!E15</f>
        <v>2116</v>
      </c>
      <c r="BY62" s="39">
        <f t="shared" si="37"/>
        <v>8.8495073156163926</v>
      </c>
      <c r="BZ62" s="51">
        <f t="shared" si="38"/>
        <v>4.5332095802959943E-3</v>
      </c>
      <c r="CB62" s="39"/>
    </row>
    <row r="63" spans="1:80" ht="18" customHeight="1">
      <c r="A63" s="63" t="s">
        <v>22</v>
      </c>
      <c r="B63" s="329" t="s">
        <v>78</v>
      </c>
      <c r="C63" s="329" t="s">
        <v>78</v>
      </c>
      <c r="D63" s="329" t="s">
        <v>78</v>
      </c>
      <c r="E63" s="329" t="s">
        <v>78</v>
      </c>
      <c r="F63" s="10">
        <f>'FY 2013 by Agency'!F63*Inflator!$E$4</f>
        <v>2245.4998096688237</v>
      </c>
      <c r="G63" s="328" t="s">
        <v>78</v>
      </c>
      <c r="H63" s="328" t="s">
        <v>78</v>
      </c>
      <c r="I63" s="10">
        <f>'FY 2013 by Agency'!I63*Inflator!$E$5</f>
        <v>2136.8605429527711</v>
      </c>
      <c r="J63" s="10">
        <f t="shared" si="10"/>
        <v>-108.63926671605259</v>
      </c>
      <c r="K63" s="14">
        <f t="shared" si="11"/>
        <v>-4.8380884401889659E-2</v>
      </c>
      <c r="L63" s="10">
        <f>'FY 2013 by Agency'!L63*Inflator!$E$6</f>
        <v>2912.5714285714284</v>
      </c>
      <c r="M63" s="10">
        <f t="shared" si="12"/>
        <v>775.71088561865736</v>
      </c>
      <c r="N63" s="14">
        <f t="shared" si="13"/>
        <v>0.36301427726619878</v>
      </c>
      <c r="O63" s="10">
        <f>'FY 2013 by Agency'!O63*Inflator!$E$7</f>
        <v>4945.6986976416747</v>
      </c>
      <c r="P63" s="69">
        <f t="shared" si="63"/>
        <v>2033.1272690702463</v>
      </c>
      <c r="Q63" s="58">
        <f t="shared" si="45"/>
        <v>0.69805232899213876</v>
      </c>
      <c r="R63" s="52">
        <f>'FY 2013 by Agency'!R63*Inflator!$E$8</f>
        <v>9913.7169042769856</v>
      </c>
      <c r="S63" s="69">
        <f t="shared" si="46"/>
        <v>4968.0182066353109</v>
      </c>
      <c r="T63" s="58">
        <f t="shared" si="47"/>
        <v>1.0045129132116923</v>
      </c>
      <c r="U63" s="52">
        <f>'FY 2013 by Agency'!U63*Inflator!$E$9</f>
        <v>11302.631299734747</v>
      </c>
      <c r="V63" s="52">
        <f t="shared" si="64"/>
        <v>1388.9143954577612</v>
      </c>
      <c r="W63" s="58">
        <f t="shared" si="65"/>
        <v>0.14010026802949702</v>
      </c>
      <c r="X63" s="52">
        <f>'FY 2013 by Agency'!X63*Inflator!$E$10</f>
        <v>10684.978088281996</v>
      </c>
      <c r="Y63" s="39">
        <f t="shared" si="48"/>
        <v>-617.65321145275084</v>
      </c>
      <c r="Z63" s="58">
        <f>Y63/U63</f>
        <v>-5.4646851257303786E-2</v>
      </c>
      <c r="AA63" s="52">
        <f>'FY 2013 by Agency'!AA63*Inflator!$E$11</f>
        <v>14751.368588722526</v>
      </c>
      <c r="AB63" s="39">
        <f t="shared" si="50"/>
        <v>4066.3905004405296</v>
      </c>
      <c r="AC63" s="58">
        <f>AB63/X63</f>
        <v>0.38057078515678566</v>
      </c>
      <c r="AD63" s="52" t="e">
        <f>'FY 2013 by Agency'!AD63*Inflator!#REF!</f>
        <v>#REF!</v>
      </c>
      <c r="AE63" s="52">
        <f>'FY 2013 by Agency'!AE63*Inflator!$B$8</f>
        <v>0</v>
      </c>
      <c r="AF63" s="52">
        <f>'FY 2013 by Agency'!AF63*Inflator!$E$12</f>
        <v>5547.2988721804513</v>
      </c>
      <c r="AG63" s="52">
        <f t="shared" si="52"/>
        <v>-9204.0697165420752</v>
      </c>
      <c r="AH63" s="58">
        <f t="shared" si="53"/>
        <v>-0.62394683321645283</v>
      </c>
      <c r="AI63" s="52">
        <f>'FY 2013 by Agency'!AI63*Inflator!$B$8</f>
        <v>0</v>
      </c>
      <c r="AJ63" s="52">
        <f>'FY 2013 by Agency'!AJ63*Inflator!$B$8</f>
        <v>0</v>
      </c>
      <c r="AK63" s="52">
        <f>'FY 2013 by Agency'!AK63</f>
        <v>3485</v>
      </c>
      <c r="AL63" s="52">
        <f>'FY 2013 by Agency'!AL63</f>
        <v>2000</v>
      </c>
      <c r="AM63" s="52">
        <f>'FY 2013 by Agency'!AM63</f>
        <v>5485</v>
      </c>
      <c r="AN63" s="52">
        <f>'FY 2013 by Agency'!AN63</f>
        <v>4940</v>
      </c>
      <c r="AO63" s="52">
        <f>'FY 2013 by Agency'!AO63</f>
        <v>5111</v>
      </c>
      <c r="AP63" s="52">
        <f>'FY 2013 by Agency'!AP63</f>
        <v>210</v>
      </c>
      <c r="AQ63" s="52">
        <f>'FY 2013 by Agency'!AQ63</f>
        <v>3</v>
      </c>
      <c r="AR63" s="52">
        <f>'FY 2013 by Agency'!AR63</f>
        <v>213</v>
      </c>
      <c r="AS63" s="52">
        <f>'FY 2013 by Agency'!AS63</f>
        <v>4936.61481</v>
      </c>
      <c r="AT63" s="52" t="e">
        <f t="shared" si="54"/>
        <v>#REF!</v>
      </c>
      <c r="AU63" s="58" t="e">
        <f t="shared" si="55"/>
        <v>#REF!</v>
      </c>
      <c r="AV63" s="52">
        <f t="shared" si="56"/>
        <v>-610.68406218045129</v>
      </c>
      <c r="AW63" s="58">
        <f t="shared" si="57"/>
        <v>-0.11008674244018378</v>
      </c>
      <c r="AX63" s="39">
        <f>4940+170</f>
        <v>5110</v>
      </c>
      <c r="AY63" s="39">
        <f>4940+170</f>
        <v>5110</v>
      </c>
      <c r="AZ63" s="39">
        <f t="shared" si="58"/>
        <v>-1</v>
      </c>
      <c r="BA63" s="39">
        <f t="shared" si="59"/>
        <v>-611.68406218045129</v>
      </c>
      <c r="BB63" s="39">
        <f t="shared" si="60"/>
        <v>4935.61481</v>
      </c>
      <c r="BC63" s="58">
        <f t="shared" si="61"/>
        <v>-0.11026701035490083</v>
      </c>
      <c r="BD63" s="294">
        <v>444.42099999999999</v>
      </c>
      <c r="BE63" s="51">
        <f t="shared" si="62"/>
        <v>8.6970841487279849E-2</v>
      </c>
      <c r="BF63" s="50">
        <v>570</v>
      </c>
      <c r="BI63" s="219">
        <v>4532</v>
      </c>
      <c r="BJ63" s="39">
        <f t="shared" si="66"/>
        <v>-578</v>
      </c>
      <c r="BK63" s="65">
        <f t="shared" si="67"/>
        <v>4745</v>
      </c>
      <c r="BL63" s="576">
        <f>'FY 2013 by Agency'!AS63*Inflator!$E$13</f>
        <v>5118.8944535794944</v>
      </c>
      <c r="BM63" s="258">
        <f t="shared" si="68"/>
        <v>-428.40441860095689</v>
      </c>
      <c r="BN63" s="51">
        <f t="shared" si="69"/>
        <v>-7.722757119674821E-2</v>
      </c>
      <c r="BO63" s="52">
        <f>'FY 2013 by Agency'!AX63*Inflator!$E$13</f>
        <v>4699.3396399145568</v>
      </c>
      <c r="BP63" s="52">
        <f t="shared" si="32"/>
        <v>-847.95923226589457</v>
      </c>
      <c r="BQ63" s="51">
        <f t="shared" si="33"/>
        <v>-0.15285984256561089</v>
      </c>
      <c r="BR63" s="52">
        <f>'FY 2013 by Agency'!BE63*Inflator!$E$14</f>
        <v>4078.8175574798452</v>
      </c>
      <c r="BS63" s="52">
        <f t="shared" si="34"/>
        <v>-620.52208243471159</v>
      </c>
      <c r="BT63" s="51">
        <f t="shared" si="35"/>
        <v>-0.1320445275255725</v>
      </c>
      <c r="BU63" s="52">
        <f>'FY 2013 by Agency'!BL63*Inflator!$E$14</f>
        <v>4520.18214392356</v>
      </c>
      <c r="BV63" s="52">
        <f t="shared" si="70"/>
        <v>-598.7123096559344</v>
      </c>
      <c r="BW63" s="495">
        <v>4390</v>
      </c>
      <c r="BX63" s="39">
        <f>'FY 2013 by Agency'!BV63*Inflator!E15</f>
        <v>5223</v>
      </c>
      <c r="BY63" s="39">
        <f t="shared" si="37"/>
        <v>311.18244252015484</v>
      </c>
      <c r="BZ63" s="51">
        <f t="shared" si="38"/>
        <v>7.6292317107809871E-2</v>
      </c>
      <c r="CB63" s="39"/>
    </row>
    <row r="64" spans="1:80" ht="18" customHeight="1">
      <c r="A64" s="63" t="s">
        <v>108</v>
      </c>
      <c r="B64" s="326">
        <f>'FY 2013 by Agency'!B64*Inflator!$E$2</f>
        <v>0</v>
      </c>
      <c r="C64" s="326">
        <f>'FY 2013 by Agency'!C64*Inflator!$E$3</f>
        <v>0</v>
      </c>
      <c r="D64" s="326">
        <f t="shared" si="6"/>
        <v>0</v>
      </c>
      <c r="E64" s="355" t="e">
        <f t="shared" si="7"/>
        <v>#DIV/0!</v>
      </c>
      <c r="F64" s="10">
        <f>'FY 2013 by Agency'!F64*Inflator!$E$4</f>
        <v>2555.9375713741911</v>
      </c>
      <c r="G64" s="10">
        <f t="shared" si="8"/>
        <v>2555.9375713741911</v>
      </c>
      <c r="H64" s="14" t="e">
        <f t="shared" si="9"/>
        <v>#DIV/0!</v>
      </c>
      <c r="I64" s="10">
        <f>'FY 2013 by Agency'!I64*Inflator!$E$5</f>
        <v>3291.8519895872078</v>
      </c>
      <c r="J64" s="10">
        <f t="shared" si="10"/>
        <v>735.91441821301669</v>
      </c>
      <c r="K64" s="14">
        <f t="shared" si="11"/>
        <v>0.28792347139267366</v>
      </c>
      <c r="L64" s="10">
        <f>'FY 2013 by Agency'!L64*Inflator!$E$6</f>
        <v>3699.3856779352959</v>
      </c>
      <c r="M64" s="10">
        <f t="shared" si="12"/>
        <v>407.53368834808816</v>
      </c>
      <c r="N64" s="14">
        <f t="shared" si="13"/>
        <v>0.12380073272953931</v>
      </c>
      <c r="O64" s="10">
        <f>'FY 2013 by Agency'!O64*Inflator!$E$7</f>
        <v>3713.759239704329</v>
      </c>
      <c r="P64" s="69">
        <f t="shared" si="63"/>
        <v>14.373561769033131</v>
      </c>
      <c r="Q64" s="58">
        <f t="shared" si="45"/>
        <v>3.8853915272373859E-3</v>
      </c>
      <c r="R64" s="52">
        <f>'FY 2013 by Agency'!R64*Inflator!$E$8</f>
        <v>3642.5268160217242</v>
      </c>
      <c r="S64" s="69">
        <f t="shared" si="46"/>
        <v>-71.232423682604804</v>
      </c>
      <c r="T64" s="58">
        <f t="shared" si="47"/>
        <v>-1.9180678952218769E-2</v>
      </c>
      <c r="U64" s="52">
        <f>'FY 2013 by Agency'!U64*Inflator!$E$9</f>
        <v>3969.2155172413791</v>
      </c>
      <c r="V64" s="52">
        <f t="shared" si="64"/>
        <v>326.68870121965483</v>
      </c>
      <c r="W64" s="58">
        <f t="shared" si="65"/>
        <v>8.9687383983752242E-2</v>
      </c>
      <c r="X64" s="52">
        <f>'FY 2013 by Agency'!X64*Inflator!$E$10</f>
        <v>5693.1876786281364</v>
      </c>
      <c r="Y64" s="39">
        <f t="shared" si="48"/>
        <v>1723.9721613867573</v>
      </c>
      <c r="Z64" s="58">
        <f>Y64/U64</f>
        <v>0.43433574062638075</v>
      </c>
      <c r="AA64" s="52">
        <f>'FY 2013 by Agency'!AA64*Inflator!$E$11</f>
        <v>6972.4491876393768</v>
      </c>
      <c r="AB64" s="39">
        <f t="shared" si="50"/>
        <v>1279.2615090112404</v>
      </c>
      <c r="AC64" s="58">
        <f>AB64/X64</f>
        <v>0.22470039303525977</v>
      </c>
      <c r="AD64" s="52" t="e">
        <f>'FY 2013 by Agency'!AD64*Inflator!#REF!</f>
        <v>#REF!</v>
      </c>
      <c r="AE64" s="52">
        <f>'FY 2013 by Agency'!AE64*Inflator!$B$8</f>
        <v>0</v>
      </c>
      <c r="AF64" s="52">
        <f>'FY 2013 by Agency'!AF64*Inflator!$E$12</f>
        <v>5589.8803258145372</v>
      </c>
      <c r="AG64" s="52">
        <f t="shared" si="52"/>
        <v>-1382.5688618248396</v>
      </c>
      <c r="AH64" s="58">
        <f t="shared" si="53"/>
        <v>-0.19829027428064028</v>
      </c>
      <c r="AI64" s="52">
        <f>'FY 2013 by Agency'!AI64*Inflator!$B$8</f>
        <v>0</v>
      </c>
      <c r="AJ64" s="52">
        <f>'FY 2013 by Agency'!AJ64*Inflator!$B$8</f>
        <v>0</v>
      </c>
      <c r="AK64" s="52">
        <f>'FY 2013 by Agency'!AK64</f>
        <v>409</v>
      </c>
      <c r="AL64" s="52">
        <f>'FY 2013 by Agency'!AL64</f>
        <v>0</v>
      </c>
      <c r="AM64" s="52">
        <f>'FY 2013 by Agency'!AM64</f>
        <v>409</v>
      </c>
      <c r="AN64" s="52">
        <f>'FY 2013 by Agency'!AN64</f>
        <v>400</v>
      </c>
      <c r="AO64" s="52">
        <f>'FY 2013 by Agency'!AO64</f>
        <v>5194</v>
      </c>
      <c r="AP64" s="52">
        <f>'FY 2013 by Agency'!AP64</f>
        <v>0</v>
      </c>
      <c r="AQ64" s="52">
        <f>'FY 2013 by Agency'!AQ64</f>
        <v>0</v>
      </c>
      <c r="AR64" s="52">
        <f>'FY 2013 by Agency'!AR64</f>
        <v>0</v>
      </c>
      <c r="AS64" s="52">
        <f>'FY 2013 by Agency'!AS64</f>
        <v>4525.5811000000003</v>
      </c>
      <c r="AT64" s="52" t="e">
        <f t="shared" si="54"/>
        <v>#REF!</v>
      </c>
      <c r="AU64" s="58" t="e">
        <f t="shared" si="55"/>
        <v>#REF!</v>
      </c>
      <c r="AV64" s="52">
        <f t="shared" si="56"/>
        <v>-1064.2992258145368</v>
      </c>
      <c r="AW64" s="58">
        <f t="shared" si="57"/>
        <v>-0.19039749758139071</v>
      </c>
      <c r="AX64" s="39">
        <f>400+5139</f>
        <v>5539</v>
      </c>
      <c r="AY64" s="39">
        <f>400+5139</f>
        <v>5539</v>
      </c>
      <c r="AZ64" s="39">
        <f t="shared" si="58"/>
        <v>345</v>
      </c>
      <c r="BA64" s="39">
        <f t="shared" si="59"/>
        <v>-719.29922581453684</v>
      </c>
      <c r="BB64" s="39">
        <f t="shared" si="60"/>
        <v>4870.5811000000003</v>
      </c>
      <c r="BC64" s="58">
        <f t="shared" si="61"/>
        <v>-0.12867882385473484</v>
      </c>
      <c r="BD64" s="294">
        <v>0</v>
      </c>
      <c r="BE64" s="51">
        <f t="shared" si="62"/>
        <v>0</v>
      </c>
      <c r="BI64" s="219">
        <v>4843</v>
      </c>
      <c r="BJ64" s="39">
        <f t="shared" si="66"/>
        <v>-696</v>
      </c>
      <c r="BK64" s="65">
        <f t="shared" si="67"/>
        <v>4843</v>
      </c>
      <c r="BL64" s="576">
        <f>'FY 2013 by Agency'!AS64*Inflator!$E$13</f>
        <v>4692.6837283491013</v>
      </c>
      <c r="BM64" s="258">
        <f t="shared" si="68"/>
        <v>-897.19659746543584</v>
      </c>
      <c r="BN64" s="51">
        <f t="shared" si="69"/>
        <v>-0.16050372193517393</v>
      </c>
      <c r="BO64" s="52">
        <f>'FY 2013 by Agency'!AX64*Inflator!$E$13</f>
        <v>5021.8230088495584</v>
      </c>
      <c r="BP64" s="52">
        <f t="shared" si="32"/>
        <v>-568.05731696497878</v>
      </c>
      <c r="BQ64" s="51">
        <f t="shared" si="33"/>
        <v>-0.10162244696753925</v>
      </c>
      <c r="BR64" s="52">
        <f>'FY 2013 by Agency'!BE64*Inflator!$E$14</f>
        <v>6051.2606748283079</v>
      </c>
      <c r="BS64" s="52">
        <f t="shared" si="34"/>
        <v>1029.4376659787495</v>
      </c>
      <c r="BT64" s="51">
        <f t="shared" si="35"/>
        <v>0.20499282116567102</v>
      </c>
      <c r="BU64" s="52">
        <f>'FY 2013 by Agency'!BL64*Inflator!$E$14</f>
        <v>6051.2606748283079</v>
      </c>
      <c r="BV64" s="52">
        <f t="shared" si="70"/>
        <v>1358.5769464792065</v>
      </c>
      <c r="BW64" s="39">
        <v>6835</v>
      </c>
      <c r="BX64" s="39">
        <f>'FY 2013 by Agency'!BV64*Inflator!E15</f>
        <v>7399</v>
      </c>
      <c r="BY64" s="39">
        <f t="shared" si="37"/>
        <v>783.73932517169214</v>
      </c>
      <c r="BZ64" s="51">
        <f t="shared" si="38"/>
        <v>0.12951670193813442</v>
      </c>
      <c r="CB64" s="39"/>
    </row>
    <row r="65" spans="1:80" ht="18" customHeight="1">
      <c r="A65" s="63" t="s">
        <v>167</v>
      </c>
      <c r="B65" s="328" t="s">
        <v>78</v>
      </c>
      <c r="C65" s="328" t="s">
        <v>78</v>
      </c>
      <c r="D65" s="328" t="s">
        <v>78</v>
      </c>
      <c r="E65" s="328" t="s">
        <v>78</v>
      </c>
      <c r="F65" s="328" t="s">
        <v>78</v>
      </c>
      <c r="G65" s="328" t="s">
        <v>78</v>
      </c>
      <c r="H65" s="328" t="s">
        <v>78</v>
      </c>
      <c r="I65" s="328" t="s">
        <v>78</v>
      </c>
      <c r="J65" s="328" t="s">
        <v>78</v>
      </c>
      <c r="K65" s="328" t="s">
        <v>78</v>
      </c>
      <c r="L65" s="10" t="e">
        <f>'FY 2013 by Agency'!L65*Inflator!$E$6</f>
        <v>#VALUE!</v>
      </c>
      <c r="M65" s="328" t="s">
        <v>78</v>
      </c>
      <c r="N65" s="328" t="s">
        <v>78</v>
      </c>
      <c r="O65" s="10" t="e">
        <f>'FY 2013 by Agency'!O65*Inflator!$E$7</f>
        <v>#VALUE!</v>
      </c>
      <c r="P65" s="69" t="e">
        <f t="shared" si="63"/>
        <v>#VALUE!</v>
      </c>
      <c r="Q65" s="58" t="e">
        <f t="shared" si="45"/>
        <v>#VALUE!</v>
      </c>
      <c r="R65" s="52" t="e">
        <f>'FY 2013 by Agency'!R65*Inflator!$E$8</f>
        <v>#VALUE!</v>
      </c>
      <c r="S65" s="69" t="e">
        <f t="shared" si="46"/>
        <v>#VALUE!</v>
      </c>
      <c r="T65" s="60" t="s">
        <v>78</v>
      </c>
      <c r="U65" s="52">
        <f>'FY 2013 by Agency'!U65*Inflator!$E$9</f>
        <v>0</v>
      </c>
      <c r="V65" s="52" t="e">
        <f t="shared" si="64"/>
        <v>#VALUE!</v>
      </c>
      <c r="W65" s="60" t="s">
        <v>78</v>
      </c>
      <c r="X65" s="52">
        <f>'FY 2013 by Agency'!X65*Inflator!$E$10</f>
        <v>0</v>
      </c>
      <c r="Y65" s="39">
        <f t="shared" si="48"/>
        <v>0</v>
      </c>
      <c r="Z65" s="61" t="s">
        <v>127</v>
      </c>
      <c r="AA65" s="52">
        <f>'FY 2013 by Agency'!AA65*Inflator!$E$11</f>
        <v>0</v>
      </c>
      <c r="AB65" s="39">
        <f t="shared" si="50"/>
        <v>0</v>
      </c>
      <c r="AC65" s="58"/>
      <c r="AD65" s="52" t="e">
        <f>'FY 2013 by Agency'!AD65*Inflator!#REF!</f>
        <v>#REF!</v>
      </c>
      <c r="AE65" s="52">
        <f>'FY 2013 by Agency'!AE65*Inflator!$B$8</f>
        <v>0</v>
      </c>
      <c r="AF65" s="52">
        <f>'FY 2013 by Agency'!AF65*Inflator!$E$12</f>
        <v>0</v>
      </c>
      <c r="AG65" s="52">
        <f t="shared" si="52"/>
        <v>0</v>
      </c>
      <c r="AH65" s="58" t="e">
        <f t="shared" si="53"/>
        <v>#DIV/0!</v>
      </c>
      <c r="AI65" s="52">
        <f>'FY 2013 by Agency'!AI65*Inflator!$B$8</f>
        <v>0</v>
      </c>
      <c r="AJ65" s="52">
        <f>'FY 2013 by Agency'!AJ65*Inflator!$B$8</f>
        <v>0</v>
      </c>
      <c r="AK65" s="52">
        <f>'FY 2013 by Agency'!AK65</f>
        <v>0</v>
      </c>
      <c r="AL65" s="52">
        <f>'FY 2013 by Agency'!AL65</f>
        <v>0</v>
      </c>
      <c r="AM65" s="52">
        <f>'FY 2013 by Agency'!AM65</f>
        <v>0</v>
      </c>
      <c r="AN65" s="52">
        <f>'FY 2013 by Agency'!AN65</f>
        <v>0</v>
      </c>
      <c r="AO65" s="52">
        <f>'FY 2013 by Agency'!AO65</f>
        <v>0</v>
      </c>
      <c r="AP65" s="52">
        <f>'FY 2013 by Agency'!AP65</f>
        <v>0</v>
      </c>
      <c r="AQ65" s="52">
        <f>'FY 2013 by Agency'!AQ65</f>
        <v>0</v>
      </c>
      <c r="AR65" s="52">
        <f>'FY 2013 by Agency'!AR65</f>
        <v>0</v>
      </c>
      <c r="AS65" s="52">
        <f>'FY 2013 by Agency'!AS65</f>
        <v>0</v>
      </c>
      <c r="AT65" s="52" t="e">
        <f t="shared" si="54"/>
        <v>#REF!</v>
      </c>
      <c r="AU65" s="58" t="e">
        <f t="shared" si="55"/>
        <v>#REF!</v>
      </c>
      <c r="AV65" s="52">
        <f t="shared" si="56"/>
        <v>0</v>
      </c>
      <c r="AW65" s="58" t="e">
        <f t="shared" si="57"/>
        <v>#DIV/0!</v>
      </c>
      <c r="AX65" s="39"/>
      <c r="AY65" s="39"/>
      <c r="AZ65" s="39">
        <f t="shared" si="58"/>
        <v>0</v>
      </c>
      <c r="BA65" s="39">
        <f t="shared" si="59"/>
        <v>0</v>
      </c>
      <c r="BB65" s="39">
        <f t="shared" si="60"/>
        <v>0</v>
      </c>
      <c r="BC65" s="58" t="e">
        <f t="shared" si="61"/>
        <v>#DIV/0!</v>
      </c>
      <c r="BD65" s="292"/>
      <c r="BI65" s="65"/>
      <c r="BJ65" s="39">
        <f t="shared" si="66"/>
        <v>0</v>
      </c>
      <c r="BK65" s="65">
        <f t="shared" si="67"/>
        <v>0</v>
      </c>
      <c r="BL65" s="576">
        <f>'FY 2013 by Agency'!AS65*Inflator!$E$13</f>
        <v>0</v>
      </c>
      <c r="BM65" s="258">
        <f t="shared" si="68"/>
        <v>0</v>
      </c>
      <c r="BN65" s="51" t="e">
        <f t="shared" si="69"/>
        <v>#DIV/0!</v>
      </c>
      <c r="BO65" s="52">
        <f>'FY 2013 by Agency'!AX65*Inflator!$E$13</f>
        <v>0</v>
      </c>
      <c r="BP65" s="52">
        <f t="shared" si="32"/>
        <v>0</v>
      </c>
      <c r="BQ65" s="51" t="e">
        <f t="shared" si="33"/>
        <v>#DIV/0!</v>
      </c>
      <c r="BR65" s="52">
        <f>'FY 2013 by Agency'!BE65*Inflator!$E$14</f>
        <v>0</v>
      </c>
      <c r="BS65" s="52">
        <f t="shared" si="34"/>
        <v>0</v>
      </c>
      <c r="BT65" s="51" t="e">
        <f t="shared" si="35"/>
        <v>#DIV/0!</v>
      </c>
      <c r="BU65" s="52">
        <f>'FY 2013 by Agency'!BL65*Inflator!$E$14</f>
        <v>0</v>
      </c>
      <c r="BV65" s="52">
        <f t="shared" si="70"/>
        <v>0</v>
      </c>
      <c r="BW65" s="39"/>
      <c r="BX65" s="39">
        <f>'FY 2013 by Agency'!BV65*Inflator!E15</f>
        <v>0</v>
      </c>
      <c r="BY65" s="39">
        <f t="shared" si="37"/>
        <v>0</v>
      </c>
      <c r="BZ65" s="51" t="e">
        <f t="shared" si="38"/>
        <v>#DIV/0!</v>
      </c>
      <c r="CB65" s="39"/>
    </row>
    <row r="66" spans="1:80" ht="18" customHeight="1">
      <c r="A66" s="63" t="s">
        <v>107</v>
      </c>
      <c r="B66" s="326">
        <f>'FY 2013 by Agency'!B66*Inflator!$E$2</f>
        <v>6984.3261562998414</v>
      </c>
      <c r="C66" s="326">
        <f>'FY 2013 by Agency'!C66*Inflator!$E$3</f>
        <v>7828.0046367851628</v>
      </c>
      <c r="D66" s="326">
        <f t="shared" si="6"/>
        <v>843.67848048532142</v>
      </c>
      <c r="E66" s="355">
        <f t="shared" si="7"/>
        <v>0.12079597395724796</v>
      </c>
      <c r="F66" s="10">
        <f>'FY 2013 by Agency'!F66*Inflator!$E$4</f>
        <v>7925.2173582032738</v>
      </c>
      <c r="G66" s="10">
        <f t="shared" si="8"/>
        <v>97.212721418110959</v>
      </c>
      <c r="H66" s="14">
        <f t="shared" si="9"/>
        <v>1.2418582503297377E-2</v>
      </c>
      <c r="I66" s="10">
        <f>'FY 2013 by Agency'!I66*Inflator!$E$5</f>
        <v>8028.0751208627753</v>
      </c>
      <c r="J66" s="10">
        <f t="shared" si="10"/>
        <v>102.85776265950153</v>
      </c>
      <c r="K66" s="14">
        <f t="shared" si="11"/>
        <v>1.2978541535272215E-2</v>
      </c>
      <c r="L66" s="10">
        <f>'FY 2013 by Agency'!L66*Inflator!$E$6</f>
        <v>8001.5427117411837</v>
      </c>
      <c r="M66" s="10">
        <f t="shared" si="12"/>
        <v>-26.532409121591627</v>
      </c>
      <c r="N66" s="14">
        <f t="shared" si="13"/>
        <v>-3.3049527716352751E-3</v>
      </c>
      <c r="O66" s="10">
        <f>'FY 2013 by Agency'!O66*Inflator!$E$7</f>
        <v>7835.3741640267499</v>
      </c>
      <c r="P66" s="69">
        <f t="shared" si="63"/>
        <v>-166.16854771443377</v>
      </c>
      <c r="Q66" s="58">
        <f t="shared" si="45"/>
        <v>-2.0767063765166668E-2</v>
      </c>
      <c r="R66" s="52">
        <f>'FY 2013 by Agency'!R66*Inflator!$E$8</f>
        <v>11748.821452817379</v>
      </c>
      <c r="S66" s="69">
        <f t="shared" si="46"/>
        <v>3913.4472887906295</v>
      </c>
      <c r="T66" s="58">
        <f t="shared" si="47"/>
        <v>0.4994588907773912</v>
      </c>
      <c r="U66" s="52">
        <f>'FY 2013 by Agency'!U66*Inflator!$E$9</f>
        <v>8594.1458885941647</v>
      </c>
      <c r="V66" s="52">
        <f t="shared" si="64"/>
        <v>-3154.6755642232147</v>
      </c>
      <c r="W66" s="58">
        <f t="shared" si="65"/>
        <v>-0.26850995879818401</v>
      </c>
      <c r="X66" s="52">
        <f>'FY 2013 by Agency'!X66*Inflator!$E$10</f>
        <v>9245.4950778024777</v>
      </c>
      <c r="Y66" s="39">
        <f t="shared" si="48"/>
        <v>651.34918920831296</v>
      </c>
      <c r="Z66" s="58">
        <f t="shared" ref="Z66:Z71" si="71">Y66/U66</f>
        <v>7.5789868784140582E-2</v>
      </c>
      <c r="AA66" s="52">
        <f>'FY 2013 by Agency'!AA66*Inflator!$E$11</f>
        <v>10597.776361898696</v>
      </c>
      <c r="AB66" s="39">
        <f t="shared" si="50"/>
        <v>1352.2812840962179</v>
      </c>
      <c r="AC66" s="58">
        <f>AB66/X66</f>
        <v>0.14626380444925138</v>
      </c>
      <c r="AD66" s="52" t="e">
        <f>'FY 2013 by Agency'!AD66*Inflator!#REF!</f>
        <v>#REF!</v>
      </c>
      <c r="AE66" s="52">
        <f>'FY 2013 by Agency'!AE66*Inflator!$B$8</f>
        <v>0</v>
      </c>
      <c r="AF66" s="52">
        <f>'FY 2013 by Agency'!AF66*Inflator!$E$12</f>
        <v>10178.031954887219</v>
      </c>
      <c r="AG66" s="52">
        <f t="shared" si="52"/>
        <v>-419.74440701147614</v>
      </c>
      <c r="AH66" s="58">
        <f t="shared" si="53"/>
        <v>-3.9606837574016784E-2</v>
      </c>
      <c r="AI66" s="52">
        <f>'FY 2013 by Agency'!AI66*Inflator!$B$8</f>
        <v>0</v>
      </c>
      <c r="AJ66" s="52">
        <f>'FY 2013 by Agency'!AJ66*Inflator!$B$8</f>
        <v>0</v>
      </c>
      <c r="AK66" s="52">
        <f>'FY 2013 by Agency'!AK66</f>
        <v>0</v>
      </c>
      <c r="AL66" s="52">
        <f>'FY 2013 by Agency'!AL66</f>
        <v>0</v>
      </c>
      <c r="AM66" s="52">
        <f>'FY 2013 by Agency'!AM66</f>
        <v>0</v>
      </c>
      <c r="AN66" s="52">
        <f>'FY 2013 by Agency'!AN66</f>
        <v>0</v>
      </c>
      <c r="AO66" s="52">
        <f>'FY 2013 by Agency'!AO66</f>
        <v>9569</v>
      </c>
      <c r="AP66" s="52">
        <f>'FY 2013 by Agency'!AP66</f>
        <v>0</v>
      </c>
      <c r="AQ66" s="52">
        <f>'FY 2013 by Agency'!AQ66</f>
        <v>78</v>
      </c>
      <c r="AR66" s="52">
        <f>'FY 2013 by Agency'!AR66</f>
        <v>78</v>
      </c>
      <c r="AS66" s="52">
        <f>'FY 2013 by Agency'!AS66</f>
        <v>9316.9128099999998</v>
      </c>
      <c r="AT66" s="52" t="e">
        <f t="shared" si="54"/>
        <v>#REF!</v>
      </c>
      <c r="AU66" s="58" t="e">
        <f t="shared" si="55"/>
        <v>#REF!</v>
      </c>
      <c r="AV66" s="52">
        <f t="shared" si="56"/>
        <v>-861.11914488721959</v>
      </c>
      <c r="AW66" s="58">
        <f t="shared" si="57"/>
        <v>-8.4605663325092353E-2</v>
      </c>
      <c r="AX66" s="39">
        <v>9569</v>
      </c>
      <c r="AY66" s="39">
        <v>9569</v>
      </c>
      <c r="AZ66" s="39">
        <f t="shared" si="58"/>
        <v>0</v>
      </c>
      <c r="BA66" s="39">
        <f t="shared" si="59"/>
        <v>-861.11914488721959</v>
      </c>
      <c r="BB66" s="39">
        <f t="shared" si="60"/>
        <v>9316.9128099999998</v>
      </c>
      <c r="BC66" s="58">
        <f t="shared" si="61"/>
        <v>-8.460566332509234E-2</v>
      </c>
      <c r="BD66" s="292"/>
      <c r="BI66" s="219">
        <v>9453</v>
      </c>
      <c r="BJ66" s="39">
        <f t="shared" si="66"/>
        <v>-116</v>
      </c>
      <c r="BK66" s="65">
        <f t="shared" si="67"/>
        <v>9531</v>
      </c>
      <c r="BL66" s="576">
        <f>'FY 2013 by Agency'!AS66*Inflator!$E$13</f>
        <v>9660.9306464388173</v>
      </c>
      <c r="BM66" s="258">
        <f t="shared" si="68"/>
        <v>-517.10130844840205</v>
      </c>
      <c r="BN66" s="51">
        <f t="shared" si="69"/>
        <v>-5.0805628312073026E-2</v>
      </c>
      <c r="BO66" s="52">
        <f>'FY 2013 by Agency'!AX66*Inflator!$E$13</f>
        <v>9802.0427220018319</v>
      </c>
      <c r="BP66" s="52">
        <f t="shared" si="32"/>
        <v>-375.98923288538754</v>
      </c>
      <c r="BQ66" s="51">
        <f t="shared" si="33"/>
        <v>-3.6941250975818317E-2</v>
      </c>
      <c r="BR66" s="52">
        <f>'FY 2013 by Agency'!BE66*Inflator!$E$14</f>
        <v>10045.863839952226</v>
      </c>
      <c r="BS66" s="52">
        <f t="shared" si="34"/>
        <v>243.82111795039418</v>
      </c>
      <c r="BT66" s="51">
        <f t="shared" si="35"/>
        <v>2.4874521042752562E-2</v>
      </c>
      <c r="BU66" s="52">
        <f>'FY 2013 by Agency'!BL66*Inflator!$E$14</f>
        <v>10045.863839952226</v>
      </c>
      <c r="BV66" s="52">
        <f t="shared" si="70"/>
        <v>384.9331935134087</v>
      </c>
      <c r="BW66" s="495">
        <v>10360</v>
      </c>
      <c r="BX66" s="39">
        <f>'FY 2013 by Agency'!BV66*Inflator!E15</f>
        <v>12062</v>
      </c>
      <c r="BY66" s="39">
        <f t="shared" si="37"/>
        <v>314.13616004777396</v>
      </c>
      <c r="BZ66" s="51">
        <f t="shared" si="38"/>
        <v>3.127019886517473E-2</v>
      </c>
      <c r="CB66" s="39"/>
    </row>
    <row r="67" spans="1:80" ht="18" customHeight="1">
      <c r="A67" s="63" t="s">
        <v>109</v>
      </c>
      <c r="B67" s="326">
        <f>'FY 2013 by Agency'!B67*Inflator!$E$2</f>
        <v>3735.3612440191391</v>
      </c>
      <c r="C67" s="326">
        <f>'FY 2013 by Agency'!C67*Inflator!$E$3</f>
        <v>4007.2241112828442</v>
      </c>
      <c r="D67" s="326">
        <f t="shared" si="6"/>
        <v>271.86286726370508</v>
      </c>
      <c r="E67" s="355">
        <f t="shared" si="7"/>
        <v>7.2780877003261038E-2</v>
      </c>
      <c r="F67" s="10">
        <f>'FY 2013 by Agency'!F67*Inflator!$E$4</f>
        <v>4948.8953178530646</v>
      </c>
      <c r="G67" s="10">
        <f t="shared" si="8"/>
        <v>941.67120657022042</v>
      </c>
      <c r="H67" s="14">
        <f t="shared" si="9"/>
        <v>0.23499339702983582</v>
      </c>
      <c r="I67" s="10">
        <f>'FY 2013 by Agency'!I67*Inflator!$E$5</f>
        <v>4775.3968017850511</v>
      </c>
      <c r="J67" s="10">
        <f t="shared" si="10"/>
        <v>-173.49851606801349</v>
      </c>
      <c r="K67" s="14">
        <f t="shared" si="11"/>
        <v>-3.5058029100377253E-2</v>
      </c>
      <c r="L67" s="10">
        <f>'FY 2013 by Agency'!L67*Inflator!$E$6</f>
        <v>5177.9047619047615</v>
      </c>
      <c r="M67" s="10">
        <f t="shared" si="12"/>
        <v>402.50796011971033</v>
      </c>
      <c r="N67" s="14">
        <f t="shared" si="13"/>
        <v>8.4287856449803758E-2</v>
      </c>
      <c r="O67" s="10">
        <f>'FY 2013 by Agency'!O67*Inflator!$E$7</f>
        <v>4580.9010911650821</v>
      </c>
      <c r="P67" s="69">
        <f t="shared" si="63"/>
        <v>-597.00367073967936</v>
      </c>
      <c r="Q67" s="58">
        <f t="shared" si="45"/>
        <v>-0.11529831045406551</v>
      </c>
      <c r="R67" s="52">
        <f>'FY 2013 by Agency'!R67*Inflator!$E$8</f>
        <v>4889.3828920570259</v>
      </c>
      <c r="S67" s="69">
        <f t="shared" si="46"/>
        <v>308.48180089194375</v>
      </c>
      <c r="T67" s="58">
        <f t="shared" si="47"/>
        <v>6.7340856035266655E-2</v>
      </c>
      <c r="U67" s="52">
        <f>'FY 2013 by Agency'!U67*Inflator!$E$9</f>
        <v>4939.2679045092837</v>
      </c>
      <c r="V67" s="52">
        <f t="shared" si="64"/>
        <v>49.885012452257797</v>
      </c>
      <c r="W67" s="58">
        <f t="shared" si="65"/>
        <v>1.0202721601799226E-2</v>
      </c>
      <c r="X67" s="52">
        <f>'FY 2013 by Agency'!X67*Inflator!$E$10</f>
        <v>5249.6887900920938</v>
      </c>
      <c r="Y67" s="39">
        <f t="shared" si="48"/>
        <v>310.42088558281012</v>
      </c>
      <c r="Z67" s="58">
        <f t="shared" si="71"/>
        <v>6.2847549795671684E-2</v>
      </c>
      <c r="AA67" s="52">
        <f>'FY 2013 by Agency'!AA67*Inflator!$E$11</f>
        <v>5439.6145269194021</v>
      </c>
      <c r="AB67" s="39">
        <f t="shared" si="50"/>
        <v>189.92573682730836</v>
      </c>
      <c r="AC67" s="58">
        <f>AB67/X67</f>
        <v>3.6178475414725783E-2</v>
      </c>
      <c r="AD67" s="52" t="e">
        <f>'FY 2013 by Agency'!AD67*Inflator!#REF!</f>
        <v>#REF!</v>
      </c>
      <c r="AE67" s="52">
        <f>'FY 2013 by Agency'!AE67*Inflator!$B$8</f>
        <v>0</v>
      </c>
      <c r="AF67" s="52">
        <f>'FY 2013 by Agency'!AF67*Inflator!$E$12</f>
        <v>5027.8051378446125</v>
      </c>
      <c r="AG67" s="52">
        <f t="shared" si="52"/>
        <v>-411.80938907478958</v>
      </c>
      <c r="AH67" s="58">
        <f t="shared" si="53"/>
        <v>-7.5705619770820076E-2</v>
      </c>
      <c r="AI67" s="52">
        <f>'FY 2013 by Agency'!AI67*Inflator!$B$8</f>
        <v>0</v>
      </c>
      <c r="AJ67" s="52">
        <f>'FY 2013 by Agency'!AJ67*Inflator!$B$8</f>
        <v>0</v>
      </c>
      <c r="AK67" s="52">
        <f>'FY 2013 by Agency'!AK67</f>
        <v>0</v>
      </c>
      <c r="AL67" s="52">
        <f>'FY 2013 by Agency'!AL67</f>
        <v>0</v>
      </c>
      <c r="AM67" s="52">
        <f>'FY 2013 by Agency'!AM67</f>
        <v>0</v>
      </c>
      <c r="AN67" s="52">
        <f>'FY 2013 by Agency'!AN67</f>
        <v>0</v>
      </c>
      <c r="AO67" s="52">
        <f>'FY 2013 by Agency'!AO67</f>
        <v>5229</v>
      </c>
      <c r="AP67" s="52">
        <f>'FY 2013 by Agency'!AP67</f>
        <v>0</v>
      </c>
      <c r="AQ67" s="52">
        <f>'FY 2013 by Agency'!AQ67</f>
        <v>14</v>
      </c>
      <c r="AR67" s="52">
        <f>'FY 2013 by Agency'!AR67</f>
        <v>14</v>
      </c>
      <c r="AS67" s="52">
        <f>'FY 2013 by Agency'!AS67</f>
        <v>4974.1370699999998</v>
      </c>
      <c r="AT67" s="52" t="e">
        <f t="shared" si="54"/>
        <v>#REF!</v>
      </c>
      <c r="AU67" s="58" t="e">
        <f t="shared" si="55"/>
        <v>#REF!</v>
      </c>
      <c r="AV67" s="52">
        <f t="shared" si="56"/>
        <v>-53.668067844612779</v>
      </c>
      <c r="AW67" s="58">
        <f t="shared" si="57"/>
        <v>-1.0674253749543668E-2</v>
      </c>
      <c r="AX67" s="39">
        <v>5229</v>
      </c>
      <c r="AY67" s="39">
        <v>5229</v>
      </c>
      <c r="AZ67" s="39">
        <f t="shared" si="58"/>
        <v>0</v>
      </c>
      <c r="BA67" s="39">
        <f t="shared" si="59"/>
        <v>-53.668067844612779</v>
      </c>
      <c r="BB67" s="39">
        <f t="shared" si="60"/>
        <v>4974.1370699999998</v>
      </c>
      <c r="BC67" s="58">
        <f t="shared" si="61"/>
        <v>-1.0674253749543672E-2</v>
      </c>
      <c r="BD67" s="292"/>
      <c r="BI67" s="219">
        <v>5170</v>
      </c>
      <c r="BJ67" s="39">
        <f t="shared" si="66"/>
        <v>-59</v>
      </c>
      <c r="BK67" s="65">
        <f t="shared" si="67"/>
        <v>5184</v>
      </c>
      <c r="BL67" s="576">
        <f>'FY 2013 by Agency'!AS67*Inflator!$E$13</f>
        <v>5157.8021861031439</v>
      </c>
      <c r="BM67" s="258">
        <f t="shared" si="68"/>
        <v>129.99704825853132</v>
      </c>
      <c r="BN67" s="51">
        <f t="shared" si="69"/>
        <v>2.585562580379959E-2</v>
      </c>
      <c r="BO67" s="52">
        <f>'FY 2013 by Agency'!AX67*Inflator!$E$13</f>
        <v>5360.8971620384509</v>
      </c>
      <c r="BP67" s="52">
        <f t="shared" si="32"/>
        <v>333.09202419383837</v>
      </c>
      <c r="BQ67" s="51">
        <f t="shared" si="33"/>
        <v>6.6249986835534513E-2</v>
      </c>
      <c r="BR67" s="52">
        <f>'FY 2013 by Agency'!BE67*Inflator!$E$14</f>
        <v>5526.6963272618696</v>
      </c>
      <c r="BS67" s="52">
        <f t="shared" si="34"/>
        <v>165.79916522341864</v>
      </c>
      <c r="BT67" s="51">
        <f t="shared" si="35"/>
        <v>3.092750340325022E-2</v>
      </c>
      <c r="BU67" s="52">
        <f>'FY 2013 by Agency'!BL67*Inflator!$E$14</f>
        <v>5526.6963272618696</v>
      </c>
      <c r="BV67" s="52">
        <f t="shared" si="70"/>
        <v>368.89414115872569</v>
      </c>
      <c r="BW67" s="39">
        <v>6116</v>
      </c>
      <c r="BX67" s="39">
        <f>'FY 2013 by Agency'!BV67*Inflator!E15</f>
        <v>7154</v>
      </c>
      <c r="BY67" s="39">
        <f t="shared" si="37"/>
        <v>589.30367273813044</v>
      </c>
      <c r="BZ67" s="51">
        <f t="shared" si="38"/>
        <v>0.10662856032658001</v>
      </c>
      <c r="CB67" s="39"/>
    </row>
    <row r="68" spans="1:80" ht="18" customHeight="1">
      <c r="A68" s="63" t="s">
        <v>110</v>
      </c>
      <c r="B68" s="326">
        <f>'FY 2013 by Agency'!B68*Inflator!$E$2</f>
        <v>8706.3588516746422</v>
      </c>
      <c r="C68" s="326">
        <f>'FY 2013 by Agency'!C68*Inflator!$E$3</f>
        <v>9871.0061823802171</v>
      </c>
      <c r="D68" s="326">
        <f t="shared" si="6"/>
        <v>1164.6473307055749</v>
      </c>
      <c r="E68" s="355">
        <f t="shared" si="7"/>
        <v>0.13376973664272504</v>
      </c>
      <c r="F68" s="10">
        <f>'FY 2013 by Agency'!F68*Inflator!$E$4</f>
        <v>10795.47316330415</v>
      </c>
      <c r="G68" s="10">
        <f t="shared" si="8"/>
        <v>924.46698092393308</v>
      </c>
      <c r="H68" s="14">
        <f t="shared" si="9"/>
        <v>9.3654786943007912E-2</v>
      </c>
      <c r="I68" s="10">
        <f>'FY 2013 by Agency'!I68*Inflator!$E$5</f>
        <v>11814.020825585721</v>
      </c>
      <c r="J68" s="10">
        <f t="shared" si="10"/>
        <v>1018.5476622815713</v>
      </c>
      <c r="K68" s="14">
        <f t="shared" si="11"/>
        <v>9.4349515475042542E-2</v>
      </c>
      <c r="L68" s="10">
        <f>'FY 2013 by Agency'!L68*Inflator!$E$6</f>
        <v>14066.311886586695</v>
      </c>
      <c r="M68" s="10">
        <f t="shared" si="12"/>
        <v>2252.2910610009731</v>
      </c>
      <c r="N68" s="14">
        <f t="shared" si="13"/>
        <v>0.19064559765487868</v>
      </c>
      <c r="O68" s="10">
        <f>'FY 2013 by Agency'!O68*Inflator!$E$7</f>
        <v>14072.815205913408</v>
      </c>
      <c r="P68" s="69">
        <f t="shared" si="63"/>
        <v>6.5033193267136085</v>
      </c>
      <c r="Q68" s="58">
        <f t="shared" si="45"/>
        <v>4.6233293980314923E-4</v>
      </c>
      <c r="R68" s="52">
        <f>'FY 2013 by Agency'!R68*Inflator!$E$8</f>
        <v>15175.657162253903</v>
      </c>
      <c r="S68" s="69">
        <f t="shared" si="46"/>
        <v>1102.841956340495</v>
      </c>
      <c r="T68" s="58">
        <f t="shared" si="47"/>
        <v>7.8366832805214406E-2</v>
      </c>
      <c r="U68" s="52">
        <f>'FY 2013 by Agency'!U68*Inflator!$E$9</f>
        <v>15740.53647214854</v>
      </c>
      <c r="V68" s="52">
        <f t="shared" si="64"/>
        <v>564.87930989463712</v>
      </c>
      <c r="W68" s="58">
        <f t="shared" si="65"/>
        <v>3.7222724779237215E-2</v>
      </c>
      <c r="X68" s="52">
        <f>'FY 2013 by Agency'!X68*Inflator!$E$10</f>
        <v>15809.494442680218</v>
      </c>
      <c r="Y68" s="39">
        <f t="shared" si="48"/>
        <v>68.957970531677347</v>
      </c>
      <c r="Z68" s="58">
        <f t="shared" si="71"/>
        <v>4.3809161557925459E-3</v>
      </c>
      <c r="AA68" s="52">
        <f>'FY 2013 by Agency'!AA68*Inflator!$E$11</f>
        <v>17665.486460656262</v>
      </c>
      <c r="AB68" s="39">
        <f t="shared" si="50"/>
        <v>1855.9920179760447</v>
      </c>
      <c r="AC68" s="58">
        <f>AB68/X68</f>
        <v>0.11739730354472958</v>
      </c>
      <c r="AD68" s="52" t="e">
        <f>'FY 2013 by Agency'!AD68*Inflator!#REF!</f>
        <v>#REF!</v>
      </c>
      <c r="AE68" s="52">
        <f>'FY 2013 by Agency'!AE68*Inflator!$B$8</f>
        <v>0</v>
      </c>
      <c r="AF68" s="52">
        <f>'FY 2013 by Agency'!AF68*Inflator!$E$12</f>
        <v>15918.011904761906</v>
      </c>
      <c r="AG68" s="52">
        <f t="shared" si="52"/>
        <v>-1747.4745558943559</v>
      </c>
      <c r="AH68" s="58">
        <f t="shared" si="53"/>
        <v>-9.8920262387693025E-2</v>
      </c>
      <c r="AI68" s="52">
        <f>'FY 2013 by Agency'!AI68*Inflator!$B$8</f>
        <v>0</v>
      </c>
      <c r="AJ68" s="52">
        <f>'FY 2013 by Agency'!AJ68*Inflator!$B$8</f>
        <v>0</v>
      </c>
      <c r="AK68" s="52">
        <f>'FY 2013 by Agency'!AK68</f>
        <v>0</v>
      </c>
      <c r="AL68" s="52">
        <f>'FY 2013 by Agency'!AL68</f>
        <v>0</v>
      </c>
      <c r="AM68" s="52">
        <f>'FY 2013 by Agency'!AM68</f>
        <v>0</v>
      </c>
      <c r="AN68" s="52">
        <f>'FY 2013 by Agency'!AN68</f>
        <v>0</v>
      </c>
      <c r="AO68" s="52">
        <f>'FY 2013 by Agency'!AO68</f>
        <v>16674</v>
      </c>
      <c r="AP68" s="52">
        <f>'FY 2013 by Agency'!AP68</f>
        <v>0</v>
      </c>
      <c r="AQ68" s="52">
        <f>'FY 2013 by Agency'!AQ68</f>
        <v>119</v>
      </c>
      <c r="AR68" s="52">
        <f>'FY 2013 by Agency'!AR68</f>
        <v>119</v>
      </c>
      <c r="AS68" s="52">
        <f>'FY 2013 by Agency'!AS68</f>
        <v>13872.063039999999</v>
      </c>
      <c r="AT68" s="52" t="e">
        <f t="shared" si="54"/>
        <v>#REF!</v>
      </c>
      <c r="AU68" s="58" t="e">
        <f t="shared" si="55"/>
        <v>#REF!</v>
      </c>
      <c r="AV68" s="52">
        <f t="shared" si="56"/>
        <v>-2045.9488647619073</v>
      </c>
      <c r="AW68" s="58">
        <f t="shared" si="57"/>
        <v>-0.12853042685248009</v>
      </c>
      <c r="AX68" s="39">
        <v>16674</v>
      </c>
      <c r="AY68" s="39">
        <v>16674</v>
      </c>
      <c r="AZ68" s="39">
        <f t="shared" si="58"/>
        <v>0</v>
      </c>
      <c r="BA68" s="39">
        <f t="shared" si="59"/>
        <v>-2045.9488647619073</v>
      </c>
      <c r="BB68" s="39">
        <f t="shared" si="60"/>
        <v>13872.063039999999</v>
      </c>
      <c r="BC68" s="58">
        <f t="shared" si="61"/>
        <v>-0.12853042685248006</v>
      </c>
      <c r="BD68" s="292"/>
      <c r="BI68" s="219">
        <v>15088</v>
      </c>
      <c r="BJ68" s="39">
        <f t="shared" si="66"/>
        <v>-1586</v>
      </c>
      <c r="BK68" s="65">
        <f t="shared" si="67"/>
        <v>15207</v>
      </c>
      <c r="BL68" s="576">
        <f>'FY 2013 by Agency'!AS68*Inflator!$E$13</f>
        <v>14384.275315813245</v>
      </c>
      <c r="BM68" s="258">
        <f t="shared" si="68"/>
        <v>-1533.7365889486609</v>
      </c>
      <c r="BN68" s="51">
        <f t="shared" si="69"/>
        <v>-9.6352270504951723E-2</v>
      </c>
      <c r="BO68" s="52">
        <f>'FY 2013 by Agency'!AX68*Inflator!$E$13</f>
        <v>15645.109551418984</v>
      </c>
      <c r="BP68" s="52">
        <f t="shared" si="32"/>
        <v>-272.90235334292265</v>
      </c>
      <c r="BQ68" s="51">
        <f t="shared" si="33"/>
        <v>-1.7144248601879946E-2</v>
      </c>
      <c r="BR68" s="52">
        <f>'FY 2013 by Agency'!BE68*Inflator!$E$14</f>
        <v>17291.345476261573</v>
      </c>
      <c r="BS68" s="52">
        <f t="shared" si="34"/>
        <v>1646.2359248425892</v>
      </c>
      <c r="BT68" s="51">
        <f t="shared" si="35"/>
        <v>0.10522367513196981</v>
      </c>
      <c r="BU68" s="52">
        <f>'FY 2013 by Agency'!BL68*Inflator!$E$14</f>
        <v>17291.345476261573</v>
      </c>
      <c r="BV68" s="52">
        <f t="shared" si="70"/>
        <v>2907.0701604483274</v>
      </c>
      <c r="BW68" s="39">
        <v>17868</v>
      </c>
      <c r="BX68" s="39">
        <f>'FY 2013 by Agency'!BV68*Inflator!E15</f>
        <v>19769</v>
      </c>
      <c r="BY68" s="39">
        <f t="shared" si="37"/>
        <v>576.65452373842709</v>
      </c>
      <c r="BZ68" s="51">
        <f t="shared" si="38"/>
        <v>3.3349314807808762E-2</v>
      </c>
      <c r="CB68" s="39"/>
    </row>
    <row r="69" spans="1:80" ht="18" customHeight="1">
      <c r="A69" s="63" t="s">
        <v>111</v>
      </c>
      <c r="B69" s="326">
        <f>'FY 2013 by Agency'!B69*Inflator!$E$2</f>
        <v>4498.149920255184</v>
      </c>
      <c r="C69" s="326">
        <f>'FY 2013 by Agency'!C69*Inflator!$E$3</f>
        <v>10092.900309119012</v>
      </c>
      <c r="D69" s="326">
        <f t="shared" si="6"/>
        <v>5594.7503888638275</v>
      </c>
      <c r="E69" s="355">
        <f t="shared" si="7"/>
        <v>1.2437892218022009</v>
      </c>
      <c r="F69" s="10">
        <f>'FY 2013 by Agency'!F69*Inflator!$E$4</f>
        <v>4135.2896840502472</v>
      </c>
      <c r="G69" s="10">
        <f t="shared" si="8"/>
        <v>-5957.6106250687644</v>
      </c>
      <c r="H69" s="14">
        <f t="shared" si="9"/>
        <v>-0.59027736751605664</v>
      </c>
      <c r="I69" s="10">
        <f>'FY 2013 by Agency'!I69*Inflator!$E$5</f>
        <v>6766.9356638155459</v>
      </c>
      <c r="J69" s="10">
        <f t="shared" si="10"/>
        <v>2631.6459797652988</v>
      </c>
      <c r="K69" s="14">
        <f t="shared" si="11"/>
        <v>0.63638733458396379</v>
      </c>
      <c r="L69" s="10">
        <f>'FY 2013 by Agency'!L69*Inflator!$E$6</f>
        <v>5539.8146128680473</v>
      </c>
      <c r="M69" s="10">
        <f t="shared" si="12"/>
        <v>-1227.1210509474986</v>
      </c>
      <c r="N69" s="14">
        <f t="shared" si="13"/>
        <v>-0.18134072967609458</v>
      </c>
      <c r="O69" s="10">
        <f>'FY 2013 by Agency'!O69*Inflator!$E$7</f>
        <v>5842.7419922562467</v>
      </c>
      <c r="P69" s="69">
        <f t="shared" si="63"/>
        <v>302.92737938819937</v>
      </c>
      <c r="Q69" s="58">
        <f t="shared" si="45"/>
        <v>5.4681862220542644E-2</v>
      </c>
      <c r="R69" s="52">
        <f>'FY 2013 by Agency'!R69*Inflator!$E$8</f>
        <v>6211.2118126272908</v>
      </c>
      <c r="S69" s="69">
        <f t="shared" si="46"/>
        <v>368.46982037104408</v>
      </c>
      <c r="T69" s="58">
        <f t="shared" si="47"/>
        <v>6.306453731131724E-2</v>
      </c>
      <c r="U69" s="52">
        <f>'FY 2013 by Agency'!U69*Inflator!$E$9</f>
        <v>7396.5086206896549</v>
      </c>
      <c r="V69" s="52">
        <f t="shared" si="64"/>
        <v>1185.2968080623641</v>
      </c>
      <c r="W69" s="58">
        <f t="shared" si="65"/>
        <v>0.19083181250600331</v>
      </c>
      <c r="X69" s="52">
        <f>'FY 2013 by Agency'!X69*Inflator!$E$10</f>
        <v>7490.9228326452849</v>
      </c>
      <c r="Y69" s="39">
        <f t="shared" si="48"/>
        <v>94.41421195562998</v>
      </c>
      <c r="Z69" s="58">
        <f t="shared" si="71"/>
        <v>1.2764699778965003E-2</v>
      </c>
      <c r="AA69" s="52">
        <f>'FY 2013 by Agency'!AA69*Inflator!$E$11</f>
        <v>7673.915896782416</v>
      </c>
      <c r="AB69" s="39">
        <f t="shared" si="50"/>
        <v>182.99306413713111</v>
      </c>
      <c r="AC69" s="58">
        <f>AB69/X69</f>
        <v>2.4428640933217356E-2</v>
      </c>
      <c r="AD69" s="52" t="e">
        <f>'FY 2013 by Agency'!AD69*Inflator!#REF!</f>
        <v>#REF!</v>
      </c>
      <c r="AE69" s="52">
        <f>'FY 2013 by Agency'!AE69*Inflator!$B$8</f>
        <v>0</v>
      </c>
      <c r="AF69" s="52">
        <f>'FY 2013 by Agency'!AF69*Inflator!$E$12</f>
        <v>7116.4254385964923</v>
      </c>
      <c r="AG69" s="52">
        <f t="shared" si="52"/>
        <v>-557.49045818592367</v>
      </c>
      <c r="AH69" s="58">
        <f t="shared" si="53"/>
        <v>-7.2647454791584687E-2</v>
      </c>
      <c r="AI69" s="52">
        <f>'FY 2013 by Agency'!AI69*Inflator!$B$8</f>
        <v>0</v>
      </c>
      <c r="AJ69" s="52">
        <f>'FY 2013 by Agency'!AJ69*Inflator!$B$8</f>
        <v>0</v>
      </c>
      <c r="AK69" s="52">
        <f>'FY 2013 by Agency'!AK69</f>
        <v>0</v>
      </c>
      <c r="AL69" s="52">
        <f>'FY 2013 by Agency'!AL69</f>
        <v>0</v>
      </c>
      <c r="AM69" s="52">
        <f>'FY 2013 by Agency'!AM69</f>
        <v>0</v>
      </c>
      <c r="AN69" s="52">
        <f>'FY 2013 by Agency'!AN69</f>
        <v>0</v>
      </c>
      <c r="AO69" s="52">
        <f>'FY 2013 by Agency'!AO69</f>
        <v>7631</v>
      </c>
      <c r="AP69" s="52">
        <f>'FY 2013 by Agency'!AP69</f>
        <v>0</v>
      </c>
      <c r="AQ69" s="52">
        <f>'FY 2013 by Agency'!AQ69</f>
        <v>0</v>
      </c>
      <c r="AR69" s="52">
        <f>'FY 2013 by Agency'!AR69</f>
        <v>0</v>
      </c>
      <c r="AS69" s="52">
        <f>'FY 2013 by Agency'!AS69</f>
        <v>6956.5019300000004</v>
      </c>
      <c r="AT69" s="52" t="e">
        <f t="shared" si="54"/>
        <v>#REF!</v>
      </c>
      <c r="AU69" s="58" t="e">
        <f t="shared" si="55"/>
        <v>#REF!</v>
      </c>
      <c r="AV69" s="52">
        <f t="shared" si="56"/>
        <v>-159.92350859649196</v>
      </c>
      <c r="AW69" s="58">
        <f t="shared" si="57"/>
        <v>-2.247244912159611E-2</v>
      </c>
      <c r="AX69" s="39">
        <v>7631</v>
      </c>
      <c r="AY69" s="39">
        <v>7631</v>
      </c>
      <c r="AZ69" s="39">
        <f t="shared" si="58"/>
        <v>0</v>
      </c>
      <c r="BA69" s="39">
        <f t="shared" si="59"/>
        <v>-159.92350859649196</v>
      </c>
      <c r="BB69" s="39">
        <f t="shared" si="60"/>
        <v>6956.5019300000004</v>
      </c>
      <c r="BC69" s="58">
        <f t="shared" si="61"/>
        <v>-2.2472449121596072E-2</v>
      </c>
      <c r="BD69" s="292"/>
      <c r="BH69" s="50">
        <v>288</v>
      </c>
      <c r="BI69" s="219">
        <v>7295</v>
      </c>
      <c r="BJ69" s="39">
        <f t="shared" si="66"/>
        <v>-336</v>
      </c>
      <c r="BK69" s="65">
        <f t="shared" si="67"/>
        <v>7295</v>
      </c>
      <c r="BL69" s="576">
        <f>'FY 2013 by Agency'!AS69*Inflator!$E$13</f>
        <v>7213.3639176502911</v>
      </c>
      <c r="BM69" s="258">
        <f t="shared" si="68"/>
        <v>96.938479053798801</v>
      </c>
      <c r="BN69" s="51">
        <f t="shared" si="69"/>
        <v>1.3621793678613612E-2</v>
      </c>
      <c r="BO69" s="52">
        <f>'FY 2013 by Agency'!AX69*Inflator!$E$13</f>
        <v>7564.360695758317</v>
      </c>
      <c r="BP69" s="52">
        <f t="shared" si="32"/>
        <v>447.93525716182467</v>
      </c>
      <c r="BQ69" s="51">
        <f t="shared" si="33"/>
        <v>6.2943855876352275E-2</v>
      </c>
      <c r="BR69" s="52">
        <f>'FY 2013 by Agency'!BE69*Inflator!$E$14</f>
        <v>8649.7312630636025</v>
      </c>
      <c r="BS69" s="52">
        <f t="shared" si="34"/>
        <v>1085.3705673052855</v>
      </c>
      <c r="BT69" s="51">
        <f t="shared" si="35"/>
        <v>0.14348477167593321</v>
      </c>
      <c r="BU69" s="52">
        <f>'FY 2013 by Agency'!BL69*Inflator!$E$14</f>
        <v>8649.7312630636025</v>
      </c>
      <c r="BV69" s="52">
        <f t="shared" si="70"/>
        <v>1436.3673454133113</v>
      </c>
      <c r="BW69" s="39">
        <v>8592</v>
      </c>
      <c r="BX69" s="39">
        <f>'FY 2013 by Agency'!BV69*Inflator!E15</f>
        <v>8788</v>
      </c>
      <c r="BY69" s="39">
        <f t="shared" si="37"/>
        <v>-57.731263063602455</v>
      </c>
      <c r="BZ69" s="51">
        <f t="shared" si="38"/>
        <v>-6.6743418156964707E-3</v>
      </c>
      <c r="CB69" s="39"/>
    </row>
    <row r="70" spans="1:80" ht="18" customHeight="1">
      <c r="A70" s="63" t="s">
        <v>101</v>
      </c>
      <c r="B70" s="328" t="s">
        <v>78</v>
      </c>
      <c r="C70" s="328" t="s">
        <v>78</v>
      </c>
      <c r="D70" s="328" t="s">
        <v>78</v>
      </c>
      <c r="E70" s="328" t="s">
        <v>78</v>
      </c>
      <c r="F70" s="328" t="s">
        <v>78</v>
      </c>
      <c r="G70" s="328" t="s">
        <v>78</v>
      </c>
      <c r="H70" s="328" t="s">
        <v>78</v>
      </c>
      <c r="I70" s="328" t="s">
        <v>78</v>
      </c>
      <c r="J70" s="328" t="s">
        <v>78</v>
      </c>
      <c r="K70" s="328" t="s">
        <v>78</v>
      </c>
      <c r="L70" s="10" t="e">
        <f>'FY 2013 by Agency'!L70*Inflator!$E$6</f>
        <v>#VALUE!</v>
      </c>
      <c r="M70" s="328" t="s">
        <v>78</v>
      </c>
      <c r="N70" s="328" t="s">
        <v>78</v>
      </c>
      <c r="O70" s="10" t="e">
        <f>'FY 2013 by Agency'!O70*Inflator!$E$7</f>
        <v>#VALUE!</v>
      </c>
      <c r="P70" s="69" t="e">
        <f t="shared" si="63"/>
        <v>#VALUE!</v>
      </c>
      <c r="Q70" s="70" t="s">
        <v>78</v>
      </c>
      <c r="R70" s="52" t="e">
        <f>'FY 2013 by Agency'!R70*Inflator!$E$8</f>
        <v>#VALUE!</v>
      </c>
      <c r="S70" s="69" t="e">
        <f t="shared" si="46"/>
        <v>#VALUE!</v>
      </c>
      <c r="T70" s="70" t="s">
        <v>78</v>
      </c>
      <c r="U70" s="52" t="e">
        <f>'FY 2013 by Agency'!U70*Inflator!$E$9</f>
        <v>#VALUE!</v>
      </c>
      <c r="V70" s="69" t="e">
        <f t="shared" si="64"/>
        <v>#VALUE!</v>
      </c>
      <c r="W70" s="72" t="e">
        <f t="shared" si="65"/>
        <v>#VALUE!</v>
      </c>
      <c r="X70" s="52" t="e">
        <f>'FY 2013 by Agency'!X70*Inflator!$E$10</f>
        <v>#VALUE!</v>
      </c>
      <c r="Y70" s="39" t="e">
        <f t="shared" si="48"/>
        <v>#VALUE!</v>
      </c>
      <c r="Z70" s="58" t="e">
        <f t="shared" si="71"/>
        <v>#VALUE!</v>
      </c>
      <c r="AA70" s="52" t="e">
        <f>'FY 2013 by Agency'!AA70*Inflator!$E$11</f>
        <v>#VALUE!</v>
      </c>
      <c r="AB70" s="39" t="e">
        <f t="shared" si="50"/>
        <v>#VALUE!</v>
      </c>
      <c r="AC70" s="58"/>
      <c r="AD70" s="52" t="e">
        <f>'FY 2013 by Agency'!AD70*Inflator!#REF!</f>
        <v>#REF!</v>
      </c>
      <c r="AE70" s="52">
        <f>'FY 2013 by Agency'!AE70*Inflator!$B$8</f>
        <v>0</v>
      </c>
      <c r="AF70" s="52">
        <f>'FY 2013 by Agency'!AF70*Inflator!$E$12</f>
        <v>0</v>
      </c>
      <c r="AG70" s="52" t="e">
        <f t="shared" si="52"/>
        <v>#VALUE!</v>
      </c>
      <c r="AH70" s="58" t="e">
        <f t="shared" si="53"/>
        <v>#VALUE!</v>
      </c>
      <c r="AI70" s="52">
        <f>'FY 2013 by Agency'!AI70*Inflator!$B$8</f>
        <v>0</v>
      </c>
      <c r="AJ70" s="52">
        <f>'FY 2013 by Agency'!AJ70*Inflator!$B$8</f>
        <v>0</v>
      </c>
      <c r="AK70" s="52">
        <f>'FY 2013 by Agency'!AK70</f>
        <v>0</v>
      </c>
      <c r="AL70" s="52">
        <f>'FY 2013 by Agency'!AL70</f>
        <v>0</v>
      </c>
      <c r="AM70" s="52">
        <f>'FY 2013 by Agency'!AM70</f>
        <v>0</v>
      </c>
      <c r="AN70" s="52">
        <f>'FY 2013 by Agency'!AN70</f>
        <v>0</v>
      </c>
      <c r="AO70" s="52">
        <f>'FY 2013 by Agency'!AO70</f>
        <v>0</v>
      </c>
      <c r="AP70" s="52">
        <f>'FY 2013 by Agency'!AP70</f>
        <v>0</v>
      </c>
      <c r="AQ70" s="52">
        <f>'FY 2013 by Agency'!AQ70</f>
        <v>0</v>
      </c>
      <c r="AR70" s="52">
        <f>'FY 2013 by Agency'!AR70</f>
        <v>0</v>
      </c>
      <c r="AS70" s="52">
        <f>'FY 2013 by Agency'!AS70</f>
        <v>0</v>
      </c>
      <c r="AT70" s="52" t="e">
        <f t="shared" si="54"/>
        <v>#REF!</v>
      </c>
      <c r="AU70" s="58" t="e">
        <f t="shared" si="55"/>
        <v>#REF!</v>
      </c>
      <c r="AV70" s="52">
        <f t="shared" si="56"/>
        <v>0</v>
      </c>
      <c r="AW70" s="58" t="e">
        <f t="shared" si="57"/>
        <v>#DIV/0!</v>
      </c>
      <c r="AX70" s="39"/>
      <c r="AY70" s="39"/>
      <c r="AZ70" s="39">
        <f t="shared" si="58"/>
        <v>0</v>
      </c>
      <c r="BA70" s="39">
        <f t="shared" si="59"/>
        <v>0</v>
      </c>
      <c r="BB70" s="39">
        <f t="shared" si="60"/>
        <v>0</v>
      </c>
      <c r="BC70" s="58" t="e">
        <f t="shared" si="61"/>
        <v>#DIV/0!</v>
      </c>
      <c r="BD70" s="292"/>
      <c r="BI70" s="65"/>
      <c r="BJ70" s="39">
        <f t="shared" si="66"/>
        <v>0</v>
      </c>
      <c r="BK70" s="65">
        <f t="shared" si="67"/>
        <v>0</v>
      </c>
      <c r="BL70" s="576">
        <f>'FY 2013 by Agency'!AS70*Inflator!$E$13</f>
        <v>0</v>
      </c>
      <c r="BM70" s="258">
        <f t="shared" si="68"/>
        <v>0</v>
      </c>
      <c r="BN70" s="51" t="e">
        <f t="shared" si="69"/>
        <v>#DIV/0!</v>
      </c>
      <c r="BO70" s="52">
        <f>'FY 2013 by Agency'!AX70*Inflator!$E$13</f>
        <v>0</v>
      </c>
      <c r="BP70" s="52">
        <f t="shared" si="32"/>
        <v>0</v>
      </c>
      <c r="BQ70" s="51" t="e">
        <f t="shared" si="33"/>
        <v>#DIV/0!</v>
      </c>
      <c r="BR70" s="52">
        <f>'FY 2013 by Agency'!BE70*Inflator!$E$14</f>
        <v>0</v>
      </c>
      <c r="BS70" s="52">
        <f t="shared" si="34"/>
        <v>0</v>
      </c>
      <c r="BT70" s="51" t="e">
        <f t="shared" si="35"/>
        <v>#DIV/0!</v>
      </c>
      <c r="BU70" s="52">
        <f>'FY 2013 by Agency'!BL70*Inflator!$E$14</f>
        <v>0</v>
      </c>
      <c r="BV70" s="52">
        <f t="shared" si="70"/>
        <v>0</v>
      </c>
      <c r="BW70" s="39"/>
      <c r="BX70" s="39">
        <f>'FY 2013 by Agency'!BV70*Inflator!E15</f>
        <v>0</v>
      </c>
      <c r="BY70" s="39">
        <f t="shared" si="37"/>
        <v>0</v>
      </c>
      <c r="BZ70" s="51" t="e">
        <f t="shared" si="38"/>
        <v>#DIV/0!</v>
      </c>
      <c r="CB70" s="39"/>
    </row>
    <row r="71" spans="1:80" ht="18" customHeight="1">
      <c r="A71" s="63" t="s">
        <v>168</v>
      </c>
      <c r="B71" s="328" t="s">
        <v>78</v>
      </c>
      <c r="C71" s="328" t="s">
        <v>78</v>
      </c>
      <c r="D71" s="328" t="s">
        <v>78</v>
      </c>
      <c r="E71" s="328" t="s">
        <v>78</v>
      </c>
      <c r="F71" s="328" t="s">
        <v>78</v>
      </c>
      <c r="G71" s="328" t="s">
        <v>78</v>
      </c>
      <c r="H71" s="328" t="s">
        <v>78</v>
      </c>
      <c r="I71" s="328" t="s">
        <v>78</v>
      </c>
      <c r="J71" s="328" t="s">
        <v>78</v>
      </c>
      <c r="K71" s="328" t="s">
        <v>78</v>
      </c>
      <c r="L71" s="10">
        <f>'FY 2013 by Agency'!L71*Inflator!$E$6</f>
        <v>0</v>
      </c>
      <c r="M71" s="328" t="s">
        <v>78</v>
      </c>
      <c r="N71" s="328" t="s">
        <v>78</v>
      </c>
      <c r="O71" s="10">
        <f>'FY 2013 by Agency'!O71*Inflator!$E$7</f>
        <v>0</v>
      </c>
      <c r="P71" s="69">
        <v>0</v>
      </c>
      <c r="Q71" s="70">
        <v>0</v>
      </c>
      <c r="R71" s="52">
        <f>'FY 2013 by Agency'!R71*Inflator!$E$8</f>
        <v>0</v>
      </c>
      <c r="S71" s="69">
        <v>0</v>
      </c>
      <c r="T71" s="70">
        <v>0</v>
      </c>
      <c r="U71" s="52">
        <f>'FY 2013 by Agency'!U71*Inflator!$E$9</f>
        <v>65909.482758620681</v>
      </c>
      <c r="V71" s="69">
        <f t="shared" si="64"/>
        <v>65909.482758620681</v>
      </c>
      <c r="W71" s="70" t="s">
        <v>78</v>
      </c>
      <c r="X71" s="52">
        <f>'FY 2013 by Agency'!X71*Inflator!$E$10</f>
        <v>76170.664337885057</v>
      </c>
      <c r="Y71" s="39">
        <f t="shared" si="48"/>
        <v>10261.181579264376</v>
      </c>
      <c r="Z71" s="72">
        <f t="shared" si="71"/>
        <v>0.15568596732648848</v>
      </c>
      <c r="AA71" s="52">
        <f>'FY 2013 by Agency'!AA71*Inflator!$E$11</f>
        <v>35479.276839757891</v>
      </c>
      <c r="AB71" s="39">
        <f t="shared" si="50"/>
        <v>-40691.387498127166</v>
      </c>
      <c r="AC71" s="58">
        <f>AB71/X71</f>
        <v>-0.53421337271819569</v>
      </c>
      <c r="AD71" s="52" t="e">
        <f>'FY 2013 by Agency'!AD71*Inflator!#REF!</f>
        <v>#REF!</v>
      </c>
      <c r="AE71" s="52">
        <f>'FY 2013 by Agency'!AE71*Inflator!$B$8</f>
        <v>0</v>
      </c>
      <c r="AF71" s="52">
        <f>'FY 2013 by Agency'!AF71*Inflator!$E$12</f>
        <v>13880.489348370929</v>
      </c>
      <c r="AG71" s="52">
        <f t="shared" si="52"/>
        <v>-21598.78749138696</v>
      </c>
      <c r="AH71" s="58">
        <f t="shared" si="53"/>
        <v>-0.6087719202659585</v>
      </c>
      <c r="AI71" s="52">
        <f>'FY 2013 by Agency'!AI71*Inflator!$B$8</f>
        <v>0</v>
      </c>
      <c r="AJ71" s="52">
        <f>'FY 2013 by Agency'!AJ71*Inflator!$B$8</f>
        <v>0</v>
      </c>
      <c r="AK71" s="52">
        <f>'FY 2013 by Agency'!AK71</f>
        <v>0</v>
      </c>
      <c r="AL71" s="52">
        <f>'FY 2013 by Agency'!AL71</f>
        <v>0</v>
      </c>
      <c r="AM71" s="52">
        <f>'FY 2013 by Agency'!AM71</f>
        <v>0</v>
      </c>
      <c r="AN71" s="52">
        <f>'FY 2013 by Agency'!AN71</f>
        <v>0</v>
      </c>
      <c r="AO71" s="52">
        <f>'FY 2013 by Agency'!AO71</f>
        <v>14384</v>
      </c>
      <c r="AP71" s="52">
        <f>'FY 2013 by Agency'!AP71</f>
        <v>0</v>
      </c>
      <c r="AQ71" s="52">
        <f>'FY 2013 by Agency'!AQ71</f>
        <v>0</v>
      </c>
      <c r="AR71" s="52">
        <f>'FY 2013 by Agency'!AR71</f>
        <v>0</v>
      </c>
      <c r="AS71" s="52">
        <f>'FY 2013 by Agency'!AS71</f>
        <v>34018.224999999999</v>
      </c>
      <c r="AT71" s="52" t="e">
        <f t="shared" si="54"/>
        <v>#REF!</v>
      </c>
      <c r="AU71" s="58" t="e">
        <f t="shared" si="55"/>
        <v>#REF!</v>
      </c>
      <c r="AV71" s="52">
        <f t="shared" si="56"/>
        <v>20137.735651629067</v>
      </c>
      <c r="AW71" s="58">
        <f t="shared" si="57"/>
        <v>1.4507943593496229</v>
      </c>
      <c r="AX71" s="39">
        <v>14384</v>
      </c>
      <c r="AY71" s="39">
        <v>14384</v>
      </c>
      <c r="AZ71" s="39">
        <f t="shared" si="58"/>
        <v>0</v>
      </c>
      <c r="BA71" s="39">
        <f t="shared" si="59"/>
        <v>20137.735651629067</v>
      </c>
      <c r="BB71" s="39">
        <f t="shared" si="60"/>
        <v>34018.224999999999</v>
      </c>
      <c r="BC71" s="58">
        <f t="shared" si="61"/>
        <v>1.4507943593496231</v>
      </c>
      <c r="BD71" s="292"/>
      <c r="BI71" s="219">
        <v>14384</v>
      </c>
      <c r="BJ71" s="39">
        <f t="shared" si="66"/>
        <v>0</v>
      </c>
      <c r="BK71" s="65">
        <f t="shared" si="67"/>
        <v>14384</v>
      </c>
      <c r="BL71" s="576">
        <f>'FY 2013 by Agency'!AS71*Inflator!$E$13</f>
        <v>35274.314479707056</v>
      </c>
      <c r="BM71" s="258">
        <f t="shared" si="68"/>
        <v>21393.825131336125</v>
      </c>
      <c r="BN71" s="51">
        <f t="shared" si="69"/>
        <v>1.5412875291638757</v>
      </c>
      <c r="BO71" s="52">
        <f>'FY 2013 by Agency'!AX71*Inflator!$E$13</f>
        <v>41867.880988709192</v>
      </c>
      <c r="BP71" s="52">
        <f t="shared" si="32"/>
        <v>27987.391640338261</v>
      </c>
      <c r="BQ71" s="51">
        <f t="shared" si="33"/>
        <v>2.0163115966529648</v>
      </c>
      <c r="BR71" s="52">
        <f>'FY 2013 by Agency'!BE71*Inflator!$E$14</f>
        <v>25275.47865034339</v>
      </c>
      <c r="BS71" s="52">
        <f t="shared" si="34"/>
        <v>-16592.402338365802</v>
      </c>
      <c r="BT71" s="51">
        <f t="shared" si="35"/>
        <v>-0.39630384787900763</v>
      </c>
      <c r="BU71" s="52">
        <f>'FY 2013 by Agency'!BL71*Inflator!$E$14</f>
        <v>25275.47865034339</v>
      </c>
      <c r="BV71" s="52">
        <f t="shared" si="70"/>
        <v>-9998.8358293636666</v>
      </c>
      <c r="BW71" s="39">
        <v>25460</v>
      </c>
      <c r="BX71" s="39">
        <f>'FY 2013 by Agency'!BV71*Inflator!E15</f>
        <v>25460</v>
      </c>
      <c r="BY71" s="39">
        <f t="shared" si="37"/>
        <v>184.52134965661025</v>
      </c>
      <c r="BZ71" s="51">
        <f t="shared" si="38"/>
        <v>7.3004097057565859E-3</v>
      </c>
      <c r="CB71" s="39"/>
    </row>
    <row r="72" spans="1:80" s="63" customFormat="1" ht="18" customHeight="1">
      <c r="A72" s="63" t="s">
        <v>124</v>
      </c>
      <c r="B72" s="328" t="s">
        <v>78</v>
      </c>
      <c r="C72" s="328" t="s">
        <v>78</v>
      </c>
      <c r="D72" s="328" t="s">
        <v>78</v>
      </c>
      <c r="E72" s="328" t="s">
        <v>78</v>
      </c>
      <c r="F72" s="328" t="s">
        <v>78</v>
      </c>
      <c r="G72" s="328" t="s">
        <v>78</v>
      </c>
      <c r="H72" s="328" t="s">
        <v>78</v>
      </c>
      <c r="I72" s="328" t="s">
        <v>78</v>
      </c>
      <c r="J72" s="328" t="s">
        <v>78</v>
      </c>
      <c r="K72" s="328" t="s">
        <v>78</v>
      </c>
      <c r="L72" s="328" t="s">
        <v>78</v>
      </c>
      <c r="M72" s="328" t="s">
        <v>78</v>
      </c>
      <c r="N72" s="328" t="s">
        <v>78</v>
      </c>
      <c r="O72" s="328" t="s">
        <v>78</v>
      </c>
      <c r="P72" s="328" t="s">
        <v>78</v>
      </c>
      <c r="Q72" s="328" t="s">
        <v>78</v>
      </c>
      <c r="R72" s="328" t="s">
        <v>78</v>
      </c>
      <c r="S72" s="328" t="s">
        <v>78</v>
      </c>
      <c r="T72" s="328" t="s">
        <v>78</v>
      </c>
      <c r="U72" s="328" t="s">
        <v>78</v>
      </c>
      <c r="V72" s="328" t="s">
        <v>78</v>
      </c>
      <c r="W72" s="328" t="s">
        <v>78</v>
      </c>
      <c r="X72" s="328" t="s">
        <v>78</v>
      </c>
      <c r="Y72" s="328" t="s">
        <v>78</v>
      </c>
      <c r="Z72" s="145" t="s">
        <v>127</v>
      </c>
      <c r="AA72" s="52">
        <f>'FY 2013 by Agency'!AA72*Inflator!$E$11</f>
        <v>2706.2758840395036</v>
      </c>
      <c r="AB72" s="495" t="e">
        <f>AA72-X72</f>
        <v>#VALUE!</v>
      </c>
      <c r="AC72" s="241" t="e">
        <f>AB72/X72</f>
        <v>#VALUE!</v>
      </c>
      <c r="AD72" s="52" t="e">
        <f>'FY 2013 by Agency'!AD72*Inflator!#REF!</f>
        <v>#REF!</v>
      </c>
      <c r="AE72" s="52">
        <f>'FY 2013 by Agency'!AE72*Inflator!$B$8</f>
        <v>0</v>
      </c>
      <c r="AF72" s="52">
        <f>'FY 2013 by Agency'!AF72*Inflator!$E$12</f>
        <v>0</v>
      </c>
      <c r="AG72" s="52">
        <f t="shared" si="52"/>
        <v>-2706.2758840395036</v>
      </c>
      <c r="AH72" s="58">
        <f t="shared" si="53"/>
        <v>-1</v>
      </c>
      <c r="AI72" s="52">
        <f>'FY 2013 by Agency'!AI72*Inflator!$B$8</f>
        <v>0</v>
      </c>
      <c r="AJ72" s="52">
        <f>'FY 2013 by Agency'!AJ72*Inflator!$B$8</f>
        <v>0</v>
      </c>
      <c r="AK72" s="52">
        <f>'FY 2013 by Agency'!AK72</f>
        <v>0</v>
      </c>
      <c r="AL72" s="52">
        <f>'FY 2013 by Agency'!AL72</f>
        <v>0</v>
      </c>
      <c r="AM72" s="52">
        <f>'FY 2013 by Agency'!AM72</f>
        <v>0</v>
      </c>
      <c r="AN72" s="52">
        <f>'FY 2013 by Agency'!AN72</f>
        <v>0</v>
      </c>
      <c r="AO72" s="52">
        <f>'FY 2013 by Agency'!AO72</f>
        <v>0</v>
      </c>
      <c r="AP72" s="52">
        <f>'FY 2013 by Agency'!AP72</f>
        <v>0</v>
      </c>
      <c r="AQ72" s="52">
        <f>'FY 2013 by Agency'!AQ72</f>
        <v>0</v>
      </c>
      <c r="AR72" s="52">
        <f>'FY 2013 by Agency'!AR72</f>
        <v>0</v>
      </c>
      <c r="AS72" s="52">
        <f>'FY 2013 by Agency'!AS72</f>
        <v>0</v>
      </c>
      <c r="AT72" s="52" t="e">
        <f t="shared" si="54"/>
        <v>#REF!</v>
      </c>
      <c r="AU72" s="58" t="e">
        <f t="shared" si="55"/>
        <v>#REF!</v>
      </c>
      <c r="AV72" s="52">
        <f t="shared" si="56"/>
        <v>0</v>
      </c>
      <c r="AW72" s="58" t="e">
        <f t="shared" si="57"/>
        <v>#DIV/0!</v>
      </c>
      <c r="AX72" s="39"/>
      <c r="AY72" s="39"/>
      <c r="AZ72" s="39">
        <f t="shared" si="58"/>
        <v>0</v>
      </c>
      <c r="BA72" s="39">
        <f t="shared" si="59"/>
        <v>0</v>
      </c>
      <c r="BB72" s="39">
        <f t="shared" si="60"/>
        <v>0</v>
      </c>
      <c r="BC72" s="58" t="e">
        <f t="shared" si="61"/>
        <v>#DIV/0!</v>
      </c>
      <c r="BD72" s="292"/>
      <c r="BE72" s="282"/>
      <c r="BI72" s="80"/>
      <c r="BJ72" s="39">
        <f t="shared" si="66"/>
        <v>0</v>
      </c>
      <c r="BK72" s="65">
        <f t="shared" si="67"/>
        <v>0</v>
      </c>
      <c r="BL72" s="576">
        <f>'FY 2013 by Agency'!AS72*Inflator!$E$13</f>
        <v>0</v>
      </c>
      <c r="BM72" s="258">
        <f t="shared" si="68"/>
        <v>0</v>
      </c>
      <c r="BN72" s="51" t="e">
        <f t="shared" si="69"/>
        <v>#DIV/0!</v>
      </c>
      <c r="BO72" s="52">
        <f>'FY 2013 by Agency'!AX72*Inflator!$E$13</f>
        <v>0</v>
      </c>
      <c r="BP72" s="52">
        <f t="shared" si="32"/>
        <v>0</v>
      </c>
      <c r="BQ72" s="51" t="e">
        <f t="shared" si="33"/>
        <v>#DIV/0!</v>
      </c>
      <c r="BR72" s="52">
        <f>'FY 2013 by Agency'!BE72*Inflator!$E$14</f>
        <v>0</v>
      </c>
      <c r="BS72" s="52">
        <f t="shared" si="34"/>
        <v>0</v>
      </c>
      <c r="BT72" s="51" t="e">
        <f t="shared" si="35"/>
        <v>#DIV/0!</v>
      </c>
      <c r="BU72" s="69">
        <f>'FY 2013 by Agency'!BL72*Inflator!$E$14</f>
        <v>0</v>
      </c>
      <c r="BV72" s="52">
        <f t="shared" si="70"/>
        <v>0</v>
      </c>
      <c r="BW72" s="39">
        <v>0</v>
      </c>
      <c r="BX72" s="39">
        <f>'FY 2013 by Agency'!BV72*Inflator!E15</f>
        <v>0</v>
      </c>
      <c r="BY72" s="39">
        <f t="shared" ref="BY72:BY135" si="72">BW72-BR72</f>
        <v>0</v>
      </c>
      <c r="BZ72" s="51" t="e">
        <f t="shared" ref="BZ72:BZ135" si="73">BY72/BR72</f>
        <v>#DIV/0!</v>
      </c>
      <c r="CB72" s="39"/>
    </row>
    <row r="73" spans="1:80" s="54" customFormat="1" ht="18" customHeight="1" thickBot="1">
      <c r="A73" s="130" t="s">
        <v>215</v>
      </c>
      <c r="B73" s="332" t="s">
        <v>78</v>
      </c>
      <c r="C73" s="332" t="s">
        <v>78</v>
      </c>
      <c r="D73" s="332" t="s">
        <v>78</v>
      </c>
      <c r="E73" s="332" t="s">
        <v>78</v>
      </c>
      <c r="F73" s="332" t="s">
        <v>78</v>
      </c>
      <c r="G73" s="332" t="s">
        <v>78</v>
      </c>
      <c r="H73" s="332" t="s">
        <v>78</v>
      </c>
      <c r="I73" s="332" t="s">
        <v>78</v>
      </c>
      <c r="J73" s="332" t="s">
        <v>78</v>
      </c>
      <c r="K73" s="332" t="s">
        <v>78</v>
      </c>
      <c r="L73" s="332" t="s">
        <v>78</v>
      </c>
      <c r="M73" s="332" t="s">
        <v>78</v>
      </c>
      <c r="N73" s="332" t="s">
        <v>78</v>
      </c>
      <c r="O73" s="332" t="s">
        <v>78</v>
      </c>
      <c r="P73" s="332" t="s">
        <v>78</v>
      </c>
      <c r="Q73" s="332" t="s">
        <v>78</v>
      </c>
      <c r="R73" s="332" t="s">
        <v>78</v>
      </c>
      <c r="S73" s="332" t="s">
        <v>78</v>
      </c>
      <c r="T73" s="332" t="s">
        <v>78</v>
      </c>
      <c r="U73" s="332" t="s">
        <v>78</v>
      </c>
      <c r="V73" s="332" t="s">
        <v>78</v>
      </c>
      <c r="W73" s="332" t="s">
        <v>78</v>
      </c>
      <c r="X73" s="332" t="s">
        <v>78</v>
      </c>
      <c r="Y73" s="332" t="s">
        <v>78</v>
      </c>
      <c r="AA73" s="75">
        <f>'FY 2013 by Agency'!AA73*Inflator!$E$11</f>
        <v>0</v>
      </c>
      <c r="AB73" s="496" t="e">
        <f>AA73-X73</f>
        <v>#VALUE!</v>
      </c>
      <c r="AC73" s="249" t="e">
        <f>AB73/X73</f>
        <v>#VALUE!</v>
      </c>
      <c r="AD73" s="75" t="e">
        <f>'FY 2013 by Agency'!AD73*Inflator!#REF!</f>
        <v>#REF!</v>
      </c>
      <c r="AE73" s="75">
        <f>'FY 2013 by Agency'!AE73*Inflator!$B$8</f>
        <v>0</v>
      </c>
      <c r="AF73" s="75">
        <f>'FY 2013 by Agency'!AF73*Inflator!$E$12</f>
        <v>0</v>
      </c>
      <c r="AG73" s="75">
        <f t="shared" si="52"/>
        <v>0</v>
      </c>
      <c r="AH73" s="77" t="e">
        <f t="shared" si="53"/>
        <v>#DIV/0!</v>
      </c>
      <c r="AI73" s="75">
        <f>'FY 2013 by Agency'!AI73*Inflator!$B$8</f>
        <v>0</v>
      </c>
      <c r="AJ73" s="75">
        <f>'FY 2013 by Agency'!AJ73*Inflator!$B$8</f>
        <v>0</v>
      </c>
      <c r="AK73" s="75">
        <f>'FY 2013 by Agency'!AK73</f>
        <v>0</v>
      </c>
      <c r="AL73" s="75">
        <f>'FY 2013 by Agency'!AL73</f>
        <v>0</v>
      </c>
      <c r="AM73" s="75">
        <f>'FY 2013 by Agency'!AM73</f>
        <v>0</v>
      </c>
      <c r="AN73" s="75">
        <f>'FY 2013 by Agency'!AN73</f>
        <v>0</v>
      </c>
      <c r="AO73" s="75">
        <f>'FY 2013 by Agency'!AO73</f>
        <v>23000</v>
      </c>
      <c r="AP73" s="75">
        <f>'FY 2013 by Agency'!AP73</f>
        <v>0</v>
      </c>
      <c r="AQ73" s="75">
        <f>'FY 2013 by Agency'!AQ73</f>
        <v>0</v>
      </c>
      <c r="AR73" s="75">
        <f>'FY 2013 by Agency'!AR73</f>
        <v>0</v>
      </c>
      <c r="AS73" s="75">
        <f>'FY 2013 by Agency'!AS73</f>
        <v>20787.692579999999</v>
      </c>
      <c r="AT73" s="75" t="e">
        <f t="shared" si="54"/>
        <v>#REF!</v>
      </c>
      <c r="AU73" s="77" t="e">
        <f t="shared" si="55"/>
        <v>#REF!</v>
      </c>
      <c r="AV73" s="75">
        <f t="shared" si="56"/>
        <v>20787.692579999999</v>
      </c>
      <c r="AW73" s="77" t="e">
        <f t="shared" si="57"/>
        <v>#DIV/0!</v>
      </c>
      <c r="AX73" s="102">
        <v>23000</v>
      </c>
      <c r="AY73" s="102">
        <v>23000</v>
      </c>
      <c r="AZ73" s="102">
        <f t="shared" si="58"/>
        <v>0</v>
      </c>
      <c r="BA73" s="102">
        <f t="shared" si="59"/>
        <v>20787.692579999999</v>
      </c>
      <c r="BB73" s="102">
        <f t="shared" si="60"/>
        <v>20787.692579999999</v>
      </c>
      <c r="BC73" s="77" t="e">
        <f t="shared" si="61"/>
        <v>#DIV/0!</v>
      </c>
      <c r="BD73" s="297"/>
      <c r="BE73" s="285"/>
      <c r="BI73" s="94">
        <v>23000</v>
      </c>
      <c r="BJ73" s="102">
        <f t="shared" si="66"/>
        <v>0</v>
      </c>
      <c r="BK73" s="94">
        <f t="shared" si="67"/>
        <v>23000</v>
      </c>
      <c r="BL73" s="578">
        <f>'FY 2013 by Agency'!AS73*Inflator!$E$13</f>
        <v>21555.257670686606</v>
      </c>
      <c r="BM73" s="258">
        <f t="shared" si="68"/>
        <v>21555.257670686606</v>
      </c>
      <c r="BN73" s="55" t="e">
        <f t="shared" si="69"/>
        <v>#DIV/0!</v>
      </c>
      <c r="BO73" s="75">
        <f>'FY 2013 by Agency'!AX73*Inflator!$E$13</f>
        <v>23849.252364967964</v>
      </c>
      <c r="BP73" s="75">
        <f t="shared" ref="BP73:BP133" si="74">BO73-AF73</f>
        <v>23849.252364967964</v>
      </c>
      <c r="BQ73" s="55" t="e">
        <f t="shared" ref="BQ73:BQ133" si="75">BP73/AF73</f>
        <v>#DIV/0!</v>
      </c>
      <c r="BR73" s="75">
        <f>'FY 2013 by Agency'!BE73*Inflator!$E$14</f>
        <v>23336.518363690655</v>
      </c>
      <c r="BS73" s="75">
        <f t="shared" ref="BS73:BS133" si="76">BR73-BO73</f>
        <v>-512.73400127730929</v>
      </c>
      <c r="BT73" s="55">
        <f t="shared" ref="BT73:BT133" si="77">BS73/BO73</f>
        <v>-2.1498954911914198E-2</v>
      </c>
      <c r="BU73" s="75">
        <f>'FY 2013 by Agency'!BL73*Inflator!$E$14</f>
        <v>23336.518363690655</v>
      </c>
      <c r="BV73" s="52">
        <f t="shared" si="70"/>
        <v>1781.2606930040492</v>
      </c>
      <c r="BW73" s="102">
        <v>23000</v>
      </c>
      <c r="BX73" s="39">
        <f>'FY 2013 by Agency'!BV73*Inflator!E15</f>
        <v>23000</v>
      </c>
      <c r="BY73" s="39">
        <f t="shared" si="72"/>
        <v>-336.51836369065495</v>
      </c>
      <c r="BZ73" s="51">
        <f t="shared" si="73"/>
        <v>-1.442024720423783E-2</v>
      </c>
      <c r="CB73" s="39"/>
    </row>
    <row r="74" spans="1:80" s="13" customFormat="1" ht="18" customHeight="1">
      <c r="A74" s="64" t="s">
        <v>56</v>
      </c>
      <c r="B74" s="326">
        <f>'FY 2013 by Agency'!B74*Inflator!$E$2</f>
        <v>122608.45693779906</v>
      </c>
      <c r="C74" s="326">
        <f>'FY 2013 by Agency'!C74*Inflator!$E$3</f>
        <v>140688.75425038641</v>
      </c>
      <c r="D74" s="47">
        <f t="shared" ref="D74:D133" si="78">C74-B74</f>
        <v>18080.297312587354</v>
      </c>
      <c r="E74" s="360">
        <f t="shared" ref="E74:E133" si="79">(C74-B74)/B74</f>
        <v>0.14746370490381211</v>
      </c>
      <c r="F74" s="10">
        <f>'FY 2013 by Agency'!F74*Inflator!$E$4</f>
        <v>147747.67872097451</v>
      </c>
      <c r="G74" s="12">
        <f t="shared" ref="G74:G133" si="80">F74-C74</f>
        <v>7058.9244705880992</v>
      </c>
      <c r="H74" s="15">
        <f t="shared" ref="H74:H133" si="81">(F74-C74)/C74</f>
        <v>5.0174049149836093E-2</v>
      </c>
      <c r="I74" s="10">
        <f>'FY 2013 by Agency'!I74*Inflator!$E$5</f>
        <v>170524.25139457051</v>
      </c>
      <c r="J74" s="12">
        <f t="shared" ref="J74:J133" si="82">I74-F74</f>
        <v>22776.572673596005</v>
      </c>
      <c r="K74" s="15">
        <f t="shared" ref="K74:K133" si="83">(I74-F74)/F74</f>
        <v>0.15415858219072381</v>
      </c>
      <c r="L74" s="10">
        <f>'FY 2013 by Agency'!L74*Inflator!$E$6</f>
        <v>186889.99999999997</v>
      </c>
      <c r="M74" s="10">
        <f t="shared" ref="M74:M133" si="84">L74-I74</f>
        <v>16365.748605429457</v>
      </c>
      <c r="N74" s="14">
        <f t="shared" ref="N74:N133" si="85">(L74-I74)/I74</f>
        <v>9.5973144415460787E-2</v>
      </c>
      <c r="O74" s="10">
        <f>'FY 2013 by Agency'!O74*Inflator!$E$7</f>
        <v>236330.24216825058</v>
      </c>
      <c r="P74" s="12">
        <f t="shared" si="63"/>
        <v>49440.24216825061</v>
      </c>
      <c r="Q74" s="36">
        <f t="shared" si="45"/>
        <v>0.26454193465809095</v>
      </c>
      <c r="R74" s="52">
        <f>'FY 2013 by Agency'!R74*Inflator!$E$8</f>
        <v>290390.58859470469</v>
      </c>
      <c r="S74" s="12">
        <f t="shared" si="46"/>
        <v>54060.346426454111</v>
      </c>
      <c r="T74" s="36">
        <f t="shared" si="47"/>
        <v>0.22874916866529055</v>
      </c>
      <c r="U74" s="52">
        <f>'FY 2013 by Agency'!U74*Inflator!$E$9</f>
        <v>420592.63262599468</v>
      </c>
      <c r="V74" s="12" t="e">
        <f>SUM(V51:V73)</f>
        <v>#VALUE!</v>
      </c>
      <c r="W74" s="36" t="e">
        <f t="shared" ref="W74" si="86">V74/R74</f>
        <v>#VALUE!</v>
      </c>
      <c r="X74" s="52">
        <f>'FY 2013 by Agency'!X74*Inflator!$E$10</f>
        <v>435146.86567164183</v>
      </c>
      <c r="Y74" s="12" t="e">
        <f>SUM(Y51:Y73)</f>
        <v>#VALUE!</v>
      </c>
      <c r="Z74" s="45" t="e">
        <f t="shared" ref="Z74" si="87">Y74/U74</f>
        <v>#VALUE!</v>
      </c>
      <c r="AA74" s="52">
        <f>'FY 2013 by Agency'!AA74*Inflator!$E$11</f>
        <v>423284.2809812043</v>
      </c>
      <c r="AB74" s="136">
        <f>AA74-X74</f>
        <v>-11862.584690437536</v>
      </c>
      <c r="AC74" s="137">
        <f>AB74/X74</f>
        <v>-2.7261105677798773E-2</v>
      </c>
      <c r="AD74" s="12" t="e">
        <f>'FY 2013 by Agency'!AD74*Inflator!#REF!</f>
        <v>#REF!</v>
      </c>
      <c r="AE74" s="12">
        <f>SUM(AE51:AE73)</f>
        <v>0</v>
      </c>
      <c r="AF74" s="52">
        <f>'FY 2013 by Agency'!AF74*Inflator!$E$12</f>
        <v>283022.95426065166</v>
      </c>
      <c r="AG74" s="12">
        <f>AF74-AA74</f>
        <v>-140261.32672055264</v>
      </c>
      <c r="AH74" s="36">
        <f>AG74/AA74</f>
        <v>-0.3313643643827654</v>
      </c>
      <c r="AI74" s="12">
        <f t="shared" ref="AI74:AS74" si="88">SUM(AI51:AI73)</f>
        <v>0</v>
      </c>
      <c r="AJ74" s="12">
        <f t="shared" si="88"/>
        <v>0</v>
      </c>
      <c r="AK74" s="12">
        <f t="shared" si="88"/>
        <v>96729</v>
      </c>
      <c r="AL74" s="12">
        <f t="shared" si="88"/>
        <v>40131</v>
      </c>
      <c r="AM74" s="12">
        <f t="shared" si="88"/>
        <v>136860</v>
      </c>
      <c r="AN74" s="12">
        <f t="shared" si="88"/>
        <v>102735</v>
      </c>
      <c r="AO74" s="12">
        <f t="shared" si="88"/>
        <v>262932</v>
      </c>
      <c r="AP74" s="12">
        <f t="shared" si="88"/>
        <v>19495</v>
      </c>
      <c r="AQ74" s="12">
        <f t="shared" si="88"/>
        <v>2148</v>
      </c>
      <c r="AR74" s="12">
        <f t="shared" si="88"/>
        <v>21643</v>
      </c>
      <c r="AS74" s="12">
        <f t="shared" si="88"/>
        <v>277041.65782999998</v>
      </c>
      <c r="AT74" s="12" t="e">
        <f t="shared" si="54"/>
        <v>#REF!</v>
      </c>
      <c r="AU74" s="36" t="e">
        <f t="shared" si="55"/>
        <v>#REF!</v>
      </c>
      <c r="AV74" s="12">
        <f t="shared" si="56"/>
        <v>-5981.2964306516806</v>
      </c>
      <c r="AW74" s="36">
        <f t="shared" si="57"/>
        <v>-2.1133608919731543E-2</v>
      </c>
      <c r="AX74" s="30"/>
      <c r="AY74" s="30">
        <f>SUM(AY51:AY73)</f>
        <v>266785</v>
      </c>
      <c r="AZ74" s="30">
        <f>SUM(AZ51:AZ73)</f>
        <v>3853</v>
      </c>
      <c r="BA74" s="30"/>
      <c r="BB74" s="30">
        <f>SUM(BB51:BB73)</f>
        <v>280894.65782999998</v>
      </c>
      <c r="BC74" s="36">
        <f t="shared" si="61"/>
        <v>-7.5198721468069385E-3</v>
      </c>
      <c r="BD74" s="30">
        <f>SUM(BD51:BD73)</f>
        <v>5093.1750000000002</v>
      </c>
      <c r="BE74" s="15">
        <f>BD74/AY74</f>
        <v>1.9090934647750062E-2</v>
      </c>
      <c r="BF74" s="15">
        <f>(BB74-X74)/X74</f>
        <v>-0.35448309527303196</v>
      </c>
      <c r="BI74" s="28">
        <f>SUM(BI51:BI73)</f>
        <v>256884</v>
      </c>
      <c r="BJ74" s="30">
        <f t="shared" si="66"/>
        <v>-9901</v>
      </c>
      <c r="BK74" s="28">
        <f>SUM(BK51:BK73)</f>
        <v>305320</v>
      </c>
      <c r="BL74" s="572">
        <f>SUM(BL51:BL73)</f>
        <v>287271.14839985967</v>
      </c>
      <c r="BM74" s="258">
        <f t="shared" si="68"/>
        <v>4248.1941392080043</v>
      </c>
      <c r="BN74" s="15">
        <f t="shared" si="69"/>
        <v>1.5010069237336859E-2</v>
      </c>
      <c r="BO74" s="12">
        <f>'FY 2013 by Agency'!AX74*Inflator!$E$13</f>
        <v>296459.68690875807</v>
      </c>
      <c r="BP74" s="12">
        <f t="shared" si="74"/>
        <v>13436.732648106408</v>
      </c>
      <c r="BQ74" s="15">
        <f t="shared" si="75"/>
        <v>4.7475769883073761E-2</v>
      </c>
      <c r="BR74" s="12">
        <f>'FY 2013 by Agency'!BE74*Inflator!$E$14</f>
        <v>272596.91489997017</v>
      </c>
      <c r="BS74" s="12">
        <f t="shared" si="76"/>
        <v>-23862.772008787899</v>
      </c>
      <c r="BT74" s="15">
        <f t="shared" si="77"/>
        <v>-8.0492468495833594E-2</v>
      </c>
      <c r="BU74" s="12">
        <f>SUM(BU51:BU73)</f>
        <v>290749.68229322188</v>
      </c>
      <c r="BV74" s="52">
        <f t="shared" si="70"/>
        <v>3478.5338933622115</v>
      </c>
      <c r="BW74" s="30">
        <f>SUM(BW51:BW73)</f>
        <v>297349</v>
      </c>
      <c r="BX74" s="12">
        <f>SUM(BX51:BX73)</f>
        <v>325279</v>
      </c>
      <c r="BY74" s="39">
        <f t="shared" si="72"/>
        <v>24752.085100029828</v>
      </c>
      <c r="BZ74" s="51">
        <f t="shared" si="73"/>
        <v>9.0801046332870797E-2</v>
      </c>
      <c r="CB74" s="39"/>
    </row>
    <row r="75" spans="1:80" s="13" customFormat="1" ht="18" customHeight="1">
      <c r="A75" s="64" t="s">
        <v>244</v>
      </c>
      <c r="B75" s="326"/>
      <c r="C75" s="326"/>
      <c r="D75" s="326"/>
      <c r="E75" s="355"/>
      <c r="F75" s="10"/>
      <c r="G75" s="10"/>
      <c r="H75" s="14"/>
      <c r="I75" s="10"/>
      <c r="J75" s="10"/>
      <c r="K75" s="14"/>
      <c r="L75" s="10"/>
      <c r="M75" s="10"/>
      <c r="N75" s="14"/>
      <c r="O75" s="10"/>
      <c r="P75" s="12"/>
      <c r="Q75" s="36"/>
      <c r="R75" s="52"/>
      <c r="S75" s="52"/>
      <c r="T75" s="58"/>
      <c r="U75" s="52"/>
      <c r="V75" s="52"/>
      <c r="W75" s="58"/>
      <c r="X75" s="52"/>
      <c r="Y75" s="39"/>
      <c r="Z75" s="58"/>
      <c r="AA75" s="52"/>
      <c r="AC75" s="28"/>
      <c r="AD75" s="52" t="e">
        <f>'FY 2013 by Agency'!AD75*Inflator!#REF!</f>
        <v>#REF!</v>
      </c>
      <c r="AE75" s="180"/>
      <c r="AF75" s="52"/>
      <c r="AG75" s="163"/>
      <c r="AH75" s="163"/>
      <c r="AI75" s="163"/>
      <c r="AM75" s="84"/>
      <c r="AN75" s="172"/>
      <c r="AO75" s="97"/>
      <c r="AP75" s="12"/>
      <c r="AQ75" s="12"/>
      <c r="AR75" s="12"/>
      <c r="AS75" s="58" t="e">
        <f>AS74/AF76-1</f>
        <v>#DIV/0!</v>
      </c>
      <c r="AT75" s="52"/>
      <c r="AU75" s="30"/>
      <c r="AV75" s="97"/>
      <c r="AW75" s="136"/>
      <c r="AZ75" s="30">
        <f>+AZ71+AZ58+AZ57+AZ56</f>
        <v>-242</v>
      </c>
      <c r="BA75" s="30"/>
      <c r="BD75" s="295"/>
      <c r="BE75" s="304"/>
      <c r="BI75" s="28"/>
      <c r="BK75" s="323"/>
      <c r="BL75" s="575"/>
      <c r="BM75" s="12"/>
      <c r="BN75" s="290"/>
      <c r="BP75" s="52"/>
      <c r="BQ75" s="50"/>
      <c r="BR75" s="52"/>
      <c r="BS75" s="52"/>
      <c r="BT75" s="50"/>
      <c r="BU75" s="258"/>
      <c r="BV75" s="258"/>
      <c r="BW75" s="39"/>
      <c r="BY75" s="39">
        <f t="shared" si="72"/>
        <v>0</v>
      </c>
      <c r="BZ75" s="51" t="e">
        <f t="shared" si="73"/>
        <v>#DIV/0!</v>
      </c>
      <c r="CB75" s="39"/>
    </row>
    <row r="76" spans="1:80" s="13" customFormat="1" ht="18" customHeight="1">
      <c r="A76" s="64" t="s">
        <v>246</v>
      </c>
      <c r="B76" s="326"/>
      <c r="C76" s="326"/>
      <c r="D76" s="326"/>
      <c r="E76" s="355"/>
      <c r="F76" s="10"/>
      <c r="G76" s="10"/>
      <c r="H76" s="14"/>
      <c r="I76" s="10"/>
      <c r="J76" s="10"/>
      <c r="K76" s="14"/>
      <c r="L76" s="10"/>
      <c r="M76" s="10"/>
      <c r="N76" s="14"/>
      <c r="O76" s="10"/>
      <c r="P76" s="12"/>
      <c r="Q76" s="36"/>
      <c r="R76" s="52"/>
      <c r="S76" s="52"/>
      <c r="T76" s="58"/>
      <c r="U76" s="52"/>
      <c r="V76" s="52"/>
      <c r="W76" s="58"/>
      <c r="X76" s="52">
        <f>X74-(X56+X57+X58+X71)</f>
        <v>183720.76341695775</v>
      </c>
      <c r="Y76" s="39"/>
      <c r="Z76" s="58"/>
      <c r="AA76" s="52"/>
      <c r="AC76" s="28"/>
      <c r="AD76" s="52" t="e">
        <f>'FY 2013 by Agency'!AD76*Inflator!#REF!</f>
        <v>#REF!</v>
      </c>
      <c r="AE76" s="180"/>
      <c r="AF76" s="52"/>
      <c r="AG76" s="163"/>
      <c r="AH76" s="163"/>
      <c r="AI76" s="163"/>
      <c r="AM76" s="84"/>
      <c r="AN76" s="172"/>
      <c r="AO76" s="97"/>
      <c r="AP76" s="12"/>
      <c r="AQ76" s="12"/>
      <c r="AR76" s="12"/>
      <c r="AS76" s="52"/>
      <c r="AT76" s="52" t="e">
        <f>AR74-AD76</f>
        <v>#REF!</v>
      </c>
      <c r="AU76" s="36" t="e">
        <f>AT76/AD76</f>
        <v>#REF!</v>
      </c>
      <c r="AV76" s="12">
        <f>AS74-AF76</f>
        <v>277041.65782999998</v>
      </c>
      <c r="AW76" s="137" t="e">
        <f>AV76/AF76</f>
        <v>#DIV/0!</v>
      </c>
      <c r="AX76" s="30"/>
      <c r="AZ76" s="30">
        <f>+AS74+AZ74</f>
        <v>280894.65782999998</v>
      </c>
      <c r="BD76" s="295"/>
      <c r="BE76" s="304"/>
      <c r="BI76" s="28"/>
      <c r="BK76" s="323"/>
      <c r="BL76" s="575"/>
      <c r="BM76" s="12"/>
      <c r="BN76" s="290"/>
      <c r="BP76" s="52"/>
      <c r="BQ76" s="50"/>
      <c r="BR76" s="52"/>
      <c r="BS76" s="52"/>
      <c r="BT76" s="50"/>
      <c r="BU76" s="258"/>
      <c r="BV76" s="258"/>
      <c r="BW76" s="39"/>
      <c r="BY76" s="39">
        <f t="shared" si="72"/>
        <v>0</v>
      </c>
      <c r="BZ76" s="51" t="e">
        <f t="shared" si="73"/>
        <v>#DIV/0!</v>
      </c>
      <c r="CB76" s="39"/>
    </row>
    <row r="77" spans="1:80" s="13" customFormat="1" ht="18" customHeight="1">
      <c r="A77" s="64"/>
      <c r="B77" s="326"/>
      <c r="C77" s="326"/>
      <c r="D77" s="326"/>
      <c r="E77" s="355"/>
      <c r="F77" s="10"/>
      <c r="G77" s="10"/>
      <c r="H77" s="14"/>
      <c r="I77" s="10"/>
      <c r="J77" s="10"/>
      <c r="K77" s="14"/>
      <c r="L77" s="10"/>
      <c r="M77" s="10"/>
      <c r="N77" s="14"/>
      <c r="O77" s="10"/>
      <c r="P77" s="12"/>
      <c r="Q77" s="36"/>
      <c r="R77" s="52"/>
      <c r="S77" s="52"/>
      <c r="T77" s="58"/>
      <c r="U77" s="52"/>
      <c r="V77" s="52"/>
      <c r="W77" s="58"/>
      <c r="X77" s="52"/>
      <c r="Y77" s="39"/>
      <c r="Z77" s="58"/>
      <c r="AA77" s="52"/>
      <c r="AC77" s="28"/>
      <c r="AD77" s="52"/>
      <c r="AE77" s="180"/>
      <c r="AF77" s="163"/>
      <c r="AG77" s="163"/>
      <c r="AH77" s="163"/>
      <c r="AI77" s="163"/>
      <c r="AM77" s="84"/>
      <c r="AN77" s="172"/>
      <c r="AO77" s="97"/>
      <c r="AP77" s="12"/>
      <c r="AQ77" s="12"/>
      <c r="AR77" s="12"/>
      <c r="AS77" s="52"/>
      <c r="AT77" s="52"/>
      <c r="AU77" s="30"/>
      <c r="AV77" s="97"/>
      <c r="AW77" s="136"/>
      <c r="BD77" s="295"/>
      <c r="BE77" s="304"/>
      <c r="BI77" s="28"/>
      <c r="BK77" s="323"/>
      <c r="BL77" s="575"/>
      <c r="BM77" s="12"/>
      <c r="BN77" s="290"/>
      <c r="BP77" s="52"/>
      <c r="BQ77" s="50"/>
      <c r="BR77" s="52"/>
      <c r="BS77" s="52"/>
      <c r="BT77" s="50"/>
      <c r="BU77" s="258"/>
      <c r="BV77" s="258"/>
      <c r="BW77" s="39"/>
      <c r="BX77" s="12"/>
      <c r="BY77" s="39">
        <f t="shared" si="72"/>
        <v>0</v>
      </c>
      <c r="BZ77" s="51" t="e">
        <f t="shared" si="73"/>
        <v>#DIV/0!</v>
      </c>
      <c r="CB77" s="39"/>
    </row>
    <row r="78" spans="1:80" s="13" customFormat="1" ht="18" customHeight="1">
      <c r="A78" s="73" t="s">
        <v>82</v>
      </c>
      <c r="B78" s="326"/>
      <c r="C78" s="326"/>
      <c r="D78" s="326"/>
      <c r="E78" s="355"/>
      <c r="F78" s="10"/>
      <c r="G78" s="10"/>
      <c r="H78" s="14"/>
      <c r="I78" s="10"/>
      <c r="J78" s="10"/>
      <c r="K78" s="14"/>
      <c r="L78" s="10"/>
      <c r="M78" s="10"/>
      <c r="N78" s="14"/>
      <c r="O78" s="10"/>
      <c r="P78" s="12"/>
      <c r="Q78" s="36"/>
      <c r="R78" s="52"/>
      <c r="S78" s="52"/>
      <c r="T78" s="58"/>
      <c r="U78" s="52"/>
      <c r="V78" s="52"/>
      <c r="W78" s="58"/>
      <c r="X78" s="52"/>
      <c r="AA78" s="52"/>
      <c r="AC78" s="28"/>
      <c r="AD78" s="52"/>
      <c r="AE78" s="180"/>
      <c r="AF78" s="163"/>
      <c r="AG78" s="163"/>
      <c r="AH78" s="163"/>
      <c r="AI78" s="163"/>
      <c r="AM78" s="84"/>
      <c r="AN78" s="172"/>
      <c r="AO78" s="97"/>
      <c r="AP78" s="12"/>
      <c r="AQ78" s="12"/>
      <c r="AR78" s="12"/>
      <c r="AS78" s="52"/>
      <c r="AT78" s="52"/>
      <c r="AU78" s="30"/>
      <c r="AV78" s="97"/>
      <c r="AW78" s="136"/>
      <c r="BD78" s="295"/>
      <c r="BE78" s="304"/>
      <c r="BI78" s="28"/>
      <c r="BK78" s="323"/>
      <c r="BL78" s="575"/>
      <c r="BM78" s="12"/>
      <c r="BN78" s="290"/>
      <c r="BP78" s="52"/>
      <c r="BQ78" s="50"/>
      <c r="BR78" s="52"/>
      <c r="BS78" s="52"/>
      <c r="BT78" s="50"/>
      <c r="BU78" s="258"/>
      <c r="BV78" s="258"/>
      <c r="BW78" s="39"/>
      <c r="BY78" s="39">
        <f t="shared" si="72"/>
        <v>0</v>
      </c>
      <c r="BZ78" s="51" t="e">
        <f t="shared" si="73"/>
        <v>#DIV/0!</v>
      </c>
      <c r="CB78" s="39"/>
    </row>
    <row r="79" spans="1:80" s="13" customFormat="1" ht="18" customHeight="1">
      <c r="A79" s="73" t="s">
        <v>170</v>
      </c>
      <c r="B79" s="326"/>
      <c r="C79" s="326"/>
      <c r="D79" s="326"/>
      <c r="E79" s="355"/>
      <c r="F79" s="10"/>
      <c r="G79" s="10"/>
      <c r="H79" s="14"/>
      <c r="I79" s="10"/>
      <c r="J79" s="10"/>
      <c r="K79" s="14"/>
      <c r="L79" s="10"/>
      <c r="M79" s="10"/>
      <c r="N79" s="14"/>
      <c r="O79" s="10"/>
      <c r="P79" s="12"/>
      <c r="Q79" s="36"/>
      <c r="R79" s="52"/>
      <c r="S79" s="52"/>
      <c r="T79" s="58"/>
      <c r="U79" s="52"/>
      <c r="V79" s="52"/>
      <c r="W79" s="58"/>
      <c r="X79" s="52"/>
      <c r="AA79" s="52"/>
      <c r="AC79" s="28"/>
      <c r="AD79" s="52"/>
      <c r="AE79" s="180"/>
      <c r="AF79" s="163"/>
      <c r="AG79" s="163"/>
      <c r="AH79" s="163"/>
      <c r="AI79" s="163"/>
      <c r="AM79" s="84"/>
      <c r="AN79" s="172"/>
      <c r="AO79" s="97"/>
      <c r="AP79" s="12"/>
      <c r="AQ79" s="12"/>
      <c r="AR79" s="12"/>
      <c r="AS79" s="52"/>
      <c r="AT79" s="52"/>
      <c r="AU79" s="30"/>
      <c r="AV79" s="97"/>
      <c r="AW79" s="136"/>
      <c r="BD79" s="295"/>
      <c r="BE79" s="304"/>
      <c r="BI79" s="28"/>
      <c r="BK79" s="323"/>
      <c r="BL79" s="575"/>
      <c r="BM79" s="12"/>
      <c r="BN79" s="290"/>
      <c r="BP79" s="52"/>
      <c r="BQ79" s="50"/>
      <c r="BR79" s="52"/>
      <c r="BS79" s="52"/>
      <c r="BT79" s="50"/>
      <c r="BU79" s="258"/>
      <c r="BV79" s="258"/>
      <c r="BW79" s="39"/>
      <c r="BY79" s="39">
        <f t="shared" si="72"/>
        <v>0</v>
      </c>
      <c r="BZ79" s="51" t="e">
        <f t="shared" si="73"/>
        <v>#DIV/0!</v>
      </c>
      <c r="CB79" s="39"/>
    </row>
    <row r="80" spans="1:80" s="13" customFormat="1" ht="18" customHeight="1">
      <c r="A80" s="73" t="s">
        <v>171</v>
      </c>
      <c r="B80" s="326"/>
      <c r="C80" s="326"/>
      <c r="D80" s="326"/>
      <c r="E80" s="355"/>
      <c r="F80" s="10"/>
      <c r="G80" s="10"/>
      <c r="H80" s="14"/>
      <c r="I80" s="10"/>
      <c r="J80" s="10"/>
      <c r="K80" s="14"/>
      <c r="L80" s="10"/>
      <c r="M80" s="10"/>
      <c r="N80" s="14"/>
      <c r="O80" s="10"/>
      <c r="P80" s="12"/>
      <c r="Q80" s="36"/>
      <c r="R80" s="52"/>
      <c r="S80" s="52"/>
      <c r="T80" s="58"/>
      <c r="U80" s="52"/>
      <c r="V80" s="52"/>
      <c r="W80" s="58"/>
      <c r="X80" s="52"/>
      <c r="AA80" s="52"/>
      <c r="AC80" s="28"/>
      <c r="AD80" s="52"/>
      <c r="AE80" s="180"/>
      <c r="AF80" s="163"/>
      <c r="AG80" s="163"/>
      <c r="AH80" s="163"/>
      <c r="AI80" s="163"/>
      <c r="AM80" s="84"/>
      <c r="AN80" s="172"/>
      <c r="AO80" s="97"/>
      <c r="AP80" s="12"/>
      <c r="AQ80" s="12"/>
      <c r="AR80" s="12"/>
      <c r="AS80" s="52"/>
      <c r="AT80" s="52"/>
      <c r="AU80" s="30"/>
      <c r="AV80" s="97"/>
      <c r="AW80" s="136"/>
      <c r="BD80" s="295"/>
      <c r="BE80" s="304"/>
      <c r="BI80" s="28"/>
      <c r="BK80" s="323"/>
      <c r="BL80" s="575"/>
      <c r="BM80" s="12"/>
      <c r="BN80" s="290"/>
      <c r="BP80" s="52"/>
      <c r="BQ80" s="50"/>
      <c r="BR80" s="52"/>
      <c r="BS80" s="52"/>
      <c r="BT80" s="50"/>
      <c r="BU80" s="258"/>
      <c r="BV80" s="258"/>
      <c r="BW80" s="39"/>
      <c r="BY80" s="39">
        <f t="shared" si="72"/>
        <v>0</v>
      </c>
      <c r="BZ80" s="51" t="e">
        <f t="shared" si="73"/>
        <v>#DIV/0!</v>
      </c>
      <c r="CB80" s="39"/>
    </row>
    <row r="81" spans="1:80" s="13" customFormat="1" ht="18" customHeight="1">
      <c r="A81" s="73" t="s">
        <v>172</v>
      </c>
      <c r="B81" s="326"/>
      <c r="C81" s="326"/>
      <c r="D81" s="326"/>
      <c r="E81" s="355"/>
      <c r="F81" s="10"/>
      <c r="G81" s="10"/>
      <c r="H81" s="14"/>
      <c r="I81" s="10"/>
      <c r="J81" s="10"/>
      <c r="K81" s="14"/>
      <c r="L81" s="10"/>
      <c r="M81" s="10"/>
      <c r="N81" s="14"/>
      <c r="O81" s="10"/>
      <c r="P81" s="12"/>
      <c r="Q81" s="36"/>
      <c r="R81" s="52"/>
      <c r="S81" s="52"/>
      <c r="T81" s="58"/>
      <c r="U81" s="52"/>
      <c r="V81" s="52"/>
      <c r="W81" s="58"/>
      <c r="X81" s="52"/>
      <c r="AA81" s="52"/>
      <c r="AC81" s="28"/>
      <c r="AD81" s="52"/>
      <c r="AE81" s="180"/>
      <c r="AF81" s="163"/>
      <c r="AG81" s="163"/>
      <c r="AH81" s="163"/>
      <c r="AI81" s="163"/>
      <c r="AM81" s="84"/>
      <c r="AN81" s="172"/>
      <c r="AO81" s="97"/>
      <c r="AP81" s="12"/>
      <c r="AQ81" s="12"/>
      <c r="AR81" s="12"/>
      <c r="AS81" s="52"/>
      <c r="AT81" s="52"/>
      <c r="AU81" s="30"/>
      <c r="AV81" s="97"/>
      <c r="AW81" s="136"/>
      <c r="BD81" s="295"/>
      <c r="BE81" s="304"/>
      <c r="BI81" s="28"/>
      <c r="BK81" s="323"/>
      <c r="BL81" s="575"/>
      <c r="BM81" s="12"/>
      <c r="BN81" s="290"/>
      <c r="BP81" s="52"/>
      <c r="BQ81" s="50"/>
      <c r="BR81" s="52"/>
      <c r="BS81" s="52"/>
      <c r="BT81" s="50"/>
      <c r="BU81" s="258"/>
      <c r="BV81" s="258"/>
      <c r="BW81" s="39"/>
      <c r="BY81" s="39">
        <f t="shared" si="72"/>
        <v>0</v>
      </c>
      <c r="BZ81" s="51" t="e">
        <f t="shared" si="73"/>
        <v>#DIV/0!</v>
      </c>
      <c r="CB81" s="39"/>
    </row>
    <row r="82" spans="1:80" s="13" customFormat="1" ht="18" customHeight="1">
      <c r="A82" s="73" t="s">
        <v>169</v>
      </c>
      <c r="B82" s="326"/>
      <c r="C82" s="326"/>
      <c r="D82" s="326"/>
      <c r="E82" s="355"/>
      <c r="F82" s="10"/>
      <c r="G82" s="10"/>
      <c r="H82" s="14"/>
      <c r="I82" s="10"/>
      <c r="J82" s="10"/>
      <c r="K82" s="14"/>
      <c r="L82" s="10"/>
      <c r="M82" s="10"/>
      <c r="N82" s="14"/>
      <c r="O82" s="10"/>
      <c r="P82" s="12"/>
      <c r="Q82" s="36"/>
      <c r="R82" s="52"/>
      <c r="S82" s="52"/>
      <c r="T82" s="58"/>
      <c r="U82" s="52"/>
      <c r="V82" s="52"/>
      <c r="W82" s="58"/>
      <c r="X82" s="52"/>
      <c r="AA82" s="52"/>
      <c r="AC82" s="28"/>
      <c r="AD82" s="52"/>
      <c r="AE82" s="180"/>
      <c r="AF82" s="163"/>
      <c r="AG82" s="163"/>
      <c r="AH82" s="163"/>
      <c r="AI82" s="163"/>
      <c r="AM82" s="84"/>
      <c r="AN82" s="172"/>
      <c r="AO82" s="97"/>
      <c r="AP82" s="12"/>
      <c r="AQ82" s="12"/>
      <c r="AR82" s="12"/>
      <c r="AS82" s="52"/>
      <c r="AT82" s="52"/>
      <c r="AU82" s="30"/>
      <c r="AV82" s="97"/>
      <c r="AW82" s="136"/>
      <c r="BD82" s="295"/>
      <c r="BE82" s="304"/>
      <c r="BI82" s="28"/>
      <c r="BK82" s="323"/>
      <c r="BL82" s="575"/>
      <c r="BM82" s="12"/>
      <c r="BN82" s="290"/>
      <c r="BP82" s="52"/>
      <c r="BQ82" s="50"/>
      <c r="BR82" s="52"/>
      <c r="BS82" s="52"/>
      <c r="BT82" s="50"/>
      <c r="BU82" s="258"/>
      <c r="BV82" s="258"/>
      <c r="BW82" s="39"/>
      <c r="BY82" s="39">
        <f t="shared" si="72"/>
        <v>0</v>
      </c>
      <c r="BZ82" s="51" t="e">
        <f t="shared" si="73"/>
        <v>#DIV/0!</v>
      </c>
      <c r="CB82" s="39"/>
    </row>
    <row r="83" spans="1:80" ht="18" customHeight="1">
      <c r="A83" s="73"/>
      <c r="B83" s="326"/>
      <c r="C83" s="326"/>
      <c r="D83" s="326"/>
      <c r="E83" s="355"/>
      <c r="F83" s="10"/>
      <c r="G83" s="10"/>
      <c r="H83" s="14"/>
      <c r="I83" s="10"/>
      <c r="J83" s="10"/>
      <c r="K83" s="14"/>
      <c r="L83" s="10"/>
      <c r="M83" s="10"/>
      <c r="N83" s="14"/>
      <c r="O83" s="10"/>
      <c r="P83" s="63"/>
      <c r="Q83" s="72"/>
      <c r="R83" s="52"/>
      <c r="S83" s="52"/>
      <c r="T83" s="58"/>
      <c r="U83" s="52"/>
      <c r="V83" s="52"/>
      <c r="W83" s="58"/>
      <c r="X83" s="52"/>
      <c r="AA83" s="52"/>
      <c r="AD83" s="52"/>
      <c r="AI83" s="157"/>
      <c r="AM83" s="84"/>
      <c r="AN83" s="172"/>
      <c r="BD83" s="292"/>
      <c r="BI83" s="65"/>
      <c r="BL83" s="575"/>
      <c r="BM83" s="12"/>
      <c r="BN83" s="51"/>
      <c r="BP83" s="52"/>
      <c r="BR83" s="52"/>
      <c r="BS83" s="52"/>
      <c r="BW83" s="39"/>
      <c r="BY83" s="39">
        <f t="shared" si="72"/>
        <v>0</v>
      </c>
      <c r="BZ83" s="51" t="e">
        <f t="shared" si="73"/>
        <v>#DIV/0!</v>
      </c>
      <c r="CB83" s="39"/>
    </row>
    <row r="84" spans="1:80" s="109" customFormat="1" ht="18" customHeight="1">
      <c r="A84" s="116" t="s">
        <v>57</v>
      </c>
      <c r="B84" s="358"/>
      <c r="C84" s="358"/>
      <c r="D84" s="358"/>
      <c r="E84" s="361"/>
      <c r="F84" s="362"/>
      <c r="G84" s="362"/>
      <c r="H84" s="364"/>
      <c r="I84" s="362"/>
      <c r="J84" s="362"/>
      <c r="K84" s="364"/>
      <c r="L84" s="362"/>
      <c r="M84" s="362"/>
      <c r="N84" s="364"/>
      <c r="O84" s="362"/>
      <c r="P84" s="105"/>
      <c r="Q84" s="117"/>
      <c r="R84" s="107"/>
      <c r="S84" s="107"/>
      <c r="T84" s="125"/>
      <c r="U84" s="107"/>
      <c r="V84" s="107"/>
      <c r="W84" s="125"/>
      <c r="X84" s="107"/>
      <c r="AA84" s="107"/>
      <c r="AC84" s="110"/>
      <c r="AD84" s="107"/>
      <c r="AE84" s="175"/>
      <c r="AF84" s="158"/>
      <c r="AG84" s="158"/>
      <c r="AH84" s="158"/>
      <c r="AI84" s="158"/>
      <c r="AM84" s="123"/>
      <c r="AN84" s="170"/>
      <c r="AO84" s="113"/>
      <c r="AP84" s="107"/>
      <c r="AQ84" s="107"/>
      <c r="AR84" s="107"/>
      <c r="AS84" s="107"/>
      <c r="AT84" s="107"/>
      <c r="AU84" s="200"/>
      <c r="AV84" s="114"/>
      <c r="AW84" s="107"/>
      <c r="BD84" s="293"/>
      <c r="BE84" s="302"/>
      <c r="BI84" s="110"/>
      <c r="BK84" s="320"/>
      <c r="BL84" s="580"/>
      <c r="BM84" s="132"/>
      <c r="BN84" s="108"/>
      <c r="BP84" s="107"/>
      <c r="BR84" s="107"/>
      <c r="BS84" s="107"/>
      <c r="BU84" s="107"/>
      <c r="BV84" s="107"/>
      <c r="BW84" s="562"/>
      <c r="BY84" s="39">
        <f t="shared" si="72"/>
        <v>0</v>
      </c>
      <c r="BZ84" s="51" t="e">
        <f t="shared" si="73"/>
        <v>#DIV/0!</v>
      </c>
      <c r="CB84" s="39"/>
    </row>
    <row r="85" spans="1:80" ht="18" customHeight="1">
      <c r="A85" s="57" t="s">
        <v>9</v>
      </c>
      <c r="B85" s="326">
        <f>'FY 2013 by Agency'!B85*Inflator!$E$2</f>
        <v>409728.61802232859</v>
      </c>
      <c r="C85" s="326">
        <f>'FY 2013 by Agency'!C85*Inflator!$E$3</f>
        <v>414559.93894899538</v>
      </c>
      <c r="D85" s="326">
        <f t="shared" si="78"/>
        <v>4831.3209266667836</v>
      </c>
      <c r="E85" s="355">
        <f t="shared" si="79"/>
        <v>1.179151446629851E-2</v>
      </c>
      <c r="F85" s="10">
        <f>'FY 2013 by Agency'!F85*Inflator!$E$4</f>
        <v>417499.98477350589</v>
      </c>
      <c r="G85" s="10">
        <f t="shared" si="80"/>
        <v>2940.045824510511</v>
      </c>
      <c r="H85" s="14">
        <f t="shared" si="81"/>
        <v>7.091968008206973E-3</v>
      </c>
      <c r="I85" s="10">
        <f>'FY 2013 by Agency'!I85*Inflator!$E$5</f>
        <v>430196.40386760887</v>
      </c>
      <c r="J85" s="10">
        <f t="shared" si="82"/>
        <v>12696.419094102981</v>
      </c>
      <c r="K85" s="14">
        <f t="shared" si="83"/>
        <v>3.0410585765627753E-2</v>
      </c>
      <c r="L85" s="10">
        <f>'FY 2013 by Agency'!L85*Inflator!$E$6</f>
        <v>447915.93602326419</v>
      </c>
      <c r="M85" s="10">
        <f t="shared" si="84"/>
        <v>17719.532155655324</v>
      </c>
      <c r="N85" s="14">
        <f t="shared" si="85"/>
        <v>4.1189400925602429E-2</v>
      </c>
      <c r="O85" s="10">
        <f>'FY 2013 by Agency'!O85*Inflator!$E$7</f>
        <v>451933.99999999994</v>
      </c>
      <c r="P85" s="52">
        <f>O85-L85</f>
        <v>4018.0639767357497</v>
      </c>
      <c r="Q85" s="58">
        <f t="shared" ref="Q85:Q101" si="89">P85/L85</f>
        <v>8.970576069271749E-3</v>
      </c>
      <c r="R85" s="52">
        <f>'FY 2013 by Agency'!R85*Inflator!$E$8</f>
        <v>497772.39714867616</v>
      </c>
      <c r="S85" s="52">
        <f t="shared" ref="S85:S109" si="90">R85-O85</f>
        <v>45838.397148676217</v>
      </c>
      <c r="T85" s="58">
        <f t="shared" ref="T85:T97" si="91">S85/O85</f>
        <v>0.10142719323767679</v>
      </c>
      <c r="U85" s="52">
        <f>'FY 2013 by Agency'!U85*Inflator!$E$9</f>
        <v>500350.99336870026</v>
      </c>
      <c r="V85" s="52">
        <f>U85-R85</f>
        <v>2578.5962200241047</v>
      </c>
      <c r="W85" s="58">
        <f>V85/R85</f>
        <v>5.1802716156917027E-3</v>
      </c>
      <c r="X85" s="52">
        <f>'FY 2013 by Agency'!X85*Inflator!$E$10</f>
        <v>521816.90758971107</v>
      </c>
      <c r="Y85" s="39">
        <f>X85-U85</f>
        <v>21465.914221010811</v>
      </c>
      <c r="Z85" s="58">
        <f t="shared" ref="Z85:Z97" si="92">Y85/U85</f>
        <v>4.2901712009179402E-2</v>
      </c>
      <c r="AA85" s="52">
        <f>'FY 2013 by Agency'!AA85*Inflator!$E$11</f>
        <v>514105.81713921641</v>
      </c>
      <c r="AB85" s="39">
        <f t="shared" ref="AB85:AB109" si="93">AA85-X85</f>
        <v>-7711.0904504946666</v>
      </c>
      <c r="AC85" s="58">
        <f t="shared" ref="AC85:AC104" si="94">AB85/X85</f>
        <v>-1.4777387122453427E-2</v>
      </c>
      <c r="AD85" s="52" t="e">
        <f>'FY 2013 by Agency'!AD85*Inflator!#REF!</f>
        <v>#REF!</v>
      </c>
      <c r="AE85" s="52">
        <f>'FY 2013 by Agency'!AE85*Inflator!$B$8</f>
        <v>0</v>
      </c>
      <c r="AF85" s="52">
        <f>'FY 2013 by Agency'!AF85*Inflator!$E$12</f>
        <v>488106.94486215542</v>
      </c>
      <c r="AG85" s="52">
        <f t="shared" ref="AG85:AG109" si="95">AF85-AA85</f>
        <v>-25998.872277060989</v>
      </c>
      <c r="AH85" s="58">
        <f t="shared" ref="AH85:AH109" si="96">AG85/AA85</f>
        <v>-5.0571052515479845E-2</v>
      </c>
      <c r="AI85" s="52">
        <f>'FY 2013 by Agency'!AI85*Inflator!$B$8</f>
        <v>0</v>
      </c>
      <c r="AJ85" s="52">
        <f>'FY 2013 by Agency'!AJ85*Inflator!$B$8</f>
        <v>0</v>
      </c>
      <c r="AK85" s="52">
        <f>'FY 2013 by Agency'!AK85</f>
        <v>452401</v>
      </c>
      <c r="AL85" s="52">
        <f>'FY 2013 by Agency'!AL85</f>
        <v>0</v>
      </c>
      <c r="AM85" s="52">
        <f>'FY 2013 by Agency'!AM85</f>
        <v>452401</v>
      </c>
      <c r="AN85" s="52">
        <f>'FY 2013 by Agency'!AN85</f>
        <v>413648</v>
      </c>
      <c r="AO85" s="52">
        <f>'FY 2013 by Agency'!AO85</f>
        <v>449518</v>
      </c>
      <c r="AP85" s="52">
        <f>'FY 2013 by Agency'!AP85</f>
        <v>19429</v>
      </c>
      <c r="AQ85" s="52">
        <f>'FY 2013 by Agency'!AQ85</f>
        <v>381</v>
      </c>
      <c r="AR85" s="52">
        <f>'FY 2013 by Agency'!AR85</f>
        <v>19810</v>
      </c>
      <c r="AS85" s="52">
        <f>'FY 2013 by Agency'!AS85</f>
        <v>462302.49015000003</v>
      </c>
      <c r="AT85" s="52" t="e">
        <f t="shared" ref="AT85:AT109" si="97">AR85-AD85</f>
        <v>#REF!</v>
      </c>
      <c r="AU85" s="58" t="e">
        <f t="shared" ref="AU85:AU108" si="98">AT85/AD85</f>
        <v>#REF!</v>
      </c>
      <c r="AV85" s="52">
        <f t="shared" ref="AV85:AV109" si="99">AS85-AF85</f>
        <v>-25804.454712155391</v>
      </c>
      <c r="AW85" s="58">
        <f t="shared" ref="AW85:AW109" si="100">AV85/AF85</f>
        <v>-5.2866395333593823E-2</v>
      </c>
      <c r="AX85" s="284" t="s">
        <v>279</v>
      </c>
      <c r="AY85" s="282">
        <v>448718.28500000003</v>
      </c>
      <c r="AZ85" s="282">
        <f t="shared" ref="AZ85:AZ105" si="101">+AY85-AO85</f>
        <v>-799.7149999999674</v>
      </c>
      <c r="BA85" s="282">
        <f t="shared" ref="BA85:BA105" si="102">+AZ85+AV85</f>
        <v>-26604.169712155359</v>
      </c>
      <c r="BB85" s="282">
        <f t="shared" ref="BB85:BB105" si="103">+AZ85+AS85</f>
        <v>461502.77515000006</v>
      </c>
      <c r="BC85" s="58">
        <f t="shared" ref="BC85:BC105" si="104">+BB85/AF85-1</f>
        <v>-5.4504796525008614E-2</v>
      </c>
      <c r="BD85" s="294">
        <v>3399.1379999999999</v>
      </c>
      <c r="BE85" s="51">
        <f>BD85/AY85</f>
        <v>7.5752161514880088E-3</v>
      </c>
      <c r="BF85" s="50">
        <v>3794</v>
      </c>
      <c r="BH85" s="50">
        <v>4000</v>
      </c>
      <c r="BI85" s="219">
        <v>439277</v>
      </c>
      <c r="BJ85" s="282">
        <f>BI85-AY85</f>
        <v>-9441.2850000000326</v>
      </c>
      <c r="BK85" s="39">
        <f>BI85+AP85+AQ85</f>
        <v>459087</v>
      </c>
      <c r="BL85" s="576">
        <f>'FY 2013 by Agency'!AS85*Inflator!$E$13</f>
        <v>479372.55463219417</v>
      </c>
      <c r="BM85" s="258">
        <f>BL85-AF85</f>
        <v>-8734.3902299612528</v>
      </c>
      <c r="BN85" s="51">
        <f>BM85/AF85</f>
        <v>-1.7894419085612276E-2</v>
      </c>
      <c r="BO85" s="52">
        <f>'FY 2013 by Agency'!AX85*Inflator!$E$13</f>
        <v>463429.33963991463</v>
      </c>
      <c r="BP85" s="52">
        <f t="shared" si="74"/>
        <v>-24677.605222240789</v>
      </c>
      <c r="BQ85" s="51">
        <f t="shared" si="75"/>
        <v>-5.0557783457086246E-2</v>
      </c>
      <c r="BR85" s="52">
        <f>'FY 2013 by Agency'!BE85*Inflator!$E$14</f>
        <v>458129.33830994333</v>
      </c>
      <c r="BS85" s="52">
        <f t="shared" si="76"/>
        <v>-5300.0013299713028</v>
      </c>
      <c r="BT85" s="51">
        <f t="shared" si="77"/>
        <v>-1.1436482062377433E-2</v>
      </c>
      <c r="BU85" s="52">
        <f>'FY 2013 by Agency'!BL85*Inflator!$E$14</f>
        <v>476151.21827411168</v>
      </c>
      <c r="BV85" s="52">
        <f>BU85-BL85</f>
        <v>-3221.3363580824807</v>
      </c>
      <c r="BW85" s="495">
        <v>471523</v>
      </c>
      <c r="BX85" s="39">
        <f>'FY 2013 by Agency'!BV85*Inflator!E15</f>
        <v>496780</v>
      </c>
      <c r="BY85" s="39">
        <f t="shared" si="72"/>
        <v>13393.661690056673</v>
      </c>
      <c r="BZ85" s="51">
        <f t="shared" si="73"/>
        <v>2.923554675512903E-2</v>
      </c>
      <c r="CB85" s="39"/>
    </row>
    <row r="86" spans="1:80" ht="18" customHeight="1">
      <c r="A86" s="57" t="s">
        <v>10</v>
      </c>
      <c r="B86" s="326">
        <f>'FY 2013 by Agency'!B86*Inflator!$E$2</f>
        <v>152903.22567783095</v>
      </c>
      <c r="C86" s="326">
        <f>'FY 2013 by Agency'!C86*Inflator!$E$3</f>
        <v>169658.41112828441</v>
      </c>
      <c r="D86" s="326">
        <f t="shared" si="78"/>
        <v>16755.185450453457</v>
      </c>
      <c r="E86" s="355">
        <f t="shared" si="79"/>
        <v>0.10958032687784394</v>
      </c>
      <c r="F86" s="10">
        <f>'FY 2013 by Agency'!F86*Inflator!$E$4</f>
        <v>167805.83859916255</v>
      </c>
      <c r="G86" s="10">
        <f t="shared" si="80"/>
        <v>-1852.572529121855</v>
      </c>
      <c r="H86" s="14">
        <f t="shared" si="81"/>
        <v>-1.0919426374452269E-2</v>
      </c>
      <c r="I86" s="10">
        <f>'FY 2013 by Agency'!I86*Inflator!$E$5</f>
        <v>171470.73782075124</v>
      </c>
      <c r="J86" s="10">
        <f t="shared" si="82"/>
        <v>3664.8992215886828</v>
      </c>
      <c r="K86" s="14">
        <f t="shared" si="83"/>
        <v>2.1840117436813505E-2</v>
      </c>
      <c r="L86" s="10">
        <f>'FY 2013 by Agency'!L86*Inflator!$E$6</f>
        <v>183429.00545256268</v>
      </c>
      <c r="M86" s="10">
        <f t="shared" si="84"/>
        <v>11958.267631811439</v>
      </c>
      <c r="N86" s="14">
        <f t="shared" si="85"/>
        <v>6.9739407340231666E-2</v>
      </c>
      <c r="O86" s="10">
        <f>'FY 2013 by Agency'!O86*Inflator!$E$7</f>
        <v>178482.9102428722</v>
      </c>
      <c r="P86" s="52">
        <f t="shared" ref="P86:P104" si="105">O86-L86</f>
        <v>-4946.0952096904803</v>
      </c>
      <c r="Q86" s="58">
        <f t="shared" si="89"/>
        <v>-2.6964629707756933E-2</v>
      </c>
      <c r="R86" s="52">
        <f>'FY 2013 by Agency'!R86*Inflator!$E$8</f>
        <v>181351.23693143245</v>
      </c>
      <c r="S86" s="52">
        <f t="shared" si="90"/>
        <v>2868.3266885602497</v>
      </c>
      <c r="T86" s="58">
        <f t="shared" si="91"/>
        <v>1.6070595692647262E-2</v>
      </c>
      <c r="U86" s="52">
        <f>'FY 2013 by Agency'!U86*Inflator!$E$9</f>
        <v>194658.30570291777</v>
      </c>
      <c r="V86" s="52">
        <f t="shared" ref="V86:V104" si="106">U86-R86</f>
        <v>13307.068771485327</v>
      </c>
      <c r="W86" s="58">
        <f t="shared" ref="W86:W104" si="107">V86/R86</f>
        <v>7.3377325661785425E-2</v>
      </c>
      <c r="X86" s="52">
        <f>'FY 2013 by Agency'!X86*Inflator!$E$10</f>
        <v>203514.19434741189</v>
      </c>
      <c r="Y86" s="39">
        <f t="shared" ref="Y86:Y108" si="108">X86-U86</f>
        <v>8855.8886444941163</v>
      </c>
      <c r="Z86" s="58">
        <f t="shared" si="92"/>
        <v>4.5494532650508804E-2</v>
      </c>
      <c r="AA86" s="52">
        <f>'FY 2013 by Agency'!AA86*Inflator!$E$11</f>
        <v>199494.75055750241</v>
      </c>
      <c r="AB86" s="39">
        <f t="shared" si="93"/>
        <v>-4019.4437899094773</v>
      </c>
      <c r="AC86" s="58">
        <f t="shared" si="94"/>
        <v>-1.9750188937917652E-2</v>
      </c>
      <c r="AD86" s="52" t="e">
        <f>'FY 2013 by Agency'!AD86*Inflator!#REF!</f>
        <v>#REF!</v>
      </c>
      <c r="AE86" s="52">
        <f>'FY 2013 by Agency'!AE86*Inflator!$B$8</f>
        <v>0</v>
      </c>
      <c r="AF86" s="52">
        <f>'FY 2013 by Agency'!AF86*Inflator!$E$12</f>
        <v>207403.61528822058</v>
      </c>
      <c r="AG86" s="52">
        <f t="shared" si="95"/>
        <v>7908.8647307181673</v>
      </c>
      <c r="AH86" s="58">
        <f t="shared" si="96"/>
        <v>3.9644475399058257E-2</v>
      </c>
      <c r="AI86" s="52">
        <f>'FY 2013 by Agency'!AI86*Inflator!$B$8</f>
        <v>0</v>
      </c>
      <c r="AJ86" s="52">
        <f>'FY 2013 by Agency'!AJ86*Inflator!$B$8</f>
        <v>0</v>
      </c>
      <c r="AK86" s="52">
        <f>'FY 2013 by Agency'!AK86</f>
        <v>196834</v>
      </c>
      <c r="AL86" s="52">
        <f>'FY 2013 by Agency'!AL86</f>
        <v>0</v>
      </c>
      <c r="AM86" s="52">
        <f>'FY 2013 by Agency'!AM86</f>
        <v>196834</v>
      </c>
      <c r="AN86" s="52">
        <f>'FY 2013 by Agency'!AN86</f>
        <v>192535</v>
      </c>
      <c r="AO86" s="52">
        <f>'FY 2013 by Agency'!AO86</f>
        <v>194055</v>
      </c>
      <c r="AP86" s="52">
        <f>'FY 2013 by Agency'!AP86</f>
        <v>5393</v>
      </c>
      <c r="AQ86" s="52">
        <f>'FY 2013 by Agency'!AQ86</f>
        <v>240</v>
      </c>
      <c r="AR86" s="52">
        <f>'FY 2013 by Agency'!AR86</f>
        <v>5633</v>
      </c>
      <c r="AS86" s="52">
        <f>'FY 2013 by Agency'!AS86</f>
        <v>199071.45843</v>
      </c>
      <c r="AT86" s="52" t="e">
        <f t="shared" si="97"/>
        <v>#REF!</v>
      </c>
      <c r="AU86" s="58" t="e">
        <f t="shared" si="98"/>
        <v>#REF!</v>
      </c>
      <c r="AV86" s="52">
        <f t="shared" si="99"/>
        <v>-8332.15685822058</v>
      </c>
      <c r="AW86" s="58">
        <f t="shared" si="100"/>
        <v>-4.0173633649739963E-2</v>
      </c>
      <c r="AX86" s="284" t="s">
        <v>280</v>
      </c>
      <c r="AY86" s="282">
        <v>197050.18046999999</v>
      </c>
      <c r="AZ86" s="282">
        <f t="shared" si="101"/>
        <v>2995.1804699999921</v>
      </c>
      <c r="BA86" s="282">
        <f t="shared" si="102"/>
        <v>-5336.976388220588</v>
      </c>
      <c r="BB86" s="282">
        <f t="shared" si="103"/>
        <v>202066.63889999999</v>
      </c>
      <c r="BC86" s="58">
        <f t="shared" si="104"/>
        <v>-2.5732320918340768E-2</v>
      </c>
      <c r="BD86" s="294">
        <v>1970.6990000000001</v>
      </c>
      <c r="BE86" s="51">
        <f t="shared" ref="BE86:BE104" si="109">BD86/AY86</f>
        <v>1.0001000736459768E-2</v>
      </c>
      <c r="BF86" s="50">
        <v>657</v>
      </c>
      <c r="BI86" s="65">
        <v>196615</v>
      </c>
      <c r="BJ86" s="282">
        <f t="shared" ref="BJ86:BJ109" si="110">BI86-AY86</f>
        <v>-435.18046999999206</v>
      </c>
      <c r="BK86" s="39">
        <f t="shared" ref="BK86:BK108" si="111">BI86+AP86+AQ86</f>
        <v>202248</v>
      </c>
      <c r="BL86" s="576">
        <f>'FY 2013 by Agency'!AS86*Inflator!$E$13</f>
        <v>206421.97611996951</v>
      </c>
      <c r="BM86" s="258">
        <f t="shared" ref="BM86:BM109" si="112">BL86-AF86</f>
        <v>-981.63916825107299</v>
      </c>
      <c r="BN86" s="51">
        <f t="shared" ref="BN86:BN109" si="113">BM86/AF86</f>
        <v>-4.7329896679328756E-3</v>
      </c>
      <c r="BO86" s="52">
        <f>'FY 2013 by Agency'!AX86*Inflator!$E$13</f>
        <v>203874.81537992071</v>
      </c>
      <c r="BP86" s="52">
        <f t="shared" si="74"/>
        <v>-3528.7999082998722</v>
      </c>
      <c r="BQ86" s="51">
        <f t="shared" si="75"/>
        <v>-1.7014167778107624E-2</v>
      </c>
      <c r="BR86" s="52">
        <f>'FY 2013 by Agency'!BE86*Inflator!$E$14</f>
        <v>197773.9492385787</v>
      </c>
      <c r="BS86" s="52">
        <f t="shared" si="76"/>
        <v>-6100.866141342005</v>
      </c>
      <c r="BT86" s="51">
        <f t="shared" si="77"/>
        <v>-2.9924569790403199E-2</v>
      </c>
      <c r="BU86" s="52">
        <f>'FY 2013 by Agency'!BL86*Inflator!$E$14</f>
        <v>203997.69722305168</v>
      </c>
      <c r="BV86" s="52">
        <f t="shared" ref="BV86:BV109" si="114">BU86-BL86</f>
        <v>-2424.2788969178218</v>
      </c>
      <c r="BW86" s="495">
        <v>200729</v>
      </c>
      <c r="BX86" s="39">
        <f>'FY 2013 by Agency'!BV86*Inflator!E15</f>
        <v>208768</v>
      </c>
      <c r="BY86" s="39">
        <f t="shared" si="72"/>
        <v>2955.0507614212984</v>
      </c>
      <c r="BZ86" s="51">
        <f t="shared" si="73"/>
        <v>1.4941557130239438E-2</v>
      </c>
      <c r="CB86" s="39"/>
    </row>
    <row r="87" spans="1:80" ht="18" customHeight="1">
      <c r="A87" s="59" t="s">
        <v>11</v>
      </c>
      <c r="B87" s="326">
        <f>'FY 2013 by Agency'!B87*Inflator!$E$2</f>
        <v>54059.090909090912</v>
      </c>
      <c r="C87" s="326">
        <f>'FY 2013 by Agency'!C87*Inflator!$E$3</f>
        <v>64336.166924265846</v>
      </c>
      <c r="D87" s="326">
        <f t="shared" si="78"/>
        <v>10277.076015174935</v>
      </c>
      <c r="E87" s="355">
        <f t="shared" si="79"/>
        <v>0.19010819165378673</v>
      </c>
      <c r="F87" s="10">
        <f>'FY 2013 by Agency'!F87*Inflator!$E$4</f>
        <v>96494.404263418342</v>
      </c>
      <c r="G87" s="10">
        <f t="shared" si="80"/>
        <v>32158.237339152496</v>
      </c>
      <c r="H87" s="14">
        <f t="shared" si="81"/>
        <v>0.4998469581970586</v>
      </c>
      <c r="I87" s="10">
        <f>'FY 2013 by Agency'!I87*Inflator!$E$5</f>
        <v>87066.641874302732</v>
      </c>
      <c r="J87" s="10">
        <f t="shared" si="82"/>
        <v>-9427.7623891156109</v>
      </c>
      <c r="K87" s="14">
        <f t="shared" si="83"/>
        <v>-9.770268505289624E-2</v>
      </c>
      <c r="L87" s="10">
        <f>'FY 2013 by Agency'!L87*Inflator!$E$6</f>
        <v>119442.60268993092</v>
      </c>
      <c r="M87" s="10">
        <f t="shared" si="84"/>
        <v>32375.96081562819</v>
      </c>
      <c r="N87" s="14">
        <f t="shared" si="85"/>
        <v>0.3718526420528433</v>
      </c>
      <c r="O87" s="10">
        <f>'FY 2013 by Agency'!O87*Inflator!$E$7</f>
        <v>134078.07110172472</v>
      </c>
      <c r="P87" s="52">
        <f t="shared" si="105"/>
        <v>14635.468411793801</v>
      </c>
      <c r="Q87" s="58">
        <f t="shared" si="89"/>
        <v>0.1225313923356727</v>
      </c>
      <c r="R87" s="52">
        <f>'FY 2013 by Agency'!R87*Inflator!$E$8</f>
        <v>135527.83435166327</v>
      </c>
      <c r="S87" s="52">
        <f t="shared" si="90"/>
        <v>1449.7632499385509</v>
      </c>
      <c r="T87" s="58">
        <f t="shared" si="91"/>
        <v>1.0812828958723748E-2</v>
      </c>
      <c r="U87" s="52">
        <f>'FY 2013 by Agency'!U87*Inflator!$E$9</f>
        <v>157844.76127320953</v>
      </c>
      <c r="V87" s="52">
        <f t="shared" si="106"/>
        <v>22316.926921546255</v>
      </c>
      <c r="W87" s="58">
        <f t="shared" si="107"/>
        <v>0.16466674191545783</v>
      </c>
      <c r="X87" s="52">
        <f>'FY 2013 by Agency'!X87*Inflator!$E$10</f>
        <v>147832.96284534773</v>
      </c>
      <c r="Y87" s="39">
        <f t="shared" si="108"/>
        <v>-10011.798427861795</v>
      </c>
      <c r="Z87" s="58">
        <f t="shared" si="92"/>
        <v>-6.3428132470818119E-2</v>
      </c>
      <c r="AA87" s="52">
        <f>'FY 2013 by Agency'!AA87*Inflator!$E$11</f>
        <v>120050.39821599238</v>
      </c>
      <c r="AB87" s="39">
        <f t="shared" si="93"/>
        <v>-27782.564629355358</v>
      </c>
      <c r="AC87" s="58">
        <f t="shared" si="94"/>
        <v>-0.18793213701885614</v>
      </c>
      <c r="AD87" s="52" t="e">
        <f>'FY 2013 by Agency'!AD87*Inflator!#REF!</f>
        <v>#REF!</v>
      </c>
      <c r="AE87" s="52">
        <f>'FY 2013 by Agency'!AE87*Inflator!$B$8</f>
        <v>0</v>
      </c>
      <c r="AF87" s="52">
        <f>'FY 2013 by Agency'!AF87*Inflator!$E$12</f>
        <v>140838.15789473685</v>
      </c>
      <c r="AG87" s="52">
        <f t="shared" si="95"/>
        <v>20787.759678744478</v>
      </c>
      <c r="AH87" s="58">
        <f t="shared" si="96"/>
        <v>0.17315860661572766</v>
      </c>
      <c r="AI87" s="52">
        <f>'FY 2013 by Agency'!AI87*Inflator!$B$8</f>
        <v>0</v>
      </c>
      <c r="AJ87" s="52">
        <f>'FY 2013 by Agency'!AJ87*Inflator!$B$8</f>
        <v>0</v>
      </c>
      <c r="AK87" s="52">
        <f>'FY 2013 by Agency'!AK87</f>
        <v>127200</v>
      </c>
      <c r="AL87" s="52">
        <f>'FY 2013 by Agency'!AL87</f>
        <v>375</v>
      </c>
      <c r="AM87" s="52">
        <f>'FY 2013 by Agency'!AM87</f>
        <v>127575</v>
      </c>
      <c r="AN87" s="52">
        <f>'FY 2013 by Agency'!AN87</f>
        <v>127200</v>
      </c>
      <c r="AO87" s="52">
        <f>'FY 2013 by Agency'!AO87</f>
        <v>127200</v>
      </c>
      <c r="AP87" s="52">
        <f>'FY 2013 by Agency'!AP87</f>
        <v>0</v>
      </c>
      <c r="AQ87" s="52">
        <f>'FY 2013 by Agency'!AQ87</f>
        <v>0</v>
      </c>
      <c r="AR87" s="52">
        <f>'FY 2013 by Agency'!AR87</f>
        <v>0</v>
      </c>
      <c r="AS87" s="52">
        <f>'FY 2013 by Agency'!AS87</f>
        <v>127200</v>
      </c>
      <c r="AT87" s="52" t="e">
        <f t="shared" si="97"/>
        <v>#REF!</v>
      </c>
      <c r="AU87" s="58" t="e">
        <f t="shared" si="98"/>
        <v>#REF!</v>
      </c>
      <c r="AV87" s="52">
        <f t="shared" si="99"/>
        <v>-13638.157894736854</v>
      </c>
      <c r="AW87" s="58">
        <f t="shared" si="100"/>
        <v>-9.6835673645561893E-2</v>
      </c>
      <c r="AX87" s="284" t="s">
        <v>281</v>
      </c>
      <c r="AY87" s="282">
        <v>127200</v>
      </c>
      <c r="AZ87" s="282">
        <f t="shared" si="101"/>
        <v>0</v>
      </c>
      <c r="BA87" s="282">
        <f t="shared" si="102"/>
        <v>-13638.157894736854</v>
      </c>
      <c r="BB87" s="282">
        <f t="shared" si="103"/>
        <v>127200</v>
      </c>
      <c r="BC87" s="58">
        <f t="shared" si="104"/>
        <v>-9.6835673645561893E-2</v>
      </c>
      <c r="BD87" s="294">
        <v>0</v>
      </c>
      <c r="BE87" s="51">
        <f t="shared" si="109"/>
        <v>0</v>
      </c>
      <c r="BI87" s="65">
        <v>127200</v>
      </c>
      <c r="BJ87" s="282">
        <f t="shared" si="110"/>
        <v>0</v>
      </c>
      <c r="BK87" s="39">
        <f t="shared" si="111"/>
        <v>127200</v>
      </c>
      <c r="BL87" s="576">
        <f>'FY 2013 by Agency'!AS87*Inflator!$E$13</f>
        <v>131896.73481843152</v>
      </c>
      <c r="BM87" s="258">
        <f t="shared" si="112"/>
        <v>-8941.4230763053347</v>
      </c>
      <c r="BN87" s="51">
        <f t="shared" si="113"/>
        <v>-6.3487219727683453E-2</v>
      </c>
      <c r="BO87" s="52">
        <f>'FY 2013 by Agency'!AX87*Inflator!$E$13</f>
        <v>131896.73481843152</v>
      </c>
      <c r="BP87" s="52">
        <f t="shared" si="74"/>
        <v>-8941.4230763053347</v>
      </c>
      <c r="BQ87" s="51">
        <f t="shared" si="75"/>
        <v>-6.3487219727683453E-2</v>
      </c>
      <c r="BR87" s="52">
        <f>'FY 2013 by Agency'!BE87*Inflator!$E$14</f>
        <v>118407.46491489997</v>
      </c>
      <c r="BS87" s="52">
        <f t="shared" si="76"/>
        <v>-13489.269903531545</v>
      </c>
      <c r="BT87" s="51">
        <f t="shared" si="77"/>
        <v>-0.10227144684135522</v>
      </c>
      <c r="BU87" s="52">
        <f>'FY 2013 by Agency'!BL87*Inflator!$E$14</f>
        <v>118407.46491489997</v>
      </c>
      <c r="BV87" s="52">
        <f t="shared" si="114"/>
        <v>-13489.269903531545</v>
      </c>
      <c r="BW87" s="39">
        <v>96314</v>
      </c>
      <c r="BX87" s="39">
        <f>'FY 2013 by Agency'!BV87*Inflator!E15</f>
        <v>96314</v>
      </c>
      <c r="BY87" s="39">
        <f t="shared" si="72"/>
        <v>-22093.464914899974</v>
      </c>
      <c r="BZ87" s="51">
        <f t="shared" si="73"/>
        <v>-0.18658844635157637</v>
      </c>
      <c r="CB87" s="39"/>
    </row>
    <row r="88" spans="1:80" ht="18" customHeight="1">
      <c r="A88" s="59" t="s">
        <v>12</v>
      </c>
      <c r="B88" s="326">
        <f>'FY 2013 by Agency'!B88*Inflator!$E$2</f>
        <v>334712.48405103671</v>
      </c>
      <c r="C88" s="326">
        <f>'FY 2013 by Agency'!C88*Inflator!$E$3</f>
        <v>278034.6537867079</v>
      </c>
      <c r="D88" s="326">
        <f t="shared" si="78"/>
        <v>-56677.830264328804</v>
      </c>
      <c r="E88" s="355">
        <f t="shared" si="79"/>
        <v>-0.16933288408712777</v>
      </c>
      <c r="F88" s="10">
        <f>'FY 2013 by Agency'!F88*Inflator!$E$4</f>
        <v>126264.09212028931</v>
      </c>
      <c r="G88" s="10">
        <f t="shared" si="80"/>
        <v>-151770.56166641859</v>
      </c>
      <c r="H88" s="14">
        <f t="shared" si="81"/>
        <v>-0.54586922744834598</v>
      </c>
      <c r="I88" s="10">
        <f>'FY 2013 by Agency'!I88*Inflator!$E$5</f>
        <v>129318.60468575681</v>
      </c>
      <c r="J88" s="10">
        <f t="shared" si="82"/>
        <v>3054.5125654675066</v>
      </c>
      <c r="K88" s="14">
        <f t="shared" si="83"/>
        <v>2.4191458665520936E-2</v>
      </c>
      <c r="L88" s="10">
        <f>'FY 2013 by Agency'!L88*Inflator!$E$6</f>
        <v>145182.66884769173</v>
      </c>
      <c r="M88" s="10">
        <f t="shared" si="84"/>
        <v>15864.064161934919</v>
      </c>
      <c r="N88" s="14">
        <f t="shared" si="85"/>
        <v>0.12267426021556967</v>
      </c>
      <c r="O88" s="10">
        <f>'FY 2013 by Agency'!O88*Inflator!$E$7</f>
        <v>147564.81802182327</v>
      </c>
      <c r="P88" s="52">
        <f t="shared" si="105"/>
        <v>2382.1491741315403</v>
      </c>
      <c r="Q88" s="58">
        <f t="shared" si="89"/>
        <v>1.6407944509069509E-2</v>
      </c>
      <c r="R88" s="52">
        <f>'FY 2013 by Agency'!R88*Inflator!$E$8</f>
        <v>155951.59063136455</v>
      </c>
      <c r="S88" s="52">
        <f t="shared" si="90"/>
        <v>8386.77260954128</v>
      </c>
      <c r="T88" s="58">
        <f t="shared" si="91"/>
        <v>5.6834499726763903E-2</v>
      </c>
      <c r="U88" s="52">
        <f>'FY 2013 by Agency'!U88*Inflator!$E$9</f>
        <v>165766.2924403183</v>
      </c>
      <c r="V88" s="52">
        <f t="shared" si="106"/>
        <v>9814.7018089537451</v>
      </c>
      <c r="W88" s="58">
        <f t="shared" si="107"/>
        <v>6.2934284730404272E-2</v>
      </c>
      <c r="X88" s="52">
        <f>'FY 2013 by Agency'!X88*Inflator!$E$10</f>
        <v>164821.88377262626</v>
      </c>
      <c r="Y88" s="39">
        <f t="shared" si="108"/>
        <v>-944.40866769204149</v>
      </c>
      <c r="Z88" s="58">
        <f t="shared" si="92"/>
        <v>-5.6972298396072403E-3</v>
      </c>
      <c r="AA88" s="52">
        <f>'FY 2013 by Agency'!AA88*Inflator!$E$11</f>
        <v>161592.81554635236</v>
      </c>
      <c r="AB88" s="39">
        <f t="shared" si="93"/>
        <v>-3229.0682262738992</v>
      </c>
      <c r="AC88" s="58">
        <f t="shared" si="94"/>
        <v>-1.9591259075332722E-2</v>
      </c>
      <c r="AD88" s="52" t="e">
        <f>'FY 2013 by Agency'!AD88*Inflator!#REF!</f>
        <v>#REF!</v>
      </c>
      <c r="AE88" s="52">
        <f>'FY 2013 by Agency'!AE88*Inflator!$B$8</f>
        <v>0</v>
      </c>
      <c r="AF88" s="52">
        <f>'FY 2013 by Agency'!AF88*Inflator!$E$12</f>
        <v>160296.81766917295</v>
      </c>
      <c r="AG88" s="52">
        <f t="shared" si="95"/>
        <v>-1295.9978771794122</v>
      </c>
      <c r="AH88" s="58">
        <f t="shared" si="96"/>
        <v>-8.0201454055836997E-3</v>
      </c>
      <c r="AI88" s="52">
        <f>'FY 2013 by Agency'!AI88*Inflator!$B$8</f>
        <v>0</v>
      </c>
      <c r="AJ88" s="52">
        <f>'FY 2013 by Agency'!AJ88*Inflator!$B$8</f>
        <v>0</v>
      </c>
      <c r="AK88" s="52">
        <f>'FY 2013 by Agency'!AK88</f>
        <v>116451</v>
      </c>
      <c r="AL88" s="52">
        <f>'FY 2013 by Agency'!AL88</f>
        <v>4900</v>
      </c>
      <c r="AM88" s="52">
        <f>'FY 2013 by Agency'!AM88</f>
        <v>121351</v>
      </c>
      <c r="AN88" s="52">
        <f>'FY 2013 by Agency'!AN88</f>
        <v>100083</v>
      </c>
      <c r="AO88" s="52">
        <f>'FY 2013 by Agency'!AO88</f>
        <v>125628</v>
      </c>
      <c r="AP88" s="52">
        <f>'FY 2013 by Agency'!AP88</f>
        <v>2811</v>
      </c>
      <c r="AQ88" s="52">
        <f>'FY 2013 by Agency'!AQ88</f>
        <v>471</v>
      </c>
      <c r="AR88" s="52">
        <f>'FY 2013 by Agency'!AR88</f>
        <v>3282</v>
      </c>
      <c r="AS88" s="52">
        <f>'FY 2013 by Agency'!AS88</f>
        <v>145604.72744000002</v>
      </c>
      <c r="AT88" s="52" t="e">
        <f t="shared" si="97"/>
        <v>#REF!</v>
      </c>
      <c r="AU88" s="58" t="e">
        <f t="shared" si="98"/>
        <v>#REF!</v>
      </c>
      <c r="AV88" s="52">
        <f t="shared" si="99"/>
        <v>-14692.090229172929</v>
      </c>
      <c r="AW88" s="58">
        <f t="shared" si="100"/>
        <v>-9.1655532797257772E-2</v>
      </c>
      <c r="AX88" s="284" t="s">
        <v>282</v>
      </c>
      <c r="AY88" s="282">
        <v>135633.91337999998</v>
      </c>
      <c r="AZ88" s="282">
        <f t="shared" si="101"/>
        <v>10005.913379999984</v>
      </c>
      <c r="BA88" s="282">
        <f t="shared" si="102"/>
        <v>-4686.1768491729454</v>
      </c>
      <c r="BB88" s="282">
        <f t="shared" si="103"/>
        <v>155610.64082</v>
      </c>
      <c r="BC88" s="58">
        <f t="shared" si="104"/>
        <v>-2.9234372318260649E-2</v>
      </c>
      <c r="BD88" s="294">
        <v>3999.1460000000002</v>
      </c>
      <c r="BE88" s="51">
        <f t="shared" si="109"/>
        <v>2.9484853016042947E-2</v>
      </c>
      <c r="BF88" s="50">
        <v>1642</v>
      </c>
      <c r="BI88" s="219">
        <v>134075</v>
      </c>
      <c r="BJ88" s="282">
        <f t="shared" si="110"/>
        <v>-1558.9133799999836</v>
      </c>
      <c r="BK88" s="39">
        <f t="shared" si="111"/>
        <v>137357</v>
      </c>
      <c r="BL88" s="576">
        <f>'FY 2013 by Agency'!AS88*Inflator!$E$13</f>
        <v>150981.03870647549</v>
      </c>
      <c r="BM88" s="258">
        <f t="shared" si="112"/>
        <v>-9315.7789626974554</v>
      </c>
      <c r="BN88" s="51">
        <f t="shared" si="113"/>
        <v>-5.8115807276497136E-2</v>
      </c>
      <c r="BO88" s="52">
        <f>'FY 2013 by Agency'!AX88*Inflator!$E$13</f>
        <v>145558.2087274947</v>
      </c>
      <c r="BP88" s="52">
        <f t="shared" si="74"/>
        <v>-14738.608941678249</v>
      </c>
      <c r="BQ88" s="51">
        <f t="shared" si="75"/>
        <v>-9.1945736390702318E-2</v>
      </c>
      <c r="BR88" s="52">
        <f>'FY 2013 by Agency'!BE88*Inflator!$E$14</f>
        <v>137574.86354135565</v>
      </c>
      <c r="BS88" s="52">
        <f t="shared" si="76"/>
        <v>-7983.3451861390495</v>
      </c>
      <c r="BT88" s="51">
        <f t="shared" si="77"/>
        <v>-5.4846409940953501E-2</v>
      </c>
      <c r="BU88" s="52">
        <f>'FY 2013 by Agency'!BL88*Inflator!$E$14</f>
        <v>141602.9495371753</v>
      </c>
      <c r="BV88" s="52">
        <f t="shared" si="114"/>
        <v>-9378.0891693001904</v>
      </c>
      <c r="BW88" s="495">
        <v>141085</v>
      </c>
      <c r="BX88" s="39">
        <f>'FY 2013 by Agency'!BV88*Inflator!E15</f>
        <v>145092</v>
      </c>
      <c r="BY88" s="39">
        <f t="shared" si="72"/>
        <v>3510.1364586443524</v>
      </c>
      <c r="BZ88" s="51">
        <f t="shared" si="73"/>
        <v>2.5514373543893715E-2</v>
      </c>
      <c r="CB88" s="39"/>
    </row>
    <row r="89" spans="1:80" ht="18" customHeight="1">
      <c r="A89" s="57" t="s">
        <v>13</v>
      </c>
      <c r="B89" s="326">
        <f>'FY 2013 by Agency'!B89*Inflator!$E$2</f>
        <v>2579.6618819776718</v>
      </c>
      <c r="C89" s="326">
        <f>'FY 2013 by Agency'!C89*Inflator!$E$3</f>
        <v>2683.7372488408037</v>
      </c>
      <c r="D89" s="326">
        <f t="shared" si="78"/>
        <v>104.07536686313188</v>
      </c>
      <c r="E89" s="355">
        <f t="shared" si="79"/>
        <v>4.0344576779707091E-2</v>
      </c>
      <c r="F89" s="10">
        <f>'FY 2013 by Agency'!F89*Inflator!$E$4</f>
        <v>2449.8713361248574</v>
      </c>
      <c r="G89" s="10">
        <f t="shared" si="80"/>
        <v>-233.86591271594625</v>
      </c>
      <c r="H89" s="14">
        <f t="shared" si="81"/>
        <v>-8.7141881276552244E-2</v>
      </c>
      <c r="I89" s="10">
        <f>'FY 2013 by Agency'!I89*Inflator!$E$5</f>
        <v>1764.0788397173674</v>
      </c>
      <c r="J89" s="10">
        <f t="shared" si="82"/>
        <v>-685.79249640749003</v>
      </c>
      <c r="K89" s="14">
        <f t="shared" si="83"/>
        <v>-0.27993000542316593</v>
      </c>
      <c r="L89" s="10">
        <f>'FY 2013 by Agency'!L89*Inflator!$E$6</f>
        <v>2388.8520537986183</v>
      </c>
      <c r="M89" s="10">
        <f t="shared" si="84"/>
        <v>624.7732140812509</v>
      </c>
      <c r="N89" s="14">
        <f t="shared" si="85"/>
        <v>0.35416399767107304</v>
      </c>
      <c r="O89" s="10">
        <f>'FY 2013 by Agency'!O89*Inflator!$E$7</f>
        <v>2504.5448785638855</v>
      </c>
      <c r="P89" s="52">
        <f t="shared" si="105"/>
        <v>115.69282476526723</v>
      </c>
      <c r="Q89" s="58">
        <f t="shared" si="89"/>
        <v>4.8430301316190347E-2</v>
      </c>
      <c r="R89" s="52">
        <f>'FY 2013 by Agency'!R89*Inflator!$E$8</f>
        <v>2686.3346911065851</v>
      </c>
      <c r="S89" s="52">
        <f t="shared" si="90"/>
        <v>181.78981254269956</v>
      </c>
      <c r="T89" s="58">
        <f t="shared" si="91"/>
        <v>7.2583970883739343E-2</v>
      </c>
      <c r="U89" s="52">
        <f>'FY 2013 by Agency'!U89*Inflator!$E$9</f>
        <v>3206.4681697612732</v>
      </c>
      <c r="V89" s="52">
        <f t="shared" si="106"/>
        <v>520.13347865468813</v>
      </c>
      <c r="W89" s="58">
        <f t="shared" si="107"/>
        <v>0.19362199370638694</v>
      </c>
      <c r="X89" s="52">
        <f>'FY 2013 by Agency'!X89*Inflator!$E$10</f>
        <v>3051.617656398857</v>
      </c>
      <c r="Y89" s="39">
        <f t="shared" si="108"/>
        <v>-154.85051336241622</v>
      </c>
      <c r="Z89" s="58">
        <f t="shared" si="92"/>
        <v>-4.8293170293327782E-2</v>
      </c>
      <c r="AA89" s="52">
        <f>'FY 2013 by Agency'!AA89*Inflator!$E$11</f>
        <v>3649.1424020388663</v>
      </c>
      <c r="AB89" s="39">
        <f t="shared" si="93"/>
        <v>597.52474564000931</v>
      </c>
      <c r="AC89" s="58">
        <f t="shared" si="94"/>
        <v>0.19580590130191289</v>
      </c>
      <c r="AD89" s="52" t="e">
        <f>'FY 2013 by Agency'!AD89*Inflator!#REF!</f>
        <v>#REF!</v>
      </c>
      <c r="AE89" s="52">
        <f>'FY 2013 by Agency'!AE89*Inflator!$B$8</f>
        <v>0</v>
      </c>
      <c r="AF89" s="52">
        <f>'FY 2013 by Agency'!AF89*Inflator!$E$12</f>
        <v>3531.0670426065167</v>
      </c>
      <c r="AG89" s="52">
        <f t="shared" si="95"/>
        <v>-118.07535943234961</v>
      </c>
      <c r="AH89" s="58">
        <f t="shared" si="96"/>
        <v>-3.2357016094076783E-2</v>
      </c>
      <c r="AI89" s="52">
        <f>'FY 2013 by Agency'!AI89*Inflator!$B$8</f>
        <v>0</v>
      </c>
      <c r="AJ89" s="52">
        <f>'FY 2013 by Agency'!AJ89*Inflator!$B$8</f>
        <v>0</v>
      </c>
      <c r="AK89" s="52">
        <f>'FY 2013 by Agency'!AK89</f>
        <v>3574</v>
      </c>
      <c r="AL89" s="52">
        <f>'FY 2013 by Agency'!AL89</f>
        <v>0</v>
      </c>
      <c r="AM89" s="52">
        <f>'FY 2013 by Agency'!AM89</f>
        <v>3574</v>
      </c>
      <c r="AN89" s="52">
        <f>'FY 2013 by Agency'!AN89</f>
        <v>1127</v>
      </c>
      <c r="AO89" s="52">
        <f>'FY 2013 by Agency'!AO89</f>
        <v>1127</v>
      </c>
      <c r="AP89" s="52">
        <f>'FY 2013 by Agency'!AP89</f>
        <v>0</v>
      </c>
      <c r="AQ89" s="52">
        <f>'FY 2013 by Agency'!AQ89</f>
        <v>0</v>
      </c>
      <c r="AR89" s="52">
        <f>'FY 2013 by Agency'!AR89</f>
        <v>0</v>
      </c>
      <c r="AS89" s="52">
        <f>'FY 2013 by Agency'!AS89</f>
        <v>2204.48596</v>
      </c>
      <c r="AT89" s="52" t="e">
        <f t="shared" si="97"/>
        <v>#REF!</v>
      </c>
      <c r="AU89" s="58" t="e">
        <f t="shared" si="98"/>
        <v>#REF!</v>
      </c>
      <c r="AV89" s="52">
        <f t="shared" si="99"/>
        <v>-1326.5810826065167</v>
      </c>
      <c r="AW89" s="58">
        <f t="shared" si="100"/>
        <v>-0.37568844391786982</v>
      </c>
      <c r="AX89" s="284" t="s">
        <v>283</v>
      </c>
      <c r="AY89" s="282">
        <v>2552.5794000000001</v>
      </c>
      <c r="AZ89" s="282">
        <f t="shared" si="101"/>
        <v>1425.5794000000001</v>
      </c>
      <c r="BA89" s="282">
        <f t="shared" si="102"/>
        <v>98.998317393483376</v>
      </c>
      <c r="BB89" s="282">
        <f t="shared" si="103"/>
        <v>3630.0653600000001</v>
      </c>
      <c r="BC89" s="58">
        <f t="shared" si="104"/>
        <v>2.8036374330747904E-2</v>
      </c>
      <c r="BD89" s="294">
        <v>56.835999999999999</v>
      </c>
      <c r="BE89" s="51">
        <f t="shared" si="109"/>
        <v>2.2266104631260442E-2</v>
      </c>
      <c r="BF89" s="50">
        <v>247</v>
      </c>
      <c r="BI89" s="219">
        <v>2278</v>
      </c>
      <c r="BJ89" s="282">
        <f t="shared" si="110"/>
        <v>-274.57940000000008</v>
      </c>
      <c r="BK89" s="39">
        <f t="shared" si="111"/>
        <v>2278</v>
      </c>
      <c r="BL89" s="576">
        <f>'FY 2013 by Agency'!AS89*Inflator!$E$13</f>
        <v>2285.8844345682028</v>
      </c>
      <c r="BM89" s="258">
        <f t="shared" si="112"/>
        <v>-1245.1826080383139</v>
      </c>
      <c r="BN89" s="51">
        <f t="shared" si="113"/>
        <v>-0.35263635411440997</v>
      </c>
      <c r="BO89" s="52">
        <f>'FY 2013 by Agency'!AX89*Inflator!$E$13</f>
        <v>2362.1129081476965</v>
      </c>
      <c r="BP89" s="52">
        <f t="shared" si="74"/>
        <v>-1168.9541344588201</v>
      </c>
      <c r="BQ89" s="51">
        <f t="shared" si="75"/>
        <v>-0.33104841124623252</v>
      </c>
      <c r="BR89" s="52">
        <f>'FY 2013 by Agency'!BE89*Inflator!$E$14</f>
        <v>2303.2128993729475</v>
      </c>
      <c r="BS89" s="52">
        <f t="shared" si="76"/>
        <v>-58.90000877474904</v>
      </c>
      <c r="BT89" s="51">
        <f t="shared" si="77"/>
        <v>-2.4935306255506978E-2</v>
      </c>
      <c r="BU89" s="52">
        <f>'FY 2013 by Agency'!BL89*Inflator!$E$14</f>
        <v>2311.329949238579</v>
      </c>
      <c r="BV89" s="52">
        <f t="shared" si="114"/>
        <v>25.445514670376269</v>
      </c>
      <c r="BW89" s="39">
        <v>2346</v>
      </c>
      <c r="BX89" s="39">
        <f>'FY 2013 by Agency'!BV89*Inflator!E15</f>
        <v>4187</v>
      </c>
      <c r="BY89" s="39">
        <f t="shared" si="72"/>
        <v>42.787100627052496</v>
      </c>
      <c r="BZ89" s="51">
        <f t="shared" si="73"/>
        <v>1.8577136589805195E-2</v>
      </c>
      <c r="CB89" s="39"/>
    </row>
    <row r="90" spans="1:80" ht="18" customHeight="1">
      <c r="A90" s="57" t="s">
        <v>141</v>
      </c>
      <c r="B90" s="328" t="s">
        <v>78</v>
      </c>
      <c r="C90" s="328" t="s">
        <v>78</v>
      </c>
      <c r="D90" s="328" t="s">
        <v>78</v>
      </c>
      <c r="E90" s="328" t="s">
        <v>78</v>
      </c>
      <c r="F90" s="328" t="s">
        <v>78</v>
      </c>
      <c r="G90" s="328" t="s">
        <v>78</v>
      </c>
      <c r="H90" s="328" t="s">
        <v>78</v>
      </c>
      <c r="I90" s="328" t="s">
        <v>78</v>
      </c>
      <c r="J90" s="328" t="s">
        <v>78</v>
      </c>
      <c r="K90" s="328" t="s">
        <v>78</v>
      </c>
      <c r="L90" s="10">
        <f>'FY 2013 by Agency'!L90*Inflator!$E$6</f>
        <v>6742.8869501999261</v>
      </c>
      <c r="M90" s="328" t="s">
        <v>78</v>
      </c>
      <c r="N90" s="328" t="s">
        <v>78</v>
      </c>
      <c r="O90" s="10">
        <f>'FY 2013 by Agency'!O90*Inflator!$E$7</f>
        <v>3596.5455825413583</v>
      </c>
      <c r="P90" s="52">
        <f t="shared" si="105"/>
        <v>-3146.3413676585678</v>
      </c>
      <c r="Q90" s="58">
        <f t="shared" si="89"/>
        <v>-0.46661636045451999</v>
      </c>
      <c r="R90" s="52">
        <f>'FY 2013 by Agency'!R90*Inflator!$E$8</f>
        <v>5048.5560081466392</v>
      </c>
      <c r="S90" s="52">
        <f t="shared" si="90"/>
        <v>1452.0104256052809</v>
      </c>
      <c r="T90" s="58">
        <f t="shared" si="91"/>
        <v>0.40372362654146443</v>
      </c>
      <c r="U90" s="52">
        <f>'FY 2013 by Agency'!U90*Inflator!$E$9</f>
        <v>5339.2314323607425</v>
      </c>
      <c r="V90" s="52">
        <f t="shared" si="106"/>
        <v>290.67542421410326</v>
      </c>
      <c r="W90" s="58">
        <f t="shared" si="107"/>
        <v>5.7575953152753531E-2</v>
      </c>
      <c r="X90" s="52">
        <f>'FY 2013 by Agency'!X90*Inflator!$E$10</f>
        <v>5005.8183550333442</v>
      </c>
      <c r="Y90" s="39">
        <f t="shared" si="108"/>
        <v>-333.41307732739824</v>
      </c>
      <c r="Z90" s="58">
        <f t="shared" si="92"/>
        <v>-6.2445893486954465E-2</v>
      </c>
      <c r="AA90" s="52">
        <f>'FY 2013 by Agency'!AA90*Inflator!$E$11</f>
        <v>4830.161197833706</v>
      </c>
      <c r="AB90" s="39">
        <f t="shared" si="93"/>
        <v>-175.65715719963828</v>
      </c>
      <c r="AC90" s="58">
        <f t="shared" si="94"/>
        <v>-3.5090597528976503E-2</v>
      </c>
      <c r="AD90" s="52" t="e">
        <f>'FY 2013 by Agency'!AD90*Inflator!#REF!</f>
        <v>#REF!</v>
      </c>
      <c r="AE90" s="52">
        <f>'FY 2013 by Agency'!AE90*Inflator!$B$8</f>
        <v>0</v>
      </c>
      <c r="AF90" s="52">
        <f>'FY 2013 by Agency'!AF90*Inflator!$E$12</f>
        <v>3790.8139097744365</v>
      </c>
      <c r="AG90" s="52">
        <f t="shared" si="95"/>
        <v>-1039.3472880592694</v>
      </c>
      <c r="AH90" s="58">
        <f t="shared" si="96"/>
        <v>-0.21517859249198754</v>
      </c>
      <c r="AI90" s="52">
        <f>'FY 2013 by Agency'!AI90*Inflator!$B$8</f>
        <v>0</v>
      </c>
      <c r="AJ90" s="52">
        <f>'FY 2013 by Agency'!AJ90*Inflator!$B$8</f>
        <v>0</v>
      </c>
      <c r="AK90" s="52">
        <f>'FY 2013 by Agency'!AK90</f>
        <v>4029</v>
      </c>
      <c r="AL90" s="52">
        <f>'FY 2013 by Agency'!AL90</f>
        <v>0</v>
      </c>
      <c r="AM90" s="52">
        <f>'FY 2013 by Agency'!AM90</f>
        <v>4029</v>
      </c>
      <c r="AN90" s="52">
        <f>'FY 2013 by Agency'!AN90</f>
        <v>2043</v>
      </c>
      <c r="AO90" s="52">
        <f>'FY 2013 by Agency'!AO90</f>
        <v>2043</v>
      </c>
      <c r="AP90" s="52">
        <f>'FY 2013 by Agency'!AP90</f>
        <v>1423</v>
      </c>
      <c r="AQ90" s="52">
        <f>'FY 2013 by Agency'!AQ90</f>
        <v>57</v>
      </c>
      <c r="AR90" s="52">
        <f>'FY 2013 by Agency'!AR90</f>
        <v>1480</v>
      </c>
      <c r="AS90" s="52">
        <f>'FY 2013 by Agency'!AS90</f>
        <v>3318.75083</v>
      </c>
      <c r="AT90" s="52" t="e">
        <f t="shared" si="97"/>
        <v>#REF!</v>
      </c>
      <c r="AU90" s="58" t="e">
        <f t="shared" si="98"/>
        <v>#REF!</v>
      </c>
      <c r="AV90" s="52">
        <f t="shared" si="99"/>
        <v>-472.06307977443657</v>
      </c>
      <c r="AW90" s="58">
        <f t="shared" si="100"/>
        <v>-0.12452815965385269</v>
      </c>
      <c r="AX90" s="284" t="s">
        <v>284</v>
      </c>
      <c r="AY90" s="282">
        <v>1994.0572400000001</v>
      </c>
      <c r="AZ90" s="282">
        <f t="shared" si="101"/>
        <v>-48.942759999999907</v>
      </c>
      <c r="BA90" s="282">
        <f t="shared" si="102"/>
        <v>-521.00583977443648</v>
      </c>
      <c r="BB90" s="282">
        <f t="shared" si="103"/>
        <v>3269.80807</v>
      </c>
      <c r="BC90" s="58">
        <f t="shared" si="104"/>
        <v>-0.13743904400874107</v>
      </c>
      <c r="BD90" s="294">
        <v>35.475999999999999</v>
      </c>
      <c r="BE90" s="51">
        <f t="shared" si="109"/>
        <v>1.7790863415736248E-2</v>
      </c>
      <c r="BF90" s="50">
        <v>35</v>
      </c>
      <c r="BI90" s="219">
        <v>1932</v>
      </c>
      <c r="BJ90" s="282">
        <f t="shared" si="110"/>
        <v>-62.057240000000093</v>
      </c>
      <c r="BK90" s="39">
        <f t="shared" si="111"/>
        <v>3412</v>
      </c>
      <c r="BL90" s="576">
        <f>'FY 2013 by Agency'!AS90*Inflator!$E$13</f>
        <v>3441.2924383094301</v>
      </c>
      <c r="BM90" s="258">
        <f t="shared" si="112"/>
        <v>-349.52147146500647</v>
      </c>
      <c r="BN90" s="51">
        <f t="shared" si="113"/>
        <v>-9.2202223528773511E-2</v>
      </c>
      <c r="BO90" s="52">
        <f>'FY 2013 by Agency'!AX90*Inflator!$E$13</f>
        <v>2003.3371986573088</v>
      </c>
      <c r="BP90" s="52">
        <f t="shared" si="74"/>
        <v>-1787.4767111171277</v>
      </c>
      <c r="BQ90" s="51">
        <f t="shared" si="75"/>
        <v>-0.47152847743546644</v>
      </c>
      <c r="BR90" s="52">
        <f>'FY 2013 by Agency'!BE90*Inflator!$E$14</f>
        <v>1855.7605255300091</v>
      </c>
      <c r="BS90" s="52">
        <f t="shared" si="76"/>
        <v>-147.57667312729973</v>
      </c>
      <c r="BT90" s="51">
        <f t="shared" si="77"/>
        <v>-7.3665418495802715E-2</v>
      </c>
      <c r="BU90" s="52">
        <f>'FY 2013 by Agency'!BL90*Inflator!$E$14</f>
        <v>3270.1564646163038</v>
      </c>
      <c r="BV90" s="52">
        <f t="shared" si="114"/>
        <v>-171.13597369312629</v>
      </c>
      <c r="BW90" s="495">
        <v>2007</v>
      </c>
      <c r="BX90" s="39">
        <f>'FY 2013 by Agency'!BV90*Inflator!E15</f>
        <v>3374</v>
      </c>
      <c r="BY90" s="39">
        <f t="shared" si="72"/>
        <v>151.23947446999091</v>
      </c>
      <c r="BZ90" s="51">
        <f t="shared" si="73"/>
        <v>8.1497301181571696E-2</v>
      </c>
      <c r="CB90" s="39"/>
    </row>
    <row r="91" spans="1:80" ht="18" customHeight="1">
      <c r="A91" s="316" t="s">
        <v>370</v>
      </c>
      <c r="B91" s="326">
        <f>'FY 2013 by Agency'!B91*Inflator!$E$2</f>
        <v>2820.8277511961724</v>
      </c>
      <c r="C91" s="326">
        <f>'FY 2013 by Agency'!C91*Inflator!$E$3</f>
        <v>4546.8601236476043</v>
      </c>
      <c r="D91" s="326">
        <f t="shared" si="78"/>
        <v>1726.0323724514319</v>
      </c>
      <c r="E91" s="355">
        <f t="shared" si="79"/>
        <v>0.61188861025615893</v>
      </c>
      <c r="F91" s="10">
        <f>'FY 2013 by Agency'!F91*Inflator!$E$4</f>
        <v>3683.8614389036925</v>
      </c>
      <c r="G91" s="10">
        <f t="shared" si="80"/>
        <v>-862.99868474391178</v>
      </c>
      <c r="H91" s="14">
        <f t="shared" si="81"/>
        <v>-0.18980101900552701</v>
      </c>
      <c r="I91" s="10">
        <f>'FY 2013 by Agency'!I91*Inflator!$E$5</f>
        <v>4056.370397917442</v>
      </c>
      <c r="J91" s="10">
        <f t="shared" si="82"/>
        <v>372.50895901374952</v>
      </c>
      <c r="K91" s="14">
        <f t="shared" si="83"/>
        <v>0.10111915586179246</v>
      </c>
      <c r="L91" s="10">
        <f>'FY 2013 by Agency'!L91*Inflator!$E$6</f>
        <v>0</v>
      </c>
      <c r="M91" s="10">
        <f t="shared" si="84"/>
        <v>-4056.370397917442</v>
      </c>
      <c r="N91" s="14">
        <f t="shared" si="85"/>
        <v>-1</v>
      </c>
      <c r="O91" s="10">
        <f>'FY 2013 by Agency'!O91*Inflator!$E$7</f>
        <v>0</v>
      </c>
      <c r="P91" s="52"/>
      <c r="Q91" s="58"/>
      <c r="R91" s="52"/>
      <c r="S91" s="52"/>
      <c r="T91" s="58"/>
      <c r="U91" s="52"/>
      <c r="V91" s="52"/>
      <c r="W91" s="58"/>
      <c r="X91" s="52"/>
      <c r="Y91" s="39"/>
      <c r="Z91" s="58"/>
      <c r="AA91" s="52"/>
      <c r="AB91" s="39"/>
      <c r="AC91" s="58"/>
      <c r="AD91" s="52"/>
      <c r="AE91" s="52"/>
      <c r="AF91" s="52"/>
      <c r="AG91" s="52"/>
      <c r="AH91" s="58"/>
      <c r="AI91" s="52"/>
      <c r="AJ91" s="52"/>
      <c r="AK91" s="52"/>
      <c r="AL91" s="52"/>
      <c r="AM91" s="52"/>
      <c r="AO91" s="52"/>
      <c r="AU91" s="58"/>
      <c r="AV91" s="52"/>
      <c r="AW91" s="58"/>
      <c r="AX91" s="284"/>
      <c r="AY91" s="282"/>
      <c r="AZ91" s="282"/>
      <c r="BA91" s="282"/>
      <c r="BB91" s="282"/>
      <c r="BC91" s="58"/>
      <c r="BD91" s="294"/>
      <c r="BE91" s="51"/>
      <c r="BI91" s="219"/>
      <c r="BJ91" s="282"/>
      <c r="BK91" s="39">
        <f t="shared" si="111"/>
        <v>0</v>
      </c>
      <c r="BL91" s="576">
        <f>'FY 2013 by Agency'!AS91*Inflator!$E$13</f>
        <v>0</v>
      </c>
      <c r="BM91" s="258">
        <f t="shared" si="112"/>
        <v>0</v>
      </c>
      <c r="BN91" s="51" t="e">
        <f t="shared" si="113"/>
        <v>#DIV/0!</v>
      </c>
      <c r="BO91" s="52">
        <f>'FY 2013 by Agency'!AX91*Inflator!$E$13</f>
        <v>0</v>
      </c>
      <c r="BP91" s="52">
        <f t="shared" si="74"/>
        <v>0</v>
      </c>
      <c r="BQ91" s="51" t="e">
        <f t="shared" si="75"/>
        <v>#DIV/0!</v>
      </c>
      <c r="BR91" s="52">
        <f>'FY 2013 by Agency'!BE91*Inflator!$E$14</f>
        <v>0</v>
      </c>
      <c r="BS91" s="52">
        <f t="shared" si="76"/>
        <v>0</v>
      </c>
      <c r="BT91" s="51" t="e">
        <f t="shared" si="77"/>
        <v>#DIV/0!</v>
      </c>
      <c r="BU91" s="52">
        <f>'FY 2013 by Agency'!BL91*Inflator!$E$14</f>
        <v>0</v>
      </c>
      <c r="BV91" s="52">
        <f t="shared" si="114"/>
        <v>0</v>
      </c>
      <c r="BW91" s="39">
        <v>0</v>
      </c>
      <c r="BX91" s="39">
        <f>'FY 2013 by Agency'!BV91*Inflator!E15</f>
        <v>0</v>
      </c>
      <c r="BY91" s="39">
        <f t="shared" si="72"/>
        <v>0</v>
      </c>
      <c r="BZ91" s="51" t="e">
        <f t="shared" si="73"/>
        <v>#DIV/0!</v>
      </c>
      <c r="CB91" s="39"/>
    </row>
    <row r="92" spans="1:80" ht="18" customHeight="1">
      <c r="A92" s="57" t="s">
        <v>14</v>
      </c>
      <c r="B92" s="326">
        <f>'FY 2013 by Agency'!B92*Inflator!$E$2</f>
        <v>199.16507177033495</v>
      </c>
      <c r="C92" s="326">
        <f>'FY 2013 by Agency'!C92*Inflator!$E$3</f>
        <v>216.64219474497682</v>
      </c>
      <c r="D92" s="326">
        <f t="shared" si="78"/>
        <v>17.477122974641873</v>
      </c>
      <c r="E92" s="355">
        <f t="shared" si="79"/>
        <v>8.775194776519564E-2</v>
      </c>
      <c r="F92" s="10">
        <f>'FY 2013 by Agency'!F92*Inflator!$E$4</f>
        <v>235.41530262657022</v>
      </c>
      <c r="G92" s="10">
        <f t="shared" si="80"/>
        <v>18.773107881593404</v>
      </c>
      <c r="H92" s="14">
        <f t="shared" si="81"/>
        <v>8.6654900739407723E-2</v>
      </c>
      <c r="I92" s="10">
        <f>'FY 2013 by Agency'!I92*Inflator!$E$5</f>
        <v>228.72368910375607</v>
      </c>
      <c r="J92" s="10">
        <f t="shared" si="82"/>
        <v>-6.6916135228141513</v>
      </c>
      <c r="K92" s="14">
        <f t="shared" si="83"/>
        <v>-2.8424717714416327E-2</v>
      </c>
      <c r="L92" s="10">
        <f>'FY 2013 by Agency'!L92*Inflator!$E$6</f>
        <v>218.62813522355503</v>
      </c>
      <c r="M92" s="10">
        <f t="shared" si="84"/>
        <v>-10.095553880201038</v>
      </c>
      <c r="N92" s="14">
        <f t="shared" si="85"/>
        <v>-4.4138645715972979E-2</v>
      </c>
      <c r="O92" s="10">
        <f>'FY 2013 by Agency'!O92*Inflator!$E$7</f>
        <v>243.99577613516365</v>
      </c>
      <c r="P92" s="52">
        <f t="shared" si="105"/>
        <v>25.367640911608618</v>
      </c>
      <c r="Q92" s="58">
        <f t="shared" si="89"/>
        <v>0.11603099887244295</v>
      </c>
      <c r="R92" s="52">
        <f>'FY 2013 by Agency'!R92*Inflator!$E$8</f>
        <v>261.82824168363879</v>
      </c>
      <c r="S92" s="52">
        <f t="shared" si="90"/>
        <v>17.832465548475142</v>
      </c>
      <c r="T92" s="58">
        <f t="shared" si="91"/>
        <v>7.308514036979348E-2</v>
      </c>
      <c r="U92" s="52">
        <f>'FY 2013 by Agency'!U92*Inflator!$E$9</f>
        <v>268.14456233421748</v>
      </c>
      <c r="V92" s="52">
        <f t="shared" si="106"/>
        <v>6.3163206505786889</v>
      </c>
      <c r="W92" s="58">
        <f t="shared" si="107"/>
        <v>2.4123908902885113E-2</v>
      </c>
      <c r="X92" s="52">
        <f>'FY 2013 by Agency'!X92*Inflator!$E$10</f>
        <v>268.68910765322329</v>
      </c>
      <c r="Y92" s="39">
        <f t="shared" si="108"/>
        <v>0.54454531900580605</v>
      </c>
      <c r="Z92" s="58">
        <f t="shared" si="92"/>
        <v>2.0307900867558167E-3</v>
      </c>
      <c r="AA92" s="52">
        <f>'FY 2013 by Agency'!AA92*Inflator!$E$11</f>
        <v>293.36030582988218</v>
      </c>
      <c r="AB92" s="39">
        <f t="shared" si="93"/>
        <v>24.671198176658891</v>
      </c>
      <c r="AC92" s="58">
        <f t="shared" si="94"/>
        <v>9.1820611531823387E-2</v>
      </c>
      <c r="AD92" s="52" t="e">
        <f>'FY 2013 by Agency'!AD92*Inflator!#REF!</f>
        <v>#REF!</v>
      </c>
      <c r="AE92" s="52">
        <f>'FY 2013 by Agency'!AE92*Inflator!$B$8</f>
        <v>0</v>
      </c>
      <c r="AF92" s="52">
        <f>'FY 2013 by Agency'!AF92*Inflator!$E$12</f>
        <v>0</v>
      </c>
      <c r="AG92" s="52">
        <f t="shared" si="95"/>
        <v>-293.36030582988218</v>
      </c>
      <c r="AH92" s="58">
        <f t="shared" si="96"/>
        <v>-1</v>
      </c>
      <c r="AI92" s="52">
        <f>'FY 2013 by Agency'!AI92*Inflator!$B$8</f>
        <v>0</v>
      </c>
      <c r="AJ92" s="52">
        <f>'FY 2013 by Agency'!AJ92*Inflator!$B$8</f>
        <v>0</v>
      </c>
      <c r="AK92" s="52">
        <f>'FY 2013 by Agency'!AK92</f>
        <v>0</v>
      </c>
      <c r="AL92" s="52">
        <f>'FY 2013 by Agency'!AL92</f>
        <v>0</v>
      </c>
      <c r="AM92" s="52">
        <f>'FY 2013 by Agency'!AM92</f>
        <v>0</v>
      </c>
      <c r="AN92" s="52">
        <f>'FY 2013 by Agency'!AN92</f>
        <v>0</v>
      </c>
      <c r="AO92" s="52">
        <f>'FY 2013 by Agency'!AO92</f>
        <v>0</v>
      </c>
      <c r="AP92" s="52">
        <f>'FY 2013 by Agency'!AP92</f>
        <v>0</v>
      </c>
      <c r="AQ92" s="52">
        <f>'FY 2013 by Agency'!AQ92</f>
        <v>0</v>
      </c>
      <c r="AR92" s="52">
        <f>'FY 2013 by Agency'!AR92</f>
        <v>0</v>
      </c>
      <c r="AS92" s="52">
        <f>'FY 2013 by Agency'!AS92</f>
        <v>0</v>
      </c>
      <c r="AT92" s="52" t="e">
        <f t="shared" si="97"/>
        <v>#REF!</v>
      </c>
      <c r="AU92" s="58" t="e">
        <f t="shared" si="98"/>
        <v>#REF!</v>
      </c>
      <c r="AV92" s="52">
        <f t="shared" si="99"/>
        <v>0</v>
      </c>
      <c r="AW92" s="58" t="e">
        <f t="shared" si="100"/>
        <v>#DIV/0!</v>
      </c>
      <c r="AX92" s="284" t="s">
        <v>285</v>
      </c>
      <c r="AY92" s="282">
        <v>0</v>
      </c>
      <c r="AZ92" s="282">
        <f t="shared" si="101"/>
        <v>0</v>
      </c>
      <c r="BA92" s="282">
        <f t="shared" si="102"/>
        <v>0</v>
      </c>
      <c r="BB92" s="282">
        <f t="shared" si="103"/>
        <v>0</v>
      </c>
      <c r="BC92" s="58" t="e">
        <f t="shared" si="104"/>
        <v>#DIV/0!</v>
      </c>
      <c r="BD92" s="294"/>
      <c r="BE92" s="51"/>
      <c r="BI92" s="219">
        <v>0</v>
      </c>
      <c r="BJ92" s="282">
        <f t="shared" si="110"/>
        <v>0</v>
      </c>
      <c r="BK92" s="39">
        <f t="shared" si="111"/>
        <v>0</v>
      </c>
      <c r="BL92" s="576">
        <f>'FY 2013 by Agency'!AS92*Inflator!$E$13</f>
        <v>0</v>
      </c>
      <c r="BM92" s="258">
        <f t="shared" si="112"/>
        <v>0</v>
      </c>
      <c r="BN92" s="51" t="e">
        <f t="shared" si="113"/>
        <v>#DIV/0!</v>
      </c>
      <c r="BO92" s="52">
        <f>'FY 2013 by Agency'!AX92*Inflator!$E$13</f>
        <v>0</v>
      </c>
      <c r="BP92" s="52">
        <f t="shared" si="74"/>
        <v>0</v>
      </c>
      <c r="BQ92" s="51" t="e">
        <f t="shared" si="75"/>
        <v>#DIV/0!</v>
      </c>
      <c r="BR92" s="52">
        <f>'FY 2013 by Agency'!BE92*Inflator!$E$14</f>
        <v>0</v>
      </c>
      <c r="BS92" s="52">
        <f t="shared" si="76"/>
        <v>0</v>
      </c>
      <c r="BT92" s="51" t="e">
        <f t="shared" si="77"/>
        <v>#DIV/0!</v>
      </c>
      <c r="BU92" s="52">
        <f>'FY 2013 by Agency'!BL92*Inflator!$E$14</f>
        <v>0</v>
      </c>
      <c r="BV92" s="52">
        <f t="shared" si="114"/>
        <v>0</v>
      </c>
      <c r="BW92" s="39">
        <v>0</v>
      </c>
      <c r="BX92" s="39">
        <f>'FY 2013 by Agency'!BV92*Inflator!E15</f>
        <v>0</v>
      </c>
      <c r="BY92" s="39">
        <f t="shared" si="72"/>
        <v>0</v>
      </c>
      <c r="BZ92" s="51" t="e">
        <f t="shared" si="73"/>
        <v>#DIV/0!</v>
      </c>
      <c r="CB92" s="39"/>
    </row>
    <row r="93" spans="1:80" ht="18" customHeight="1">
      <c r="A93" s="57" t="s">
        <v>15</v>
      </c>
      <c r="B93" s="326">
        <f>'FY 2013 by Agency'!B93*Inflator!$E$2</f>
        <v>112.4537480063796</v>
      </c>
      <c r="C93" s="326">
        <f>'FY 2013 by Agency'!C93*Inflator!$E$3</f>
        <v>110.29057187017003</v>
      </c>
      <c r="D93" s="326">
        <f t="shared" si="78"/>
        <v>-2.1631761362095716</v>
      </c>
      <c r="E93" s="355">
        <f t="shared" si="79"/>
        <v>-1.9236140853987834E-2</v>
      </c>
      <c r="F93" s="10">
        <f>'FY 2013 by Agency'!F93*Inflator!$E$4</f>
        <v>120.29463266082985</v>
      </c>
      <c r="G93" s="10">
        <f t="shared" si="80"/>
        <v>10.004060790659821</v>
      </c>
      <c r="H93" s="14">
        <f t="shared" si="81"/>
        <v>9.0706400565555415E-2</v>
      </c>
      <c r="I93" s="10">
        <f>'FY 2013 by Agency'!I93*Inflator!$E$5</f>
        <v>142.79434734101898</v>
      </c>
      <c r="J93" s="10">
        <f t="shared" si="82"/>
        <v>22.499714680189129</v>
      </c>
      <c r="K93" s="14">
        <f t="shared" si="83"/>
        <v>0.18703839217521009</v>
      </c>
      <c r="L93" s="10">
        <f>'FY 2013 by Agency'!L93*Inflator!$E$6</f>
        <v>130.92984369320246</v>
      </c>
      <c r="M93" s="10">
        <f t="shared" si="84"/>
        <v>-11.86450364781652</v>
      </c>
      <c r="N93" s="14">
        <f t="shared" si="85"/>
        <v>-8.3088048432911135E-2</v>
      </c>
      <c r="O93" s="10">
        <f>'FY 2013 by Agency'!O93*Inflator!$E$7</f>
        <v>123.19394579373458</v>
      </c>
      <c r="P93" s="52">
        <f t="shared" si="105"/>
        <v>-7.7358978994678722</v>
      </c>
      <c r="Q93" s="58">
        <f t="shared" si="89"/>
        <v>-5.9084297981709881E-2</v>
      </c>
      <c r="R93" s="52">
        <f>'FY 2013 by Agency'!R93*Inflator!$E$8</f>
        <v>140.7182620502376</v>
      </c>
      <c r="S93" s="52">
        <f t="shared" si="90"/>
        <v>17.524316256503013</v>
      </c>
      <c r="T93" s="58">
        <f t="shared" si="91"/>
        <v>0.14224981709607898</v>
      </c>
      <c r="U93" s="52">
        <f>'FY 2013 by Agency'!U93*Inflator!$E$9</f>
        <v>152.09880636604774</v>
      </c>
      <c r="V93" s="52">
        <f t="shared" si="106"/>
        <v>11.380544315810141</v>
      </c>
      <c r="W93" s="58">
        <f t="shared" si="107"/>
        <v>8.0874679305996483E-2</v>
      </c>
      <c r="X93" s="52">
        <f>'FY 2013 by Agency'!X93*Inflator!$E$10</f>
        <v>111.14449031438554</v>
      </c>
      <c r="Y93" s="39">
        <f t="shared" si="108"/>
        <v>-40.954316051662204</v>
      </c>
      <c r="Z93" s="58">
        <f t="shared" si="92"/>
        <v>-0.26926125871822904</v>
      </c>
      <c r="AA93" s="52">
        <f>'FY 2013 by Agency'!AA93*Inflator!$E$11</f>
        <v>164.54157374960181</v>
      </c>
      <c r="AB93" s="39">
        <f t="shared" si="93"/>
        <v>53.397083435216274</v>
      </c>
      <c r="AC93" s="58">
        <f t="shared" si="94"/>
        <v>0.48042942375439585</v>
      </c>
      <c r="AD93" s="52" t="e">
        <f>'FY 2013 by Agency'!AD93*Inflator!#REF!</f>
        <v>#REF!</v>
      </c>
      <c r="AE93" s="52">
        <f>'FY 2013 by Agency'!AE93*Inflator!$B$8</f>
        <v>0</v>
      </c>
      <c r="AF93" s="52">
        <f>'FY 2013 by Agency'!AF93*Inflator!$E$12</f>
        <v>0</v>
      </c>
      <c r="AG93" s="52">
        <f t="shared" si="95"/>
        <v>-164.54157374960181</v>
      </c>
      <c r="AH93" s="58">
        <f t="shared" si="96"/>
        <v>-1</v>
      </c>
      <c r="AI93" s="52">
        <f>'FY 2013 by Agency'!AI93*Inflator!$B$8</f>
        <v>0</v>
      </c>
      <c r="AJ93" s="52">
        <f>'FY 2013 by Agency'!AJ93*Inflator!$B$8</f>
        <v>0</v>
      </c>
      <c r="AK93" s="52">
        <f>'FY 2013 by Agency'!AK93</f>
        <v>0</v>
      </c>
      <c r="AL93" s="52">
        <f>'FY 2013 by Agency'!AL93</f>
        <v>0</v>
      </c>
      <c r="AM93" s="52">
        <f>'FY 2013 by Agency'!AM93</f>
        <v>0</v>
      </c>
      <c r="AN93" s="52">
        <f>'FY 2013 by Agency'!AN93</f>
        <v>0</v>
      </c>
      <c r="AO93" s="52">
        <f>'FY 2013 by Agency'!AO93</f>
        <v>0</v>
      </c>
      <c r="AP93" s="52">
        <f>'FY 2013 by Agency'!AP93</f>
        <v>0</v>
      </c>
      <c r="AQ93" s="52">
        <f>'FY 2013 by Agency'!AQ93</f>
        <v>0</v>
      </c>
      <c r="AR93" s="52">
        <f>'FY 2013 by Agency'!AR93</f>
        <v>0</v>
      </c>
      <c r="AS93" s="52">
        <f>'FY 2013 by Agency'!AS93</f>
        <v>0</v>
      </c>
      <c r="AT93" s="52" t="e">
        <f t="shared" si="97"/>
        <v>#REF!</v>
      </c>
      <c r="AU93" s="58" t="e">
        <f t="shared" si="98"/>
        <v>#REF!</v>
      </c>
      <c r="AV93" s="52">
        <f t="shared" si="99"/>
        <v>0</v>
      </c>
      <c r="AW93" s="58" t="e">
        <f t="shared" si="100"/>
        <v>#DIV/0!</v>
      </c>
      <c r="AX93" s="284" t="s">
        <v>286</v>
      </c>
      <c r="AY93" s="282">
        <v>0</v>
      </c>
      <c r="AZ93" s="282">
        <f t="shared" si="101"/>
        <v>0</v>
      </c>
      <c r="BA93" s="282">
        <f t="shared" si="102"/>
        <v>0</v>
      </c>
      <c r="BB93" s="282">
        <f t="shared" si="103"/>
        <v>0</v>
      </c>
      <c r="BC93" s="58" t="e">
        <f t="shared" si="104"/>
        <v>#DIV/0!</v>
      </c>
      <c r="BD93" s="294"/>
      <c r="BE93" s="51"/>
      <c r="BI93" s="219">
        <v>0</v>
      </c>
      <c r="BJ93" s="282">
        <f t="shared" si="110"/>
        <v>0</v>
      </c>
      <c r="BK93" s="39">
        <f t="shared" si="111"/>
        <v>0</v>
      </c>
      <c r="BL93" s="576">
        <f>'FY 2013 by Agency'!AS93*Inflator!$E$13</f>
        <v>0</v>
      </c>
      <c r="BM93" s="258">
        <f t="shared" si="112"/>
        <v>0</v>
      </c>
      <c r="BN93" s="51" t="e">
        <f t="shared" si="113"/>
        <v>#DIV/0!</v>
      </c>
      <c r="BO93" s="52">
        <f>'FY 2013 by Agency'!AX93*Inflator!$E$13</f>
        <v>0</v>
      </c>
      <c r="BP93" s="52">
        <f t="shared" si="74"/>
        <v>0</v>
      </c>
      <c r="BQ93" s="51" t="e">
        <f t="shared" si="75"/>
        <v>#DIV/0!</v>
      </c>
      <c r="BR93" s="52">
        <f>'FY 2013 by Agency'!BE93*Inflator!$E$14</f>
        <v>0</v>
      </c>
      <c r="BS93" s="52">
        <f t="shared" si="76"/>
        <v>0</v>
      </c>
      <c r="BT93" s="51" t="e">
        <f t="shared" si="77"/>
        <v>#DIV/0!</v>
      </c>
      <c r="BU93" s="52">
        <f>'FY 2013 by Agency'!BL93*Inflator!$E$14</f>
        <v>0</v>
      </c>
      <c r="BV93" s="52">
        <f t="shared" si="114"/>
        <v>0</v>
      </c>
      <c r="BW93" s="39">
        <v>0</v>
      </c>
      <c r="BX93" s="39">
        <f>'FY 2013 by Agency'!BV93*Inflator!E15</f>
        <v>7</v>
      </c>
      <c r="BY93" s="39">
        <f t="shared" si="72"/>
        <v>0</v>
      </c>
      <c r="BZ93" s="51" t="e">
        <f t="shared" si="73"/>
        <v>#DIV/0!</v>
      </c>
      <c r="CB93" s="39"/>
    </row>
    <row r="94" spans="1:80" ht="18" customHeight="1">
      <c r="A94" s="57" t="s">
        <v>83</v>
      </c>
      <c r="B94" s="326">
        <f>'FY 2013 by Agency'!B94*Inflator!$E$2</f>
        <v>295.3604465709729</v>
      </c>
      <c r="C94" s="326">
        <f>'FY 2013 by Agency'!C94*Inflator!$E$3</f>
        <v>1466.6020092735705</v>
      </c>
      <c r="D94" s="326">
        <f t="shared" si="78"/>
        <v>1171.2415627025975</v>
      </c>
      <c r="E94" s="355">
        <f t="shared" si="79"/>
        <v>3.9654651673921983</v>
      </c>
      <c r="F94" s="10">
        <f>'FY 2013 by Agency'!F94*Inflator!$E$4</f>
        <v>1510.797106966121</v>
      </c>
      <c r="G94" s="10">
        <f t="shared" si="80"/>
        <v>44.195097692550462</v>
      </c>
      <c r="H94" s="14">
        <f t="shared" si="81"/>
        <v>3.0134349614344892E-2</v>
      </c>
      <c r="I94" s="10">
        <f>'FY 2013 by Agency'!I94*Inflator!$E$5</f>
        <v>1673.0948307921162</v>
      </c>
      <c r="J94" s="10">
        <f t="shared" si="82"/>
        <v>162.29772382599526</v>
      </c>
      <c r="K94" s="14">
        <f t="shared" si="83"/>
        <v>0.10742522809823908</v>
      </c>
      <c r="L94" s="10">
        <f>'FY 2013 by Agency'!L94*Inflator!$E$6</f>
        <v>1783.6103235187202</v>
      </c>
      <c r="M94" s="10">
        <f t="shared" si="84"/>
        <v>110.51549272660395</v>
      </c>
      <c r="N94" s="14">
        <f t="shared" si="85"/>
        <v>6.6054530019844182E-2</v>
      </c>
      <c r="O94" s="10">
        <f>'FY 2013 by Agency'!O94*Inflator!$E$7</f>
        <v>2051.2390003519886</v>
      </c>
      <c r="P94" s="52">
        <f t="shared" si="105"/>
        <v>267.6286768332684</v>
      </c>
      <c r="Q94" s="58">
        <f t="shared" si="89"/>
        <v>0.15004884940634819</v>
      </c>
      <c r="R94" s="52">
        <f>'FY 2013 by Agency'!R94*Inflator!$E$8</f>
        <v>2401.4378818737268</v>
      </c>
      <c r="S94" s="52">
        <f t="shared" si="90"/>
        <v>350.19888152173826</v>
      </c>
      <c r="T94" s="58">
        <f t="shared" si="91"/>
        <v>0.17072553781477673</v>
      </c>
      <c r="U94" s="52">
        <f>'FY 2013 by Agency'!U94*Inflator!$E$9</f>
        <v>2468.5072944297081</v>
      </c>
      <c r="V94" s="52">
        <f t="shared" si="106"/>
        <v>67.069412555981216</v>
      </c>
      <c r="W94" s="58">
        <f t="shared" si="107"/>
        <v>2.7928855900136867E-2</v>
      </c>
      <c r="X94" s="52">
        <f>'FY 2013 by Agency'!X94*Inflator!$E$10</f>
        <v>2462.4439504604638</v>
      </c>
      <c r="Y94" s="39">
        <f t="shared" si="108"/>
        <v>-6.0633439692442153</v>
      </c>
      <c r="Z94" s="58">
        <f t="shared" si="92"/>
        <v>-2.456279543077069E-3</v>
      </c>
      <c r="AA94" s="52">
        <f>'FY 2013 by Agency'!AA94*Inflator!$E$11</f>
        <v>2834.0121057661681</v>
      </c>
      <c r="AB94" s="39">
        <f t="shared" si="93"/>
        <v>371.56815530570429</v>
      </c>
      <c r="AC94" s="58">
        <f t="shared" si="94"/>
        <v>0.15089405597890787</v>
      </c>
      <c r="AD94" s="52" t="e">
        <f>'FY 2013 by Agency'!AD94*Inflator!#REF!</f>
        <v>#REF!</v>
      </c>
      <c r="AE94" s="52">
        <f>'FY 2013 by Agency'!AE94*Inflator!$B$8</f>
        <v>0</v>
      </c>
      <c r="AF94" s="52">
        <f>'FY 2013 by Agency'!AF94*Inflator!$E$12</f>
        <v>2753.9555137844613</v>
      </c>
      <c r="AG94" s="52">
        <f t="shared" si="95"/>
        <v>-80.056591981706788</v>
      </c>
      <c r="AH94" s="58">
        <f t="shared" si="96"/>
        <v>-2.8248500357080757E-2</v>
      </c>
      <c r="AI94" s="52">
        <f>'FY 2013 by Agency'!AI94*Inflator!$B$8</f>
        <v>0</v>
      </c>
      <c r="AJ94" s="52">
        <f>'FY 2013 by Agency'!AJ94*Inflator!$B$8</f>
        <v>0</v>
      </c>
      <c r="AK94" s="52">
        <f>'FY 2013 by Agency'!AK94</f>
        <v>2687</v>
      </c>
      <c r="AL94" s="52">
        <f>'FY 2013 by Agency'!AL94</f>
        <v>0</v>
      </c>
      <c r="AM94" s="52">
        <f>'FY 2013 by Agency'!AM94</f>
        <v>2687</v>
      </c>
      <c r="AN94" s="52">
        <f>'FY 2013 by Agency'!AN94</f>
        <v>2070</v>
      </c>
      <c r="AO94" s="52">
        <f>'FY 2013 by Agency'!AO94</f>
        <v>2070</v>
      </c>
      <c r="AP94" s="52">
        <f>'FY 2013 by Agency'!AP94</f>
        <v>480</v>
      </c>
      <c r="AQ94" s="52">
        <f>'FY 2013 by Agency'!AQ94</f>
        <v>9</v>
      </c>
      <c r="AR94" s="52">
        <f>'FY 2013 by Agency'!AR94</f>
        <v>489</v>
      </c>
      <c r="AS94" s="52">
        <f>'FY 2013 by Agency'!AS94</f>
        <v>2259.24496</v>
      </c>
      <c r="AT94" s="52" t="e">
        <f t="shared" si="97"/>
        <v>#REF!</v>
      </c>
      <c r="AU94" s="58" t="e">
        <f t="shared" si="98"/>
        <v>#REF!</v>
      </c>
      <c r="AV94" s="52">
        <f t="shared" si="99"/>
        <v>-494.71055378446135</v>
      </c>
      <c r="AW94" s="58">
        <f t="shared" si="100"/>
        <v>-0.17963636351722853</v>
      </c>
      <c r="AX94" s="284" t="s">
        <v>287</v>
      </c>
      <c r="AY94" s="282">
        <v>2116.4739199999999</v>
      </c>
      <c r="AZ94" s="282">
        <f t="shared" si="101"/>
        <v>46.473919999999907</v>
      </c>
      <c r="BA94" s="282">
        <f t="shared" si="102"/>
        <v>-448.23663378446145</v>
      </c>
      <c r="BB94" s="282">
        <f t="shared" si="103"/>
        <v>2305.7188799999999</v>
      </c>
      <c r="BC94" s="58">
        <f t="shared" si="104"/>
        <v>-0.16276102919632807</v>
      </c>
      <c r="BD94" s="294">
        <v>29.408000000000001</v>
      </c>
      <c r="BE94" s="51">
        <f t="shared" si="109"/>
        <v>1.3894808588050072E-2</v>
      </c>
      <c r="BF94" s="50">
        <v>29</v>
      </c>
      <c r="BI94" s="219">
        <v>2058</v>
      </c>
      <c r="BJ94" s="282">
        <f t="shared" si="110"/>
        <v>-58.473919999999907</v>
      </c>
      <c r="BK94" s="39">
        <f t="shared" si="111"/>
        <v>2547</v>
      </c>
      <c r="BL94" s="576">
        <f>'FY 2013 by Agency'!AS94*Inflator!$E$13</f>
        <v>2342.6653567531284</v>
      </c>
      <c r="BM94" s="258">
        <f t="shared" si="112"/>
        <v>-411.29015703133291</v>
      </c>
      <c r="BN94" s="51">
        <f t="shared" si="113"/>
        <v>-0.14934524358606707</v>
      </c>
      <c r="BO94" s="52">
        <f>'FY 2013 by Agency'!AX94*Inflator!$E$13</f>
        <v>2133.9896246566987</v>
      </c>
      <c r="BP94" s="52">
        <f t="shared" si="74"/>
        <v>-619.96588912776269</v>
      </c>
      <c r="BQ94" s="51">
        <f t="shared" si="75"/>
        <v>-0.2251183383408438</v>
      </c>
      <c r="BR94" s="52">
        <f>'FY 2013 by Agency'!BE94*Inflator!$E$14</f>
        <v>2081.0086593012843</v>
      </c>
      <c r="BS94" s="52">
        <f t="shared" si="76"/>
        <v>-52.980965355414355</v>
      </c>
      <c r="BT94" s="51">
        <f t="shared" si="77"/>
        <v>-2.4827189759152442E-2</v>
      </c>
      <c r="BU94" s="52">
        <f>'FY 2013 by Agency'!BL94*Inflator!$E$14</f>
        <v>2580.2072260376235</v>
      </c>
      <c r="BV94" s="52">
        <f t="shared" si="114"/>
        <v>237.54186928449508</v>
      </c>
      <c r="BW94" s="495">
        <v>2091</v>
      </c>
      <c r="BX94" s="39">
        <f>'FY 2013 by Agency'!BV94*Inflator!E15</f>
        <v>2732</v>
      </c>
      <c r="BY94" s="39">
        <f t="shared" si="72"/>
        <v>9.9913406987157032</v>
      </c>
      <c r="BZ94" s="51">
        <f t="shared" si="73"/>
        <v>4.8012009243971034E-3</v>
      </c>
      <c r="CB94" s="39"/>
    </row>
    <row r="95" spans="1:80" ht="18" customHeight="1">
      <c r="A95" s="59" t="s">
        <v>142</v>
      </c>
      <c r="B95" s="326">
        <f>'FY 2013 by Agency'!B95*Inflator!$E$2</f>
        <v>135.48644338118024</v>
      </c>
      <c r="C95" s="326">
        <f>'FY 2013 by Agency'!C95*Inflator!$E$3</f>
        <v>514.68933539412672</v>
      </c>
      <c r="D95" s="326">
        <f t="shared" si="78"/>
        <v>379.20289201294645</v>
      </c>
      <c r="E95" s="355">
        <f t="shared" si="79"/>
        <v>2.7988253477588865</v>
      </c>
      <c r="F95" s="10">
        <f>'FY 2013 by Agency'!F95*Inflator!$E$4</f>
        <v>538.09212028930335</v>
      </c>
      <c r="G95" s="10">
        <f t="shared" si="80"/>
        <v>23.402784895176637</v>
      </c>
      <c r="H95" s="14">
        <f t="shared" si="81"/>
        <v>4.5469729574357319E-2</v>
      </c>
      <c r="I95" s="10">
        <f>'FY 2013 by Agency'!I95*Inflator!$E$5</f>
        <v>610.35105987355905</v>
      </c>
      <c r="J95" s="10">
        <f t="shared" si="82"/>
        <v>72.2589395842557</v>
      </c>
      <c r="K95" s="14">
        <f t="shared" si="83"/>
        <v>0.1342873029722233</v>
      </c>
      <c r="L95" s="10">
        <f>'FY 2013 by Agency'!L95*Inflator!$E$6</f>
        <v>748.52344601962909</v>
      </c>
      <c r="M95" s="10">
        <f t="shared" si="84"/>
        <v>138.17238614607004</v>
      </c>
      <c r="N95" s="14">
        <f t="shared" si="85"/>
        <v>0.22638182388786868</v>
      </c>
      <c r="O95" s="10">
        <f>'FY 2013 by Agency'!O95*Inflator!$E$7</f>
        <v>642.28299894403369</v>
      </c>
      <c r="P95" s="52">
        <f t="shared" si="105"/>
        <v>-106.2404470755954</v>
      </c>
      <c r="Q95" s="58">
        <f t="shared" si="89"/>
        <v>-0.14193335912260707</v>
      </c>
      <c r="R95" s="52">
        <f>'FY 2013 by Agency'!R95*Inflator!$E$8</f>
        <v>750.88187372708751</v>
      </c>
      <c r="S95" s="52">
        <f t="shared" si="90"/>
        <v>108.59887478305382</v>
      </c>
      <c r="T95" s="58">
        <f t="shared" si="91"/>
        <v>0.16908259281593835</v>
      </c>
      <c r="U95" s="52">
        <f>'FY 2013 by Agency'!U95*Inflator!$E$9</f>
        <v>724.44098143236067</v>
      </c>
      <c r="V95" s="52">
        <f t="shared" si="106"/>
        <v>-26.440892294726837</v>
      </c>
      <c r="W95" s="58">
        <f t="shared" si="107"/>
        <v>-3.5213118361060523E-2</v>
      </c>
      <c r="X95" s="52">
        <f>'FY 2013 by Agency'!X95*Inflator!$E$10</f>
        <v>629.09939663385205</v>
      </c>
      <c r="Y95" s="39">
        <f t="shared" si="108"/>
        <v>-95.34158479850862</v>
      </c>
      <c r="Z95" s="58">
        <f t="shared" si="92"/>
        <v>-0.13160711119627685</v>
      </c>
      <c r="AA95" s="52">
        <f>'FY 2013 by Agency'!AA95*Inflator!$E$11</f>
        <v>843.27556546670928</v>
      </c>
      <c r="AB95" s="39">
        <f t="shared" si="93"/>
        <v>214.17616883285723</v>
      </c>
      <c r="AC95" s="58">
        <f t="shared" si="94"/>
        <v>0.34044885431278182</v>
      </c>
      <c r="AD95" s="52" t="e">
        <f>'FY 2013 by Agency'!AD95*Inflator!#REF!</f>
        <v>#REF!</v>
      </c>
      <c r="AE95" s="52">
        <f>'FY 2013 by Agency'!AE95*Inflator!$B$8</f>
        <v>0</v>
      </c>
      <c r="AF95" s="52">
        <f>'FY 2013 by Agency'!AF95*Inflator!$E$12</f>
        <v>845.2418546365916</v>
      </c>
      <c r="AG95" s="52">
        <f t="shared" si="95"/>
        <v>1.9662891698823159</v>
      </c>
      <c r="AH95" s="58">
        <f t="shared" si="96"/>
        <v>2.3317279077024805E-3</v>
      </c>
      <c r="AI95" s="52">
        <f>'FY 2013 by Agency'!AI95*Inflator!$B$8</f>
        <v>0</v>
      </c>
      <c r="AJ95" s="52">
        <f>'FY 2013 by Agency'!AJ95*Inflator!$B$8</f>
        <v>0</v>
      </c>
      <c r="AK95" s="52">
        <f>'FY 2013 by Agency'!AK95</f>
        <v>838</v>
      </c>
      <c r="AL95" s="52">
        <f>'FY 2013 by Agency'!AL95</f>
        <v>0</v>
      </c>
      <c r="AM95" s="52">
        <f>'FY 2013 by Agency'!AM95</f>
        <v>838</v>
      </c>
      <c r="AN95" s="52">
        <f>'FY 2013 by Agency'!AN95</f>
        <v>709</v>
      </c>
      <c r="AO95" s="52">
        <f>'FY 2013 by Agency'!AO95</f>
        <v>709</v>
      </c>
      <c r="AP95" s="52">
        <f>'FY 2013 by Agency'!AP95</f>
        <v>28</v>
      </c>
      <c r="AQ95" s="52">
        <f>'FY 2013 by Agency'!AQ95</f>
        <v>2</v>
      </c>
      <c r="AR95" s="52">
        <f>'FY 2013 by Agency'!AR95</f>
        <v>30</v>
      </c>
      <c r="AS95" s="52">
        <f>'FY 2013 by Agency'!AS95</f>
        <v>660.24746000000005</v>
      </c>
      <c r="AT95" s="52" t="e">
        <f t="shared" si="97"/>
        <v>#REF!</v>
      </c>
      <c r="AU95" s="58" t="e">
        <f t="shared" si="98"/>
        <v>#REF!</v>
      </c>
      <c r="AV95" s="52">
        <f t="shared" si="99"/>
        <v>-184.99439463659155</v>
      </c>
      <c r="AW95" s="58">
        <f t="shared" si="100"/>
        <v>-0.21886563428183423</v>
      </c>
      <c r="AX95" s="284" t="s">
        <v>288</v>
      </c>
      <c r="AY95" s="282">
        <v>798.46699999999998</v>
      </c>
      <c r="AZ95" s="282">
        <f t="shared" si="101"/>
        <v>89.466999999999985</v>
      </c>
      <c r="BA95" s="282">
        <f t="shared" si="102"/>
        <v>-95.527394636591566</v>
      </c>
      <c r="BB95" s="282">
        <f t="shared" si="103"/>
        <v>749.71446000000003</v>
      </c>
      <c r="BC95" s="58">
        <f t="shared" si="104"/>
        <v>-0.11301782337513699</v>
      </c>
      <c r="BD95" s="294">
        <v>18.934999999999999</v>
      </c>
      <c r="BE95" s="51">
        <f t="shared" si="109"/>
        <v>2.3714192321035183E-2</v>
      </c>
      <c r="BF95" s="220">
        <v>19</v>
      </c>
      <c r="BI95" s="219">
        <v>768</v>
      </c>
      <c r="BJ95" s="282">
        <f t="shared" si="110"/>
        <v>-30.466999999999985</v>
      </c>
      <c r="BK95" s="39">
        <f t="shared" si="111"/>
        <v>798</v>
      </c>
      <c r="BL95" s="576">
        <f>'FY 2013 by Agency'!AS95*Inflator!$E$13</f>
        <v>684.62644768996051</v>
      </c>
      <c r="BM95" s="258">
        <f t="shared" si="112"/>
        <v>-160.61540694663108</v>
      </c>
      <c r="BN95" s="51">
        <f t="shared" si="113"/>
        <v>-0.19002301656688197</v>
      </c>
      <c r="BO95" s="52">
        <f>'FY 2013 by Agency'!AX95*Inflator!$E$13</f>
        <v>796.35764418675626</v>
      </c>
      <c r="BP95" s="52">
        <f t="shared" si="74"/>
        <v>-48.884210449835336</v>
      </c>
      <c r="BQ95" s="51">
        <f t="shared" si="75"/>
        <v>-5.7834583299064039E-2</v>
      </c>
      <c r="BR95" s="52">
        <f>'FY 2013 by Agency'!BE95*Inflator!$E$14</f>
        <v>900.99253508510014</v>
      </c>
      <c r="BS95" s="52">
        <f t="shared" si="76"/>
        <v>104.63489089834388</v>
      </c>
      <c r="BT95" s="51">
        <f t="shared" si="77"/>
        <v>0.13139183338309945</v>
      </c>
      <c r="BU95" s="52">
        <f>'FY 2013 by Agency'!BL95*Inflator!$E$14</f>
        <v>923.31442221558677</v>
      </c>
      <c r="BV95" s="52">
        <f t="shared" si="114"/>
        <v>238.68797452562626</v>
      </c>
      <c r="BW95" s="495">
        <v>907</v>
      </c>
      <c r="BX95" s="39">
        <f>'FY 2013 by Agency'!BV95*Inflator!E15</f>
        <v>950</v>
      </c>
      <c r="BY95" s="39">
        <f t="shared" si="72"/>
        <v>6.007464914899856</v>
      </c>
      <c r="BZ95" s="51">
        <f t="shared" si="73"/>
        <v>6.6676078668425837E-3</v>
      </c>
      <c r="CB95" s="39"/>
    </row>
    <row r="96" spans="1:80" ht="18" customHeight="1">
      <c r="A96" s="59" t="s">
        <v>69</v>
      </c>
      <c r="B96" s="326">
        <f>'FY 2013 by Agency'!B96*Inflator!$E$2</f>
        <v>0</v>
      </c>
      <c r="C96" s="326">
        <f>'FY 2013 by Agency'!C96*Inflator!$E$3</f>
        <v>5791.5680061823805</v>
      </c>
      <c r="D96" s="326">
        <f t="shared" si="78"/>
        <v>5791.5680061823805</v>
      </c>
      <c r="E96" s="329" t="s">
        <v>78</v>
      </c>
      <c r="F96" s="10">
        <f>'FY 2013 by Agency'!F96*Inflator!$E$4</f>
        <v>6264.3753330795589</v>
      </c>
      <c r="G96" s="10">
        <f t="shared" si="80"/>
        <v>472.80732689717843</v>
      </c>
      <c r="H96" s="14">
        <f t="shared" si="81"/>
        <v>8.1637188131515728E-2</v>
      </c>
      <c r="I96" s="10">
        <f>'FY 2013 by Agency'!I96*Inflator!$E$5</f>
        <v>6453.5462997396817</v>
      </c>
      <c r="J96" s="10">
        <f t="shared" si="82"/>
        <v>189.17096666012276</v>
      </c>
      <c r="K96" s="14">
        <f t="shared" si="83"/>
        <v>3.0197897891141613E-2</v>
      </c>
      <c r="L96" s="10">
        <f>'FY 2013 by Agency'!L96*Inflator!$E$6</f>
        <v>7276.487822609959</v>
      </c>
      <c r="M96" s="10">
        <f t="shared" si="84"/>
        <v>822.94152287027737</v>
      </c>
      <c r="N96" s="14">
        <f t="shared" si="85"/>
        <v>0.12751772198542569</v>
      </c>
      <c r="O96" s="10">
        <f>'FY 2013 by Agency'!O96*Inflator!$E$7</f>
        <v>7609.3192537838777</v>
      </c>
      <c r="P96" s="52">
        <f t="shared" si="105"/>
        <v>332.83143117391865</v>
      </c>
      <c r="Q96" s="58">
        <f t="shared" si="89"/>
        <v>4.5740670401415912E-2</v>
      </c>
      <c r="R96" s="52">
        <f>'FY 2013 by Agency'!R96*Inflator!$E$8</f>
        <v>9859.5057705363197</v>
      </c>
      <c r="S96" s="52">
        <f t="shared" si="90"/>
        <v>2250.186516752442</v>
      </c>
      <c r="T96" s="58">
        <f t="shared" si="91"/>
        <v>0.29571456285442277</v>
      </c>
      <c r="U96" s="52">
        <f>'FY 2013 by Agency'!U96*Inflator!$E$9</f>
        <v>9395.1996021220148</v>
      </c>
      <c r="V96" s="52">
        <f t="shared" si="106"/>
        <v>-464.30616841430492</v>
      </c>
      <c r="W96" s="58">
        <f t="shared" si="107"/>
        <v>-4.7092235576535232E-2</v>
      </c>
      <c r="X96" s="52">
        <f>'FY 2013 by Agency'!X96*Inflator!$E$10</f>
        <v>9890.780565258814</v>
      </c>
      <c r="Y96" s="39">
        <f t="shared" si="108"/>
        <v>495.58096313679926</v>
      </c>
      <c r="Z96" s="58">
        <f t="shared" si="92"/>
        <v>5.2748316600412251E-2</v>
      </c>
      <c r="AA96" s="52">
        <f>'FY 2013 by Agency'!AA96*Inflator!$E$11</f>
        <v>10846.753743230331</v>
      </c>
      <c r="AB96" s="39">
        <f t="shared" si="93"/>
        <v>955.97317797151663</v>
      </c>
      <c r="AC96" s="58">
        <f t="shared" si="94"/>
        <v>9.6652955918297784E-2</v>
      </c>
      <c r="AD96" s="52" t="e">
        <f>'FY 2013 by Agency'!AD96*Inflator!#REF!</f>
        <v>#REF!</v>
      </c>
      <c r="AE96" s="52">
        <f>'FY 2013 by Agency'!AE96*Inflator!$B$8</f>
        <v>0</v>
      </c>
      <c r="AF96" s="52">
        <f>'FY 2013 by Agency'!AF96*Inflator!$E$12</f>
        <v>8595.0664160401011</v>
      </c>
      <c r="AG96" s="52">
        <f t="shared" si="95"/>
        <v>-2251.6873271902296</v>
      </c>
      <c r="AH96" s="58">
        <f t="shared" si="96"/>
        <v>-0.20759089590243082</v>
      </c>
      <c r="AI96" s="52">
        <f>'FY 2013 by Agency'!AI96*Inflator!$B$8</f>
        <v>0</v>
      </c>
      <c r="AJ96" s="52">
        <f>'FY 2013 by Agency'!AJ96*Inflator!$B$8</f>
        <v>0</v>
      </c>
      <c r="AK96" s="52">
        <f>'FY 2013 by Agency'!AK96</f>
        <v>8630</v>
      </c>
      <c r="AL96" s="52">
        <f>'FY 2013 by Agency'!AL96</f>
        <v>0</v>
      </c>
      <c r="AM96" s="52">
        <f>'FY 2013 by Agency'!AM96</f>
        <v>8630</v>
      </c>
      <c r="AN96" s="52">
        <f>'FY 2013 by Agency'!AN96</f>
        <v>7396</v>
      </c>
      <c r="AO96" s="52">
        <f>'FY 2013 by Agency'!AO96</f>
        <v>7664</v>
      </c>
      <c r="AP96" s="52">
        <f>'FY 2013 by Agency'!AP96</f>
        <v>742</v>
      </c>
      <c r="AQ96" s="52">
        <f>'FY 2013 by Agency'!AQ96</f>
        <v>47</v>
      </c>
      <c r="AR96" s="52">
        <f>'FY 2013 by Agency'!AR96</f>
        <v>789</v>
      </c>
      <c r="AS96" s="52">
        <f>'FY 2013 by Agency'!AS96</f>
        <v>7942.7015199999996</v>
      </c>
      <c r="AT96" s="52" t="e">
        <f t="shared" si="97"/>
        <v>#REF!</v>
      </c>
      <c r="AU96" s="58" t="e">
        <f t="shared" si="98"/>
        <v>#REF!</v>
      </c>
      <c r="AV96" s="52">
        <f t="shared" si="99"/>
        <v>-652.36489604010148</v>
      </c>
      <c r="AW96" s="58">
        <f t="shared" si="100"/>
        <v>-7.5899924964239834E-2</v>
      </c>
      <c r="AX96" s="284" t="s">
        <v>289</v>
      </c>
      <c r="AY96" s="282">
        <v>7668.2113799999997</v>
      </c>
      <c r="AZ96" s="282">
        <f t="shared" si="101"/>
        <v>4.2113799999997354</v>
      </c>
      <c r="BA96" s="282">
        <f t="shared" si="102"/>
        <v>-648.15351604010175</v>
      </c>
      <c r="BB96" s="282">
        <f t="shared" si="103"/>
        <v>7946.9128999999994</v>
      </c>
      <c r="BC96" s="58">
        <f t="shared" si="104"/>
        <v>-7.5409948529370108E-2</v>
      </c>
      <c r="BD96" s="294">
        <v>65.537999999999997</v>
      </c>
      <c r="BE96" s="51">
        <f t="shared" si="109"/>
        <v>8.5467127537634472E-3</v>
      </c>
      <c r="BF96" s="50">
        <v>243</v>
      </c>
      <c r="BI96" s="219">
        <v>7378</v>
      </c>
      <c r="BJ96" s="282">
        <f t="shared" si="110"/>
        <v>-290.21137999999974</v>
      </c>
      <c r="BK96" s="39">
        <f t="shared" si="111"/>
        <v>8167</v>
      </c>
      <c r="BL96" s="576">
        <f>'FY 2013 by Agency'!AS96*Inflator!$E$13</f>
        <v>8235.9779569606362</v>
      </c>
      <c r="BM96" s="258">
        <f t="shared" si="112"/>
        <v>-359.08845907946488</v>
      </c>
      <c r="BN96" s="51">
        <f t="shared" si="113"/>
        <v>-4.1778439129840174E-2</v>
      </c>
      <c r="BO96" s="52">
        <f>'FY 2013 by Agency'!AX96*Inflator!$E$13</f>
        <v>7650.4253890753753</v>
      </c>
      <c r="BP96" s="52">
        <f t="shared" si="74"/>
        <v>-944.64102696472582</v>
      </c>
      <c r="BQ96" s="51">
        <f t="shared" si="75"/>
        <v>-0.10990502937846275</v>
      </c>
      <c r="BR96" s="52">
        <f>'FY 2013 by Agency'!BE96*Inflator!$E$14</f>
        <v>7679.7438041206333</v>
      </c>
      <c r="BS96" s="52">
        <f t="shared" si="76"/>
        <v>29.318415045258007</v>
      </c>
      <c r="BT96" s="51">
        <f t="shared" si="77"/>
        <v>3.8322594567256358E-3</v>
      </c>
      <c r="BU96" s="52">
        <f>'FY 2013 by Agency'!BL96*Inflator!$E$14</f>
        <v>9992.0883845924163</v>
      </c>
      <c r="BV96" s="52">
        <f t="shared" si="114"/>
        <v>1756.1104276317801</v>
      </c>
      <c r="BW96" s="495">
        <v>7884</v>
      </c>
      <c r="BX96" s="39">
        <f>'FY 2013 by Agency'!BV96*Inflator!E15</f>
        <v>10965</v>
      </c>
      <c r="BY96" s="39">
        <f t="shared" si="72"/>
        <v>204.25619587936671</v>
      </c>
      <c r="BZ96" s="51">
        <f t="shared" si="73"/>
        <v>2.6596746075015065E-2</v>
      </c>
      <c r="CB96" s="39"/>
    </row>
    <row r="97" spans="1:81" ht="18" customHeight="1">
      <c r="A97" s="59" t="s">
        <v>16</v>
      </c>
      <c r="B97" s="326">
        <f>'FY 2013 by Agency'!B97*Inflator!$E$2</f>
        <v>0</v>
      </c>
      <c r="C97" s="326">
        <f>'FY 2013 by Agency'!C97*Inflator!$E$3</f>
        <v>0</v>
      </c>
      <c r="D97" s="326">
        <f t="shared" si="78"/>
        <v>0</v>
      </c>
      <c r="E97" s="329" t="s">
        <v>78</v>
      </c>
      <c r="F97" s="10">
        <f>'FY 2013 by Agency'!F97*Inflator!$E$4</f>
        <v>0</v>
      </c>
      <c r="G97" s="10">
        <f t="shared" si="80"/>
        <v>0</v>
      </c>
      <c r="H97" s="329" t="s">
        <v>78</v>
      </c>
      <c r="I97" s="10">
        <f>'FY 2013 by Agency'!I97*Inflator!$E$5</f>
        <v>117.52101152844925</v>
      </c>
      <c r="J97" s="10">
        <f t="shared" si="82"/>
        <v>117.52101152844925</v>
      </c>
      <c r="K97" s="328" t="s">
        <v>78</v>
      </c>
      <c r="L97" s="10">
        <f>'FY 2013 by Agency'!L97*Inflator!$E$6</f>
        <v>4045.238095238095</v>
      </c>
      <c r="M97" s="10">
        <f t="shared" si="84"/>
        <v>3927.7170837096455</v>
      </c>
      <c r="N97" s="14">
        <f t="shared" si="85"/>
        <v>33.421402969790059</v>
      </c>
      <c r="O97" s="10">
        <f>'FY 2013 by Agency'!O97*Inflator!$E$7</f>
        <v>4330.9250263991544</v>
      </c>
      <c r="P97" s="52">
        <f t="shared" si="105"/>
        <v>285.68693116105942</v>
      </c>
      <c r="Q97" s="58">
        <f t="shared" si="89"/>
        <v>7.0623020063357841E-2</v>
      </c>
      <c r="R97" s="52">
        <f>'FY 2013 by Agency'!R97*Inflator!$E$8</f>
        <v>6436.1303462321785</v>
      </c>
      <c r="S97" s="52">
        <f t="shared" si="90"/>
        <v>2105.2053198330241</v>
      </c>
      <c r="T97" s="58">
        <f t="shared" si="91"/>
        <v>0.48608676137331969</v>
      </c>
      <c r="U97" s="52">
        <f>'FY 2013 by Agency'!U97*Inflator!$E$9</f>
        <v>5669.3421750663128</v>
      </c>
      <c r="V97" s="52">
        <f t="shared" si="106"/>
        <v>-766.78817116586561</v>
      </c>
      <c r="W97" s="58">
        <f t="shared" si="107"/>
        <v>-0.11913807364307913</v>
      </c>
      <c r="X97" s="52">
        <f>'FY 2013 by Agency'!X97*Inflator!$E$10</f>
        <v>7635.5185773261364</v>
      </c>
      <c r="Y97" s="39">
        <f t="shared" si="108"/>
        <v>1966.1764022598236</v>
      </c>
      <c r="Z97" s="58">
        <f t="shared" si="92"/>
        <v>0.34680856112496433</v>
      </c>
      <c r="AA97" s="52">
        <f>'FY 2013 by Agency'!AA97*Inflator!$E$11</f>
        <v>8390.5377508760757</v>
      </c>
      <c r="AB97" s="39">
        <f t="shared" si="93"/>
        <v>755.0191735499393</v>
      </c>
      <c r="AC97" s="58">
        <f t="shared" si="94"/>
        <v>9.8882501025141581E-2</v>
      </c>
      <c r="AD97" s="52" t="e">
        <f>'FY 2013 by Agency'!AD97*Inflator!#REF!</f>
        <v>#REF!</v>
      </c>
      <c r="AE97" s="52">
        <f>'FY 2013 by Agency'!AE97*Inflator!$B$8</f>
        <v>0</v>
      </c>
      <c r="AF97" s="52">
        <f>'FY 2013 by Agency'!AF97*Inflator!$E$12</f>
        <v>7454.9479949874694</v>
      </c>
      <c r="AG97" s="52">
        <f t="shared" si="95"/>
        <v>-935.58975588860631</v>
      </c>
      <c r="AH97" s="58">
        <f t="shared" si="96"/>
        <v>-0.11150533895052427</v>
      </c>
      <c r="AI97" s="52">
        <f>'FY 2013 by Agency'!AI97*Inflator!$B$8</f>
        <v>0</v>
      </c>
      <c r="AJ97" s="52">
        <f>'FY 2013 by Agency'!AJ97*Inflator!$B$8</f>
        <v>0</v>
      </c>
      <c r="AK97" s="52">
        <f>'FY 2013 by Agency'!AK97</f>
        <v>6719</v>
      </c>
      <c r="AL97" s="52">
        <f>'FY 2013 by Agency'!AL97</f>
        <v>0</v>
      </c>
      <c r="AM97" s="52">
        <f>'FY 2013 by Agency'!AM97</f>
        <v>6719</v>
      </c>
      <c r="AN97" s="52">
        <f>'FY 2013 by Agency'!AN97</f>
        <v>7451</v>
      </c>
      <c r="AO97" s="52">
        <f>'FY 2013 by Agency'!AO97</f>
        <v>7460</v>
      </c>
      <c r="AP97" s="52">
        <f>'FY 2013 by Agency'!AP97</f>
        <v>76</v>
      </c>
      <c r="AQ97" s="52">
        <f>'FY 2013 by Agency'!AQ97</f>
        <v>15</v>
      </c>
      <c r="AR97" s="52">
        <f>'FY 2013 by Agency'!AR97</f>
        <v>91</v>
      </c>
      <c r="AS97" s="52">
        <f>'FY 2013 by Agency'!AS97</f>
        <v>6801.4298999999992</v>
      </c>
      <c r="AT97" s="52" t="e">
        <f t="shared" si="97"/>
        <v>#REF!</v>
      </c>
      <c r="AU97" s="58" t="e">
        <f t="shared" si="98"/>
        <v>#REF!</v>
      </c>
      <c r="AV97" s="52">
        <f t="shared" si="99"/>
        <v>-653.51809498747025</v>
      </c>
      <c r="AW97" s="58">
        <f t="shared" si="100"/>
        <v>-8.7662327815952623E-2</v>
      </c>
      <c r="AX97" s="284" t="s">
        <v>290</v>
      </c>
      <c r="AY97" s="282">
        <v>7101.1640699999998</v>
      </c>
      <c r="AZ97" s="282">
        <f t="shared" si="101"/>
        <v>-358.83593000000019</v>
      </c>
      <c r="BA97" s="282">
        <f t="shared" si="102"/>
        <v>-1012.3540249874704</v>
      </c>
      <c r="BB97" s="282">
        <f t="shared" si="103"/>
        <v>6442.593969999999</v>
      </c>
      <c r="BC97" s="58">
        <f t="shared" si="104"/>
        <v>-0.1357962558113287</v>
      </c>
      <c r="BD97" s="294">
        <v>64.623000000000005</v>
      </c>
      <c r="BE97" s="51">
        <f t="shared" si="109"/>
        <v>9.1003389533006532E-3</v>
      </c>
      <c r="BF97" s="50">
        <v>133</v>
      </c>
      <c r="BI97" s="219">
        <v>6928</v>
      </c>
      <c r="BJ97" s="282">
        <f t="shared" si="110"/>
        <v>-173.16406999999981</v>
      </c>
      <c r="BK97" s="39">
        <f t="shared" si="111"/>
        <v>7019</v>
      </c>
      <c r="BL97" s="576">
        <f>'FY 2013 by Agency'!AS97*Inflator!$E$13</f>
        <v>7052.566005553861</v>
      </c>
      <c r="BM97" s="258">
        <f t="shared" si="112"/>
        <v>-402.3819894336084</v>
      </c>
      <c r="BN97" s="51">
        <f t="shared" si="113"/>
        <v>-5.3975157131097427E-2</v>
      </c>
      <c r="BO97" s="52">
        <f>'FY 2013 by Agency'!AX97*Inflator!$E$13</f>
        <v>7183.8095819346972</v>
      </c>
      <c r="BP97" s="52">
        <f t="shared" si="74"/>
        <v>-271.13841305277219</v>
      </c>
      <c r="BQ97" s="51">
        <f t="shared" si="75"/>
        <v>-3.6370262171524101E-2</v>
      </c>
      <c r="BR97" s="52">
        <f>'FY 2013 by Agency'!BE97*Inflator!$E$14</f>
        <v>7748.7387279785016</v>
      </c>
      <c r="BS97" s="52">
        <f t="shared" si="76"/>
        <v>564.92914604380439</v>
      </c>
      <c r="BT97" s="51">
        <f t="shared" si="77"/>
        <v>7.8639214973688282E-2</v>
      </c>
      <c r="BU97" s="52">
        <f>'FY 2013 by Agency'!BL97*Inflator!$E$14</f>
        <v>8212.4252015527036</v>
      </c>
      <c r="BV97" s="52">
        <f t="shared" si="114"/>
        <v>1159.8591959988426</v>
      </c>
      <c r="BW97" s="495">
        <v>8852</v>
      </c>
      <c r="BX97" s="39">
        <f>'FY 2013 by Agency'!BV97*Inflator!E15</f>
        <v>9381</v>
      </c>
      <c r="BY97" s="39">
        <f t="shared" si="72"/>
        <v>1103.2612720214984</v>
      </c>
      <c r="BZ97" s="51">
        <f t="shared" si="73"/>
        <v>0.14237946467828813</v>
      </c>
      <c r="CB97" s="39"/>
    </row>
    <row r="98" spans="1:81" ht="18" customHeight="1">
      <c r="A98" s="59" t="s">
        <v>17</v>
      </c>
      <c r="B98" s="326">
        <f>'FY 2013 by Agency'!B98*Inflator!$E$2</f>
        <v>0</v>
      </c>
      <c r="C98" s="326">
        <f>'FY 2013 by Agency'!C98*Inflator!$E$3</f>
        <v>0</v>
      </c>
      <c r="D98" s="326">
        <f t="shared" si="78"/>
        <v>0</v>
      </c>
      <c r="E98" s="329" t="s">
        <v>78</v>
      </c>
      <c r="F98" s="10">
        <f>'FY 2013 by Agency'!F98*Inflator!$E$4</f>
        <v>0</v>
      </c>
      <c r="G98" s="10">
        <f t="shared" si="80"/>
        <v>0</v>
      </c>
      <c r="H98" s="329" t="s">
        <v>78</v>
      </c>
      <c r="I98" s="10">
        <f>'FY 2013 by Agency'!I98*Inflator!$E$5</f>
        <v>0</v>
      </c>
      <c r="J98" s="10">
        <f t="shared" si="82"/>
        <v>0</v>
      </c>
      <c r="K98" s="328" t="s">
        <v>78</v>
      </c>
      <c r="L98" s="10">
        <f>'FY 2013 by Agency'!L98*Inflator!$E$6</f>
        <v>0</v>
      </c>
      <c r="M98" s="10">
        <f t="shared" si="84"/>
        <v>0</v>
      </c>
      <c r="N98" s="14" t="e">
        <f t="shared" si="85"/>
        <v>#DIV/0!</v>
      </c>
      <c r="O98" s="10">
        <f>'FY 2013 by Agency'!O98*Inflator!$E$7</f>
        <v>0</v>
      </c>
      <c r="P98" s="52">
        <f t="shared" si="105"/>
        <v>0</v>
      </c>
      <c r="Q98" s="58" t="e">
        <f t="shared" si="89"/>
        <v>#DIV/0!</v>
      </c>
      <c r="R98" s="52">
        <f>'FY 2013 by Agency'!R98*Inflator!$E$8</f>
        <v>0</v>
      </c>
      <c r="S98" s="52">
        <f>R98-O98</f>
        <v>0</v>
      </c>
      <c r="T98" s="58" t="e">
        <f>S98/O98</f>
        <v>#DIV/0!</v>
      </c>
      <c r="U98" s="52">
        <f>'FY 2013 by Agency'!U98*Inflator!$E$9</f>
        <v>0</v>
      </c>
      <c r="V98" s="52">
        <f t="shared" si="106"/>
        <v>0</v>
      </c>
      <c r="W98" s="60" t="s">
        <v>78</v>
      </c>
      <c r="X98" s="52">
        <f>'FY 2013 by Agency'!X98*Inflator!$E$10</f>
        <v>0</v>
      </c>
      <c r="Y98" s="39">
        <f t="shared" si="108"/>
        <v>0</v>
      </c>
      <c r="Z98" s="61" t="s">
        <v>127</v>
      </c>
      <c r="AA98" s="52">
        <f>'FY 2013 by Agency'!AA98*Inflator!$E$11</f>
        <v>0</v>
      </c>
      <c r="AB98" s="39">
        <f t="shared" si="93"/>
        <v>0</v>
      </c>
      <c r="AC98" s="58" t="e">
        <f t="shared" si="94"/>
        <v>#DIV/0!</v>
      </c>
      <c r="AD98" s="52" t="e">
        <f>'FY 2013 by Agency'!AD98*Inflator!#REF!</f>
        <v>#REF!</v>
      </c>
      <c r="AE98" s="52">
        <f>'FY 2013 by Agency'!AE98*Inflator!$B$8</f>
        <v>0</v>
      </c>
      <c r="AF98" s="52">
        <f>'FY 2013 by Agency'!AF98*Inflator!$E$12</f>
        <v>0</v>
      </c>
      <c r="AG98" s="52">
        <f t="shared" si="95"/>
        <v>0</v>
      </c>
      <c r="AH98" s="58" t="e">
        <f t="shared" si="96"/>
        <v>#DIV/0!</v>
      </c>
      <c r="AI98" s="52">
        <f>'FY 2013 by Agency'!AI98*Inflator!$B$8</f>
        <v>0</v>
      </c>
      <c r="AJ98" s="52">
        <f>'FY 2013 by Agency'!AJ98*Inflator!$B$8</f>
        <v>0</v>
      </c>
      <c r="AK98" s="52">
        <f>'FY 2013 by Agency'!AK98</f>
        <v>0</v>
      </c>
      <c r="AL98" s="52">
        <f>'FY 2013 by Agency'!AL98</f>
        <v>25</v>
      </c>
      <c r="AM98" s="52">
        <f>'FY 2013 by Agency'!AM98</f>
        <v>25</v>
      </c>
      <c r="AN98" s="52">
        <f>'FY 2013 by Agency'!AN98</f>
        <v>0</v>
      </c>
      <c r="AO98" s="52">
        <f>'FY 2013 by Agency'!AO98</f>
        <v>0</v>
      </c>
      <c r="AP98" s="52">
        <f>'FY 2013 by Agency'!AP98</f>
        <v>0</v>
      </c>
      <c r="AQ98" s="52">
        <f>'FY 2013 by Agency'!AQ98</f>
        <v>0</v>
      </c>
      <c r="AR98" s="52">
        <f>'FY 2013 by Agency'!AR98</f>
        <v>0</v>
      </c>
      <c r="AS98" s="52">
        <f>'FY 2013 by Agency'!AS98</f>
        <v>0</v>
      </c>
      <c r="AT98" s="52" t="e">
        <f t="shared" si="97"/>
        <v>#REF!</v>
      </c>
      <c r="AU98" s="58" t="e">
        <f t="shared" si="98"/>
        <v>#REF!</v>
      </c>
      <c r="AV98" s="52">
        <f t="shared" si="99"/>
        <v>0</v>
      </c>
      <c r="AW98" s="58" t="e">
        <f t="shared" si="100"/>
        <v>#DIV/0!</v>
      </c>
      <c r="AX98" s="284" t="s">
        <v>291</v>
      </c>
      <c r="AY98" s="282">
        <v>130</v>
      </c>
      <c r="AZ98" s="282">
        <f t="shared" si="101"/>
        <v>130</v>
      </c>
      <c r="BA98" s="282">
        <f t="shared" si="102"/>
        <v>130</v>
      </c>
      <c r="BB98" s="282">
        <f t="shared" si="103"/>
        <v>130</v>
      </c>
      <c r="BC98" s="58" t="e">
        <f t="shared" si="104"/>
        <v>#DIV/0!</v>
      </c>
      <c r="BD98" s="294">
        <v>9</v>
      </c>
      <c r="BE98" s="51">
        <f t="shared" si="109"/>
        <v>6.9230769230769235E-2</v>
      </c>
      <c r="BI98" s="219">
        <v>130</v>
      </c>
      <c r="BJ98" s="282">
        <f t="shared" si="110"/>
        <v>0</v>
      </c>
      <c r="BK98" s="39">
        <f t="shared" si="111"/>
        <v>130</v>
      </c>
      <c r="BL98" s="576">
        <f>'FY 2013 by Agency'!AS98*Inflator!$E$13</f>
        <v>0</v>
      </c>
      <c r="BM98" s="258">
        <f t="shared" si="112"/>
        <v>0</v>
      </c>
      <c r="BN98" s="51" t="e">
        <f t="shared" si="113"/>
        <v>#DIV/0!</v>
      </c>
      <c r="BO98" s="52">
        <f>'FY 2013 by Agency'!AX98*Inflator!$E$13</f>
        <v>0</v>
      </c>
      <c r="BP98" s="52">
        <f t="shared" si="74"/>
        <v>0</v>
      </c>
      <c r="BQ98" s="51" t="e">
        <f t="shared" si="75"/>
        <v>#DIV/0!</v>
      </c>
      <c r="BR98" s="52">
        <f>'FY 2013 by Agency'!BE98*Inflator!$E$14</f>
        <v>0</v>
      </c>
      <c r="BS98" s="52">
        <f t="shared" si="76"/>
        <v>0</v>
      </c>
      <c r="BT98" s="51" t="e">
        <f t="shared" si="77"/>
        <v>#DIV/0!</v>
      </c>
      <c r="BU98" s="52">
        <f>'FY 2013 by Agency'!BL98*Inflator!$E$14</f>
        <v>0</v>
      </c>
      <c r="BV98" s="52">
        <f t="shared" si="114"/>
        <v>0</v>
      </c>
      <c r="BW98" s="39">
        <v>0</v>
      </c>
      <c r="BX98" s="39">
        <f>'FY 2013 by Agency'!BV98*Inflator!E15</f>
        <v>0</v>
      </c>
      <c r="BY98" s="39">
        <f t="shared" si="72"/>
        <v>0</v>
      </c>
      <c r="BZ98" s="51" t="e">
        <f t="shared" si="73"/>
        <v>#DIV/0!</v>
      </c>
      <c r="CB98" s="39"/>
    </row>
    <row r="99" spans="1:81" ht="18" customHeight="1">
      <c r="A99" s="59" t="s">
        <v>18</v>
      </c>
      <c r="B99" s="326">
        <f>'FY 2013 by Agency'!B99*Inflator!$E$2</f>
        <v>0</v>
      </c>
      <c r="C99" s="326">
        <f>'FY 2013 by Agency'!C99*Inflator!$E$3</f>
        <v>0</v>
      </c>
      <c r="D99" s="326">
        <f t="shared" si="78"/>
        <v>0</v>
      </c>
      <c r="E99" s="329" t="s">
        <v>78</v>
      </c>
      <c r="F99" s="10">
        <f>'FY 2013 by Agency'!F99*Inflator!$E$4</f>
        <v>0</v>
      </c>
      <c r="G99" s="10">
        <f t="shared" si="80"/>
        <v>0</v>
      </c>
      <c r="H99" s="329" t="s">
        <v>78</v>
      </c>
      <c r="I99" s="10">
        <f>'FY 2013 by Agency'!I99*Inflator!$E$5</f>
        <v>203.45035329118636</v>
      </c>
      <c r="J99" s="10">
        <f t="shared" si="82"/>
        <v>203.45035329118636</v>
      </c>
      <c r="K99" s="328" t="s">
        <v>78</v>
      </c>
      <c r="L99" s="10">
        <f>'FY 2013 by Agency'!L99*Inflator!$E$6</f>
        <v>328.55979643765897</v>
      </c>
      <c r="M99" s="10">
        <f t="shared" si="84"/>
        <v>125.10944314647261</v>
      </c>
      <c r="N99" s="14">
        <f t="shared" si="85"/>
        <v>0.61493844135729236</v>
      </c>
      <c r="O99" s="10">
        <f>'FY 2013 by Agency'!O99*Inflator!$E$7</f>
        <v>296.62231608588519</v>
      </c>
      <c r="P99" s="52">
        <f t="shared" si="105"/>
        <v>-31.937480351773786</v>
      </c>
      <c r="Q99" s="58">
        <f t="shared" si="89"/>
        <v>-9.7204468404379518E-2</v>
      </c>
      <c r="R99" s="52">
        <f>'FY 2013 by Agency'!R99*Inflator!$E$8</f>
        <v>317.19280380176508</v>
      </c>
      <c r="S99" s="52">
        <f>R99-O99</f>
        <v>20.570487715879892</v>
      </c>
      <c r="T99" s="58">
        <f>S99/O99</f>
        <v>6.9349090072925709E-2</v>
      </c>
      <c r="U99" s="52">
        <f>'FY 2013 by Agency'!U99*Inflator!$E$9</f>
        <v>321.09748010610076</v>
      </c>
      <c r="V99" s="52">
        <f t="shared" si="106"/>
        <v>3.9046763043356805</v>
      </c>
      <c r="W99" s="58">
        <f t="shared" si="107"/>
        <v>1.2310103689414003E-2</v>
      </c>
      <c r="X99" s="52">
        <f>'FY 2013 by Agency'!X99*Inflator!$E$10</f>
        <v>429.47094315655767</v>
      </c>
      <c r="Y99" s="39">
        <f t="shared" si="108"/>
        <v>108.37346305045691</v>
      </c>
      <c r="Z99" s="58">
        <f>Y99/U99</f>
        <v>0.33750954076203554</v>
      </c>
      <c r="AA99" s="52">
        <f>'FY 2013 by Agency'!AA99*Inflator!$E$11</f>
        <v>437.33418286078376</v>
      </c>
      <c r="AB99" s="39">
        <f t="shared" si="93"/>
        <v>7.8632397042260891</v>
      </c>
      <c r="AC99" s="58">
        <f t="shared" si="94"/>
        <v>1.8309130872585375E-2</v>
      </c>
      <c r="AD99" s="52" t="e">
        <f>'FY 2013 by Agency'!AD99*Inflator!#REF!</f>
        <v>#REF!</v>
      </c>
      <c r="AE99" s="52">
        <f>'FY 2013 by Agency'!AE99*Inflator!$B$8</f>
        <v>0</v>
      </c>
      <c r="AF99" s="52">
        <f>'FY 2013 by Agency'!AF99*Inflator!$E$12</f>
        <v>317.23182957393487</v>
      </c>
      <c r="AG99" s="52">
        <f t="shared" si="95"/>
        <v>-120.10235328684888</v>
      </c>
      <c r="AH99" s="58">
        <f t="shared" si="96"/>
        <v>-0.27462374996898187</v>
      </c>
      <c r="AI99" s="52">
        <f>'FY 2013 by Agency'!AI99*Inflator!$B$8</f>
        <v>0</v>
      </c>
      <c r="AJ99" s="52">
        <f>'FY 2013 by Agency'!AJ99*Inflator!$B$8</f>
        <v>0</v>
      </c>
      <c r="AK99" s="52">
        <f>'FY 2013 by Agency'!AK99</f>
        <v>305</v>
      </c>
      <c r="AL99" s="52">
        <f>'FY 2013 by Agency'!AL99</f>
        <v>0</v>
      </c>
      <c r="AM99" s="52">
        <f>'FY 2013 by Agency'!AM99</f>
        <v>305</v>
      </c>
      <c r="AN99" s="52">
        <f>'FY 2013 by Agency'!AN99</f>
        <v>199</v>
      </c>
      <c r="AO99" s="52">
        <f>'FY 2013 by Agency'!AO99</f>
        <v>199</v>
      </c>
      <c r="AP99" s="52">
        <f>'FY 2013 by Agency'!AP99</f>
        <v>0</v>
      </c>
      <c r="AQ99" s="52">
        <f>'FY 2013 by Agency'!AQ99</f>
        <v>0</v>
      </c>
      <c r="AR99" s="52">
        <f>'FY 2013 by Agency'!AR99</f>
        <v>0</v>
      </c>
      <c r="AS99" s="52">
        <f>'FY 2013 by Agency'!AS99</f>
        <v>173.09004999999999</v>
      </c>
      <c r="AT99" s="52" t="e">
        <f t="shared" si="97"/>
        <v>#REF!</v>
      </c>
      <c r="AU99" s="58" t="e">
        <f t="shared" si="98"/>
        <v>#REF!</v>
      </c>
      <c r="AV99" s="52">
        <f t="shared" si="99"/>
        <v>-144.14177957393488</v>
      </c>
      <c r="AW99" s="58">
        <f t="shared" si="100"/>
        <v>-0.45437363510315987</v>
      </c>
      <c r="AX99" s="284" t="s">
        <v>292</v>
      </c>
      <c r="AY99" s="282">
        <v>199.48599999999999</v>
      </c>
      <c r="AZ99" s="282">
        <f t="shared" si="101"/>
        <v>0.48599999999999</v>
      </c>
      <c r="BA99" s="282">
        <f t="shared" si="102"/>
        <v>-143.65577957393489</v>
      </c>
      <c r="BB99" s="282">
        <f t="shared" si="103"/>
        <v>173.57604999999998</v>
      </c>
      <c r="BC99" s="58">
        <f t="shared" si="104"/>
        <v>-0.45284163246441855</v>
      </c>
      <c r="BD99" s="294">
        <v>0</v>
      </c>
      <c r="BE99" s="51">
        <f t="shared" si="109"/>
        <v>0</v>
      </c>
      <c r="BI99" s="219">
        <v>195</v>
      </c>
      <c r="BJ99" s="282">
        <f t="shared" si="110"/>
        <v>-4.48599999999999</v>
      </c>
      <c r="BK99" s="39">
        <f t="shared" si="111"/>
        <v>195</v>
      </c>
      <c r="BL99" s="576">
        <f>'FY 2013 by Agency'!AS99*Inflator!$E$13</f>
        <v>179.48122975282271</v>
      </c>
      <c r="BM99" s="258">
        <f t="shared" si="112"/>
        <v>-137.75059982111216</v>
      </c>
      <c r="BN99" s="51">
        <f t="shared" si="113"/>
        <v>-0.4342269185476158</v>
      </c>
      <c r="BO99" s="52">
        <f>'FY 2013 by Agency'!AX99*Inflator!$E$13</f>
        <v>202.20018309429361</v>
      </c>
      <c r="BP99" s="52">
        <f t="shared" si="74"/>
        <v>-115.03164647964127</v>
      </c>
      <c r="BQ99" s="51">
        <f t="shared" si="75"/>
        <v>-0.36261067066989155</v>
      </c>
      <c r="BR99" s="52">
        <f>'FY 2013 by Agency'!BE99*Inflator!$E$14</f>
        <v>197.85309047476861</v>
      </c>
      <c r="BS99" s="52">
        <f t="shared" si="76"/>
        <v>-4.3470926195250001</v>
      </c>
      <c r="BT99" s="51">
        <f t="shared" si="77"/>
        <v>-2.1498954911914132E-2</v>
      </c>
      <c r="BU99" s="52">
        <f>'FY 2013 by Agency'!BL99*Inflator!$E$14</f>
        <v>197.85309047476861</v>
      </c>
      <c r="BV99" s="52">
        <f t="shared" si="114"/>
        <v>18.371860721945893</v>
      </c>
      <c r="BW99" s="39">
        <v>199</v>
      </c>
      <c r="BX99" s="39">
        <f>'FY 2013 by Agency'!BV99*Inflator!E15</f>
        <v>249</v>
      </c>
      <c r="BY99" s="39">
        <f t="shared" si="72"/>
        <v>1.1469095252313934</v>
      </c>
      <c r="BZ99" s="51">
        <f t="shared" si="73"/>
        <v>5.7967733659315982E-3</v>
      </c>
      <c r="CB99" s="39"/>
    </row>
    <row r="100" spans="1:81" ht="18" customHeight="1">
      <c r="A100" s="59" t="s">
        <v>173</v>
      </c>
      <c r="B100" s="329" t="s">
        <v>78</v>
      </c>
      <c r="C100" s="329" t="s">
        <v>78</v>
      </c>
      <c r="D100" s="329" t="s">
        <v>78</v>
      </c>
      <c r="E100" s="329" t="s">
        <v>78</v>
      </c>
      <c r="F100" s="329" t="s">
        <v>78</v>
      </c>
      <c r="G100" s="329" t="s">
        <v>78</v>
      </c>
      <c r="H100" s="329" t="s">
        <v>78</v>
      </c>
      <c r="I100" s="329" t="s">
        <v>78</v>
      </c>
      <c r="J100" s="329" t="s">
        <v>78</v>
      </c>
      <c r="K100" s="328" t="s">
        <v>78</v>
      </c>
      <c r="L100" s="10">
        <f>'FY 2013 by Agency'!L100*Inflator!$E$6</f>
        <v>931.33115230825149</v>
      </c>
      <c r="M100" s="329" t="s">
        <v>78</v>
      </c>
      <c r="N100" s="328" t="s">
        <v>78</v>
      </c>
      <c r="O100" s="10">
        <f>'FY 2013 by Agency'!O100*Inflator!$E$7</f>
        <v>873.12214009151694</v>
      </c>
      <c r="P100" s="69">
        <f t="shared" si="105"/>
        <v>-58.20901221673455</v>
      </c>
      <c r="Q100" s="58">
        <f t="shared" si="89"/>
        <v>-6.2500875303555359E-2</v>
      </c>
      <c r="R100" s="52">
        <f>'FY 2013 by Agency'!R100*Inflator!$E$8</f>
        <v>595.16904276985736</v>
      </c>
      <c r="S100" s="52">
        <f>R100-O100</f>
        <v>-277.95309732165958</v>
      </c>
      <c r="T100" s="58">
        <f>S100/O100</f>
        <v>-0.31834388862539409</v>
      </c>
      <c r="U100" s="52">
        <f>'FY 2013 by Agency'!U100*Inflator!$E$9</f>
        <v>913.71949602122015</v>
      </c>
      <c r="V100" s="52">
        <f t="shared" si="106"/>
        <v>318.5504532513628</v>
      </c>
      <c r="W100" s="58">
        <f t="shared" si="107"/>
        <v>0.5352268521374377</v>
      </c>
      <c r="X100" s="52">
        <f>'FY 2013 by Agency'!X100*Inflator!$E$10</f>
        <v>1591.6322642108607</v>
      </c>
      <c r="Y100" s="39">
        <f t="shared" si="108"/>
        <v>677.91276818964059</v>
      </c>
      <c r="Z100" s="58">
        <f>Y100/U100</f>
        <v>0.74192656624008035</v>
      </c>
      <c r="AA100" s="52">
        <f>'FY 2013 by Agency'!AA100*Inflator!$E$11</f>
        <v>1432.1611978337053</v>
      </c>
      <c r="AB100" s="39">
        <f t="shared" si="93"/>
        <v>-159.47106637715547</v>
      </c>
      <c r="AC100" s="58">
        <f t="shared" si="94"/>
        <v>-0.1001934114826593</v>
      </c>
      <c r="AD100" s="52" t="e">
        <f>'FY 2013 by Agency'!AD100*Inflator!#REF!</f>
        <v>#REF!</v>
      </c>
      <c r="AE100" s="52">
        <f>'FY 2013 by Agency'!AE100*Inflator!$B$8</f>
        <v>0</v>
      </c>
      <c r="AF100" s="52">
        <f>'FY 2013 by Agency'!AF100*Inflator!$E$12</f>
        <v>1376.4454887218046</v>
      </c>
      <c r="AG100" s="52">
        <f t="shared" si="95"/>
        <v>-55.715709111900651</v>
      </c>
      <c r="AH100" s="58">
        <f t="shared" si="96"/>
        <v>-3.8903238822680389E-2</v>
      </c>
      <c r="AI100" s="52">
        <f>'FY 2013 by Agency'!AI100*Inflator!$B$8</f>
        <v>0</v>
      </c>
      <c r="AJ100" s="52">
        <f>'FY 2013 by Agency'!AJ100*Inflator!$B$8</f>
        <v>0</v>
      </c>
      <c r="AK100" s="52">
        <f>'FY 2013 by Agency'!AK100</f>
        <v>1273</v>
      </c>
      <c r="AL100" s="52">
        <f>'FY 2013 by Agency'!AL100</f>
        <v>0</v>
      </c>
      <c r="AM100" s="52">
        <f>'FY 2013 by Agency'!AM100</f>
        <v>1273</v>
      </c>
      <c r="AN100" s="52">
        <f>'FY 2013 by Agency'!AN100</f>
        <v>1624</v>
      </c>
      <c r="AO100" s="52">
        <f>'FY 2013 by Agency'!AO100</f>
        <v>1624</v>
      </c>
      <c r="AP100" s="52">
        <f>'FY 2013 by Agency'!AP100</f>
        <v>0</v>
      </c>
      <c r="AQ100" s="52">
        <f>'FY 2013 by Agency'!AQ100</f>
        <v>0</v>
      </c>
      <c r="AR100" s="52">
        <f>'FY 2013 by Agency'!AR100</f>
        <v>0</v>
      </c>
      <c r="AS100" s="52">
        <f>'FY 2013 by Agency'!AS100</f>
        <v>1190.7141999999999</v>
      </c>
      <c r="AT100" s="52" t="e">
        <f t="shared" si="97"/>
        <v>#REF!</v>
      </c>
      <c r="AU100" s="58" t="e">
        <f t="shared" si="98"/>
        <v>#REF!</v>
      </c>
      <c r="AV100" s="52">
        <f t="shared" si="99"/>
        <v>-185.73128872180473</v>
      </c>
      <c r="AW100" s="58">
        <f t="shared" si="100"/>
        <v>-0.13493544803890389</v>
      </c>
      <c r="AX100" s="284" t="s">
        <v>293</v>
      </c>
      <c r="AY100" s="282">
        <v>1623.7539999999999</v>
      </c>
      <c r="AZ100" s="282">
        <f t="shared" si="101"/>
        <v>-0.24600000000009459</v>
      </c>
      <c r="BA100" s="282">
        <f t="shared" si="102"/>
        <v>-185.97728872180483</v>
      </c>
      <c r="BB100" s="282">
        <f t="shared" si="103"/>
        <v>1190.4681999999998</v>
      </c>
      <c r="BC100" s="58">
        <f t="shared" si="104"/>
        <v>-0.13511416924654762</v>
      </c>
      <c r="BD100" s="294">
        <v>3.972</v>
      </c>
      <c r="BE100" s="51">
        <f t="shared" si="109"/>
        <v>2.446183350433625E-3</v>
      </c>
      <c r="BI100" s="219">
        <v>1601</v>
      </c>
      <c r="BJ100" s="282">
        <f t="shared" si="110"/>
        <v>-22.753999999999905</v>
      </c>
      <c r="BK100" s="39">
        <f t="shared" si="111"/>
        <v>1601</v>
      </c>
      <c r="BL100" s="576">
        <f>'FY 2013 by Agency'!AS100*Inflator!$E$13</f>
        <v>1234.6801500152581</v>
      </c>
      <c r="BM100" s="258">
        <f t="shared" si="112"/>
        <v>-141.76533870654657</v>
      </c>
      <c r="BN100" s="51">
        <f t="shared" si="113"/>
        <v>-0.10299379079529895</v>
      </c>
      <c r="BO100" s="52">
        <f>'FY 2013 by Agency'!AX100*Inflator!$E$13</f>
        <v>1660.1153494049438</v>
      </c>
      <c r="BP100" s="52">
        <f t="shared" si="74"/>
        <v>283.66986068313918</v>
      </c>
      <c r="BQ100" s="51">
        <f t="shared" si="75"/>
        <v>0.20608869948533945</v>
      </c>
      <c r="BR100" s="52">
        <f>'FY 2013 by Agency'!BE100*Inflator!$E$14</f>
        <v>1573.6930426993133</v>
      </c>
      <c r="BS100" s="52">
        <f t="shared" si="76"/>
        <v>-86.42230670563049</v>
      </c>
      <c r="BT100" s="51">
        <f t="shared" si="77"/>
        <v>-5.2058013159512036E-2</v>
      </c>
      <c r="BU100" s="52">
        <f>'FY 2013 by Agency'!BL100*Inflator!$E$14</f>
        <v>1573.6930426993133</v>
      </c>
      <c r="BV100" s="52">
        <f t="shared" si="114"/>
        <v>339.01289268405526</v>
      </c>
      <c r="BW100" s="39">
        <v>0</v>
      </c>
      <c r="BX100" s="39">
        <f>'FY 2013 by Agency'!BV100*Inflator!E15</f>
        <v>0</v>
      </c>
      <c r="BY100" s="39">
        <f t="shared" si="72"/>
        <v>-1573.6930426993133</v>
      </c>
      <c r="BZ100" s="51">
        <f t="shared" si="73"/>
        <v>-1</v>
      </c>
      <c r="CB100" s="39"/>
    </row>
    <row r="101" spans="1:81" ht="18" customHeight="1">
      <c r="A101" s="59" t="s">
        <v>175</v>
      </c>
      <c r="B101" s="329" t="s">
        <v>78</v>
      </c>
      <c r="C101" s="329" t="s">
        <v>78</v>
      </c>
      <c r="D101" s="329" t="s">
        <v>78</v>
      </c>
      <c r="E101" s="329" t="s">
        <v>78</v>
      </c>
      <c r="F101" s="329" t="s">
        <v>78</v>
      </c>
      <c r="G101" s="329" t="s">
        <v>78</v>
      </c>
      <c r="H101" s="329" t="s">
        <v>78</v>
      </c>
      <c r="I101" s="329" t="s">
        <v>78</v>
      </c>
      <c r="J101" s="329" t="s">
        <v>78</v>
      </c>
      <c r="K101" s="328" t="s">
        <v>78</v>
      </c>
      <c r="L101" s="10">
        <f>'FY 2013 by Agency'!L101*Inflator!$E$6</f>
        <v>906.62740821519435</v>
      </c>
      <c r="M101" s="329" t="s">
        <v>78</v>
      </c>
      <c r="N101" s="328" t="s">
        <v>78</v>
      </c>
      <c r="O101" s="10">
        <f>'FY 2013 by Agency'!O101*Inflator!$E$7</f>
        <v>0</v>
      </c>
      <c r="P101" s="69">
        <f t="shared" si="105"/>
        <v>-906.62740821519435</v>
      </c>
      <c r="Q101" s="58">
        <f t="shared" si="89"/>
        <v>-1</v>
      </c>
      <c r="R101" s="52">
        <f>'FY 2013 by Agency'!R101*Inflator!$E$8</f>
        <v>0</v>
      </c>
      <c r="S101" s="52">
        <f>R101-O101</f>
        <v>0</v>
      </c>
      <c r="T101" s="60" t="s">
        <v>78</v>
      </c>
      <c r="U101" s="52">
        <f>'FY 2013 by Agency'!U101*Inflator!$E$9</f>
        <v>0</v>
      </c>
      <c r="V101" s="52">
        <f t="shared" si="106"/>
        <v>0</v>
      </c>
      <c r="W101" s="60" t="s">
        <v>78</v>
      </c>
      <c r="X101" s="52">
        <f>'FY 2013 by Agency'!X101*Inflator!$E$10</f>
        <v>0</v>
      </c>
      <c r="Y101" s="39">
        <f t="shared" si="108"/>
        <v>0</v>
      </c>
      <c r="Z101" s="61" t="s">
        <v>127</v>
      </c>
      <c r="AA101" s="52">
        <f>'FY 2013 by Agency'!AA101*Inflator!$E$11</f>
        <v>0</v>
      </c>
      <c r="AB101" s="39">
        <f t="shared" si="93"/>
        <v>0</v>
      </c>
      <c r="AC101" s="58" t="e">
        <f t="shared" si="94"/>
        <v>#DIV/0!</v>
      </c>
      <c r="AD101" s="52" t="e">
        <f>'FY 2013 by Agency'!AD101*Inflator!#REF!</f>
        <v>#REF!</v>
      </c>
      <c r="AE101" s="52">
        <f>'FY 2013 by Agency'!AE101*Inflator!$B$8</f>
        <v>0</v>
      </c>
      <c r="AF101" s="52">
        <f>'FY 2013 by Agency'!AF101*Inflator!$E$12</f>
        <v>0</v>
      </c>
      <c r="AG101" s="52">
        <f t="shared" si="95"/>
        <v>0</v>
      </c>
      <c r="AH101" s="58" t="e">
        <f t="shared" si="96"/>
        <v>#DIV/0!</v>
      </c>
      <c r="AI101" s="52">
        <f>'FY 2013 by Agency'!AI101*Inflator!$B$8</f>
        <v>0</v>
      </c>
      <c r="AJ101" s="52">
        <f>'FY 2013 by Agency'!AJ101*Inflator!$B$8</f>
        <v>0</v>
      </c>
      <c r="AK101" s="52">
        <f>'FY 2013 by Agency'!AK101</f>
        <v>0</v>
      </c>
      <c r="AL101" s="52">
        <f>'FY 2013 by Agency'!AL101</f>
        <v>0</v>
      </c>
      <c r="AM101" s="52">
        <f>'FY 2013 by Agency'!AM101</f>
        <v>0</v>
      </c>
      <c r="AN101" s="52">
        <f>'FY 2013 by Agency'!AN101</f>
        <v>0</v>
      </c>
      <c r="AO101" s="52">
        <f>'FY 2013 by Agency'!AO101</f>
        <v>0</v>
      </c>
      <c r="AP101" s="52">
        <f>'FY 2013 by Agency'!AP101</f>
        <v>0</v>
      </c>
      <c r="AQ101" s="52">
        <f>'FY 2013 by Agency'!AQ101</f>
        <v>0</v>
      </c>
      <c r="AR101" s="52">
        <f>'FY 2013 by Agency'!AR101</f>
        <v>0</v>
      </c>
      <c r="AS101" s="52">
        <f>'FY 2013 by Agency'!AS101</f>
        <v>0</v>
      </c>
      <c r="AT101" s="52" t="e">
        <f t="shared" si="97"/>
        <v>#REF!</v>
      </c>
      <c r="AU101" s="58" t="e">
        <f t="shared" si="98"/>
        <v>#REF!</v>
      </c>
      <c r="AV101" s="52">
        <f t="shared" si="99"/>
        <v>0</v>
      </c>
      <c r="AW101" s="58" t="e">
        <f t="shared" si="100"/>
        <v>#DIV/0!</v>
      </c>
      <c r="AX101" s="284" t="s">
        <v>295</v>
      </c>
      <c r="AY101" s="282">
        <v>0</v>
      </c>
      <c r="AZ101" s="282">
        <f t="shared" si="101"/>
        <v>0</v>
      </c>
      <c r="BA101" s="282">
        <f t="shared" si="102"/>
        <v>0</v>
      </c>
      <c r="BB101" s="282">
        <f t="shared" si="103"/>
        <v>0</v>
      </c>
      <c r="BC101" s="58" t="e">
        <f t="shared" si="104"/>
        <v>#DIV/0!</v>
      </c>
      <c r="BD101" s="294"/>
      <c r="BE101" s="51"/>
      <c r="BI101" s="65"/>
      <c r="BJ101" s="282">
        <f t="shared" si="110"/>
        <v>0</v>
      </c>
      <c r="BK101" s="39">
        <f t="shared" si="111"/>
        <v>0</v>
      </c>
      <c r="BL101" s="576">
        <f>'FY 2013 by Agency'!AS101*Inflator!$E$13</f>
        <v>0</v>
      </c>
      <c r="BM101" s="258">
        <f t="shared" si="112"/>
        <v>0</v>
      </c>
      <c r="BN101" s="51" t="e">
        <f t="shared" si="113"/>
        <v>#DIV/0!</v>
      </c>
      <c r="BO101" s="52">
        <f>'FY 2013 by Agency'!AX101*Inflator!$E$13</f>
        <v>0</v>
      </c>
      <c r="BP101" s="52">
        <f t="shared" si="74"/>
        <v>0</v>
      </c>
      <c r="BQ101" s="51" t="e">
        <f t="shared" si="75"/>
        <v>#DIV/0!</v>
      </c>
      <c r="BR101" s="52">
        <f>'FY 2013 by Agency'!BE101*Inflator!$E$14</f>
        <v>0</v>
      </c>
      <c r="BS101" s="52">
        <f t="shared" si="76"/>
        <v>0</v>
      </c>
      <c r="BT101" s="51" t="e">
        <f t="shared" si="77"/>
        <v>#DIV/0!</v>
      </c>
      <c r="BU101" s="52">
        <f>'FY 2013 by Agency'!BL101*Inflator!$E$14</f>
        <v>0</v>
      </c>
      <c r="BV101" s="52">
        <f t="shared" si="114"/>
        <v>0</v>
      </c>
      <c r="BW101" s="39">
        <v>0</v>
      </c>
      <c r="BX101" s="39">
        <f>'FY 2013 by Agency'!BV101*Inflator!E15</f>
        <v>0</v>
      </c>
      <c r="BY101" s="39">
        <f t="shared" si="72"/>
        <v>0</v>
      </c>
      <c r="BZ101" s="51" t="e">
        <f t="shared" si="73"/>
        <v>#DIV/0!</v>
      </c>
      <c r="CB101" s="39"/>
    </row>
    <row r="102" spans="1:81" ht="18" customHeight="1">
      <c r="A102" s="59" t="s">
        <v>112</v>
      </c>
      <c r="B102" s="329" t="s">
        <v>78</v>
      </c>
      <c r="C102" s="329" t="s">
        <v>78</v>
      </c>
      <c r="D102" s="329" t="s">
        <v>78</v>
      </c>
      <c r="E102" s="329" t="s">
        <v>78</v>
      </c>
      <c r="F102" s="329" t="s">
        <v>78</v>
      </c>
      <c r="G102" s="329" t="s">
        <v>78</v>
      </c>
      <c r="H102" s="329" t="s">
        <v>78</v>
      </c>
      <c r="I102" s="329" t="s">
        <v>78</v>
      </c>
      <c r="J102" s="329" t="s">
        <v>78</v>
      </c>
      <c r="K102" s="328" t="s">
        <v>78</v>
      </c>
      <c r="L102" s="10">
        <f>'FY 2013 by Agency'!L102*Inflator!$E$6</f>
        <v>0</v>
      </c>
      <c r="M102" s="329" t="s">
        <v>78</v>
      </c>
      <c r="N102" s="328" t="s">
        <v>78</v>
      </c>
      <c r="O102" s="10">
        <f>'FY 2013 by Agency'!O102*Inflator!$E$7</f>
        <v>0</v>
      </c>
      <c r="P102" s="69">
        <f t="shared" si="105"/>
        <v>0</v>
      </c>
      <c r="Q102" s="60" t="s">
        <v>78</v>
      </c>
      <c r="R102" s="52">
        <f>'FY 2013 by Agency'!R102*Inflator!$E$8</f>
        <v>0</v>
      </c>
      <c r="S102" s="52">
        <f t="shared" si="90"/>
        <v>0</v>
      </c>
      <c r="T102" s="60" t="s">
        <v>78</v>
      </c>
      <c r="U102" s="52">
        <f>'FY 2013 by Agency'!U102*Inflator!$E$9</f>
        <v>0</v>
      </c>
      <c r="V102" s="52">
        <f t="shared" si="106"/>
        <v>0</v>
      </c>
      <c r="W102" s="60" t="s">
        <v>78</v>
      </c>
      <c r="X102" s="52">
        <f>'FY 2013 by Agency'!X102*Inflator!$E$10</f>
        <v>0</v>
      </c>
      <c r="Y102" s="39">
        <f t="shared" si="108"/>
        <v>0</v>
      </c>
      <c r="Z102" s="61" t="s">
        <v>127</v>
      </c>
      <c r="AA102" s="52">
        <f>'FY 2013 by Agency'!AA102*Inflator!$E$11</f>
        <v>0</v>
      </c>
      <c r="AB102" s="39">
        <f t="shared" si="93"/>
        <v>0</v>
      </c>
      <c r="AC102" s="58" t="e">
        <f t="shared" si="94"/>
        <v>#DIV/0!</v>
      </c>
      <c r="AD102" s="52" t="e">
        <f>'FY 2013 by Agency'!AD102*Inflator!#REF!</f>
        <v>#REF!</v>
      </c>
      <c r="AE102" s="52">
        <f>'FY 2013 by Agency'!AE102*Inflator!$B$8</f>
        <v>0</v>
      </c>
      <c r="AF102" s="52">
        <f>'FY 2013 by Agency'!AF102*Inflator!$E$12</f>
        <v>0</v>
      </c>
      <c r="AG102" s="52">
        <f t="shared" si="95"/>
        <v>0</v>
      </c>
      <c r="AH102" s="58" t="e">
        <f t="shared" si="96"/>
        <v>#DIV/0!</v>
      </c>
      <c r="AI102" s="52">
        <f>'FY 2013 by Agency'!AI102*Inflator!$B$8</f>
        <v>0</v>
      </c>
      <c r="AJ102" s="52">
        <f>'FY 2013 by Agency'!AJ102*Inflator!$B$8</f>
        <v>0</v>
      </c>
      <c r="AK102" s="52">
        <f>'FY 2013 by Agency'!AK102</f>
        <v>3131</v>
      </c>
      <c r="AL102" s="52">
        <f>'FY 2013 by Agency'!AL102</f>
        <v>0</v>
      </c>
      <c r="AM102" s="52">
        <f>'FY 2013 by Agency'!AM102</f>
        <v>3131</v>
      </c>
      <c r="AN102" s="52">
        <f>'FY 2013 by Agency'!AN102</f>
        <v>2643</v>
      </c>
      <c r="AO102" s="52">
        <f>'FY 2013 by Agency'!AO102</f>
        <v>9777</v>
      </c>
      <c r="AP102" s="52">
        <f>'FY 2013 by Agency'!AP102</f>
        <v>0</v>
      </c>
      <c r="AQ102" s="52">
        <f>'FY 2013 by Agency'!AQ102</f>
        <v>0</v>
      </c>
      <c r="AR102" s="52">
        <f>'FY 2013 by Agency'!AR102</f>
        <v>0</v>
      </c>
      <c r="AS102" s="52">
        <f>'FY 2013 by Agency'!AS102</f>
        <v>5402.3288599999996</v>
      </c>
      <c r="AT102" s="52" t="e">
        <f t="shared" si="97"/>
        <v>#REF!</v>
      </c>
      <c r="AU102" s="58" t="e">
        <f t="shared" si="98"/>
        <v>#REF!</v>
      </c>
      <c r="AV102" s="52">
        <f t="shared" si="99"/>
        <v>5402.3288599999996</v>
      </c>
      <c r="AW102" s="58" t="e">
        <f t="shared" si="100"/>
        <v>#DIV/0!</v>
      </c>
      <c r="AX102" s="284" t="s">
        <v>296</v>
      </c>
      <c r="AY102" s="282">
        <v>9777.3339999999989</v>
      </c>
      <c r="AZ102" s="282">
        <f t="shared" si="101"/>
        <v>0.33399999999892316</v>
      </c>
      <c r="BA102" s="282">
        <f t="shared" si="102"/>
        <v>5402.6628599999985</v>
      </c>
      <c r="BB102" s="282">
        <f t="shared" si="103"/>
        <v>5402.6628599999985</v>
      </c>
      <c r="BC102" s="58" t="e">
        <f t="shared" si="104"/>
        <v>#DIV/0!</v>
      </c>
      <c r="BD102" s="294">
        <v>252.02199999999999</v>
      </c>
      <c r="BE102" s="51">
        <f t="shared" si="109"/>
        <v>2.5776147158315346E-2</v>
      </c>
      <c r="BF102" s="50">
        <v>264</v>
      </c>
      <c r="BI102" s="219">
        <v>9507</v>
      </c>
      <c r="BJ102" s="282">
        <f t="shared" si="110"/>
        <v>-270.33399999999892</v>
      </c>
      <c r="BK102" s="39">
        <f t="shared" si="111"/>
        <v>9507</v>
      </c>
      <c r="BL102" s="576">
        <f>'FY 2013 by Agency'!AS102*Inflator!$E$13</f>
        <v>5601.8045365517246</v>
      </c>
      <c r="BM102" s="258">
        <f t="shared" si="112"/>
        <v>5601.8045365517246</v>
      </c>
      <c r="BN102" s="51" t="e">
        <f t="shared" si="113"/>
        <v>#DIV/0!</v>
      </c>
      <c r="BO102" s="52">
        <f>'FY 2013 by Agency'!AX102*Inflator!$E$13</f>
        <v>0</v>
      </c>
      <c r="BP102" s="52">
        <f t="shared" si="74"/>
        <v>0</v>
      </c>
      <c r="BQ102" s="51" t="e">
        <f t="shared" si="75"/>
        <v>#DIV/0!</v>
      </c>
      <c r="BR102" s="52">
        <f>'FY 2013 by Agency'!BE102*Inflator!$E$14</f>
        <v>0</v>
      </c>
      <c r="BS102" s="52">
        <f t="shared" si="76"/>
        <v>0</v>
      </c>
      <c r="BT102" s="51" t="e">
        <f t="shared" si="77"/>
        <v>#DIV/0!</v>
      </c>
      <c r="BU102" s="52">
        <f>'FY 2013 by Agency'!BL102*Inflator!$E$14</f>
        <v>0</v>
      </c>
      <c r="BV102" s="52">
        <f t="shared" si="114"/>
        <v>-5601.8045365517246</v>
      </c>
      <c r="BW102" s="39">
        <v>0</v>
      </c>
      <c r="BX102" s="39">
        <f>'FY 2013 by Agency'!BV102*Inflator!E15</f>
        <v>5</v>
      </c>
      <c r="BY102" s="39">
        <f t="shared" si="72"/>
        <v>0</v>
      </c>
      <c r="BZ102" s="51" t="e">
        <f t="shared" si="73"/>
        <v>#DIV/0!</v>
      </c>
      <c r="CB102" s="39"/>
    </row>
    <row r="103" spans="1:81" ht="18" customHeight="1">
      <c r="A103" s="59" t="s">
        <v>113</v>
      </c>
      <c r="B103" s="329" t="s">
        <v>78</v>
      </c>
      <c r="C103" s="329" t="s">
        <v>78</v>
      </c>
      <c r="D103" s="329" t="s">
        <v>78</v>
      </c>
      <c r="E103" s="329" t="s">
        <v>78</v>
      </c>
      <c r="F103" s="329" t="s">
        <v>78</v>
      </c>
      <c r="G103" s="329" t="s">
        <v>78</v>
      </c>
      <c r="H103" s="329" t="s">
        <v>78</v>
      </c>
      <c r="I103" s="329" t="s">
        <v>78</v>
      </c>
      <c r="J103" s="329" t="s">
        <v>78</v>
      </c>
      <c r="K103" s="328" t="s">
        <v>78</v>
      </c>
      <c r="L103" s="10">
        <f>'FY 2013 by Agency'!L103*Inflator!$E$6</f>
        <v>0</v>
      </c>
      <c r="M103" s="329" t="s">
        <v>78</v>
      </c>
      <c r="N103" s="328" t="s">
        <v>78</v>
      </c>
      <c r="O103" s="10">
        <f>'FY 2013 by Agency'!O103*Inflator!$E$7</f>
        <v>0</v>
      </c>
      <c r="P103" s="69">
        <f t="shared" si="105"/>
        <v>0</v>
      </c>
      <c r="Q103" s="60" t="s">
        <v>78</v>
      </c>
      <c r="R103" s="52">
        <f>'FY 2013 by Agency'!R103*Inflator!$E$8</f>
        <v>0</v>
      </c>
      <c r="S103" s="52">
        <f t="shared" si="90"/>
        <v>0</v>
      </c>
      <c r="T103" s="60" t="s">
        <v>78</v>
      </c>
      <c r="U103" s="52">
        <f>'FY 2013 by Agency'!U103*Inflator!$E$9</f>
        <v>0</v>
      </c>
      <c r="V103" s="52">
        <f t="shared" si="106"/>
        <v>0</v>
      </c>
      <c r="W103" s="60" t="s">
        <v>78</v>
      </c>
      <c r="X103" s="52">
        <f>'FY 2013 by Agency'!X103*Inflator!$E$10</f>
        <v>0</v>
      </c>
      <c r="Y103" s="39">
        <f t="shared" si="108"/>
        <v>0</v>
      </c>
      <c r="Z103" s="61" t="s">
        <v>127</v>
      </c>
      <c r="AA103" s="52">
        <f>'FY 2013 by Agency'!AA103*Inflator!$E$11</f>
        <v>0</v>
      </c>
      <c r="AB103" s="39">
        <f t="shared" si="93"/>
        <v>0</v>
      </c>
      <c r="AC103" s="58" t="e">
        <f t="shared" si="94"/>
        <v>#DIV/0!</v>
      </c>
      <c r="AD103" s="52" t="e">
        <f>'FY 2013 by Agency'!AD103*Inflator!#REF!</f>
        <v>#REF!</v>
      </c>
      <c r="AE103" s="52">
        <f>'FY 2013 by Agency'!AE103*Inflator!$B$8</f>
        <v>0</v>
      </c>
      <c r="AF103" s="52">
        <f>'FY 2013 by Agency'!AF103*Inflator!$E$12</f>
        <v>0</v>
      </c>
      <c r="AG103" s="52">
        <f t="shared" si="95"/>
        <v>0</v>
      </c>
      <c r="AH103" s="58" t="e">
        <f t="shared" si="96"/>
        <v>#DIV/0!</v>
      </c>
      <c r="AI103" s="52">
        <f>'FY 2013 by Agency'!AI103*Inflator!$B$8</f>
        <v>0</v>
      </c>
      <c r="AJ103" s="52">
        <f>'FY 2013 by Agency'!AJ103*Inflator!$B$8</f>
        <v>0</v>
      </c>
      <c r="AK103" s="52">
        <f>'FY 2013 by Agency'!AK103</f>
        <v>76</v>
      </c>
      <c r="AL103" s="52">
        <f>'FY 2013 by Agency'!AL103</f>
        <v>320</v>
      </c>
      <c r="AM103" s="52">
        <f>'FY 2013 by Agency'!AM103</f>
        <v>396</v>
      </c>
      <c r="AN103" s="52">
        <f>'FY 2013 by Agency'!AN103</f>
        <v>72</v>
      </c>
      <c r="AO103" s="52">
        <f>'FY 2013 by Agency'!AO103</f>
        <v>72</v>
      </c>
      <c r="AP103" s="52">
        <f>'FY 2013 by Agency'!AP103</f>
        <v>6</v>
      </c>
      <c r="AQ103" s="52">
        <f>'FY 2013 by Agency'!AQ103</f>
        <v>1</v>
      </c>
      <c r="AR103" s="52">
        <f>'FY 2013 by Agency'!AR103</f>
        <v>7</v>
      </c>
      <c r="AS103" s="52">
        <f>'FY 2013 by Agency'!AS103</f>
        <v>55.515050000000002</v>
      </c>
      <c r="AT103" s="52" t="e">
        <f t="shared" si="97"/>
        <v>#REF!</v>
      </c>
      <c r="AU103" s="58" t="e">
        <f t="shared" si="98"/>
        <v>#REF!</v>
      </c>
      <c r="AV103" s="52">
        <f t="shared" si="99"/>
        <v>55.515050000000002</v>
      </c>
      <c r="AW103" s="58" t="e">
        <f t="shared" si="100"/>
        <v>#DIV/0!</v>
      </c>
      <c r="AX103" s="284" t="s">
        <v>297</v>
      </c>
      <c r="AY103" s="282">
        <v>71.594999999999999</v>
      </c>
      <c r="AZ103" s="282">
        <f t="shared" si="101"/>
        <v>-0.40500000000000114</v>
      </c>
      <c r="BA103" s="282">
        <f t="shared" si="102"/>
        <v>55.110050000000001</v>
      </c>
      <c r="BB103" s="282">
        <f t="shared" si="103"/>
        <v>55.110050000000001</v>
      </c>
      <c r="BC103" s="58" t="e">
        <f t="shared" si="104"/>
        <v>#DIV/0!</v>
      </c>
      <c r="BD103" s="294">
        <v>0.47599999999999998</v>
      </c>
      <c r="BE103" s="51">
        <f t="shared" si="109"/>
        <v>6.6485089740903692E-3</v>
      </c>
      <c r="BI103" s="219">
        <v>70</v>
      </c>
      <c r="BJ103" s="282">
        <f t="shared" si="110"/>
        <v>-1.5949999999999989</v>
      </c>
      <c r="BK103" s="39">
        <f t="shared" si="111"/>
        <v>77</v>
      </c>
      <c r="BL103" s="576">
        <f>'FY 2013 by Agency'!AS103*Inflator!$E$13</f>
        <v>57.564888587122383</v>
      </c>
      <c r="BM103" s="258">
        <f t="shared" si="112"/>
        <v>57.564888587122383</v>
      </c>
      <c r="BN103" s="51" t="e">
        <f t="shared" si="113"/>
        <v>#DIV/0!</v>
      </c>
      <c r="BO103" s="52">
        <f>'FY 2013 by Agency'!AX103*Inflator!$E$13</f>
        <v>0</v>
      </c>
      <c r="BP103" s="52">
        <f t="shared" si="74"/>
        <v>0</v>
      </c>
      <c r="BQ103" s="51" t="e">
        <f t="shared" si="75"/>
        <v>#DIV/0!</v>
      </c>
      <c r="BR103" s="52">
        <f>'FY 2013 by Agency'!BE103*Inflator!$E$14</f>
        <v>0</v>
      </c>
      <c r="BS103" s="52">
        <f t="shared" si="76"/>
        <v>0</v>
      </c>
      <c r="BT103" s="51" t="e">
        <f t="shared" si="77"/>
        <v>#DIV/0!</v>
      </c>
      <c r="BU103" s="52">
        <f>'FY 2013 by Agency'!BL103*Inflator!$E$14</f>
        <v>0</v>
      </c>
      <c r="BV103" s="52">
        <f t="shared" si="114"/>
        <v>-57.564888587122383</v>
      </c>
      <c r="BW103" s="39">
        <v>0</v>
      </c>
      <c r="BX103" s="39">
        <f>'FY 2013 by Agency'!BV103*Inflator!E15</f>
        <v>9</v>
      </c>
      <c r="BY103" s="39">
        <f t="shared" si="72"/>
        <v>0</v>
      </c>
      <c r="BZ103" s="51" t="e">
        <f t="shared" si="73"/>
        <v>#DIV/0!</v>
      </c>
      <c r="CB103" s="39"/>
    </row>
    <row r="104" spans="1:81" s="63" customFormat="1" ht="18" customHeight="1">
      <c r="A104" s="53" t="s">
        <v>121</v>
      </c>
      <c r="B104" s="329" t="s">
        <v>78</v>
      </c>
      <c r="C104" s="329" t="s">
        <v>78</v>
      </c>
      <c r="D104" s="329" t="s">
        <v>78</v>
      </c>
      <c r="E104" s="329" t="s">
        <v>78</v>
      </c>
      <c r="F104" s="329" t="s">
        <v>78</v>
      </c>
      <c r="G104" s="329" t="s">
        <v>78</v>
      </c>
      <c r="H104" s="329" t="s">
        <v>78</v>
      </c>
      <c r="I104" s="329" t="s">
        <v>78</v>
      </c>
      <c r="J104" s="329" t="s">
        <v>78</v>
      </c>
      <c r="K104" s="328" t="s">
        <v>78</v>
      </c>
      <c r="L104" s="10">
        <f>'FY 2013 by Agency'!L104*Inflator!$E$6</f>
        <v>0</v>
      </c>
      <c r="M104" s="329" t="s">
        <v>78</v>
      </c>
      <c r="N104" s="328" t="s">
        <v>78</v>
      </c>
      <c r="O104" s="10">
        <f>'FY 2013 by Agency'!O104*Inflator!$E$7</f>
        <v>28994.831397395279</v>
      </c>
      <c r="P104" s="69">
        <f t="shared" si="105"/>
        <v>28994.831397395279</v>
      </c>
      <c r="Q104" s="70" t="s">
        <v>78</v>
      </c>
      <c r="R104" s="52">
        <f>'FY 2013 by Agency'!R104*Inflator!$E$8</f>
        <v>32926.919891378137</v>
      </c>
      <c r="S104" s="69">
        <f t="shared" si="90"/>
        <v>3932.0884939828575</v>
      </c>
      <c r="T104" s="72">
        <f>S104/O104</f>
        <v>0.13561342847939764</v>
      </c>
      <c r="U104" s="52">
        <f>'FY 2013 by Agency'!U104*Inflator!$E$9</f>
        <v>36124.029840848802</v>
      </c>
      <c r="V104" s="69">
        <f t="shared" si="106"/>
        <v>3197.109949470665</v>
      </c>
      <c r="W104" s="72">
        <f t="shared" si="107"/>
        <v>9.709714604395242E-2</v>
      </c>
      <c r="X104" s="52">
        <f>'FY 2013 by Agency'!X104*Inflator!$E$10</f>
        <v>43786.612892981902</v>
      </c>
      <c r="Y104" s="39">
        <f t="shared" si="108"/>
        <v>7662.5830521331009</v>
      </c>
      <c r="Z104" s="72">
        <f>Y104/U104</f>
        <v>0.21211872224367131</v>
      </c>
      <c r="AA104" s="52">
        <f>'FY 2013 by Agency'!AA104*Inflator!$E$11</f>
        <v>51012.217903791025</v>
      </c>
      <c r="AB104" s="39">
        <f t="shared" si="93"/>
        <v>7225.6050108091222</v>
      </c>
      <c r="AC104" s="58">
        <f t="shared" si="94"/>
        <v>0.16501858749543147</v>
      </c>
      <c r="AD104" s="52" t="e">
        <f>'FY 2013 by Agency'!AD104*Inflator!#REF!</f>
        <v>#REF!</v>
      </c>
      <c r="AE104" s="52">
        <f>'FY 2013 by Agency'!AE104*Inflator!$B$8</f>
        <v>0</v>
      </c>
      <c r="AF104" s="52">
        <f>'FY 2013 by Agency'!AF104*Inflator!$E$12</f>
        <v>40349.120927318298</v>
      </c>
      <c r="AG104" s="52">
        <f t="shared" si="95"/>
        <v>-10663.096976472727</v>
      </c>
      <c r="AH104" s="58">
        <f t="shared" si="96"/>
        <v>-0.20903025617477197</v>
      </c>
      <c r="AI104" s="52">
        <f>'FY 2013 by Agency'!AI104*Inflator!$B$8</f>
        <v>0</v>
      </c>
      <c r="AJ104" s="52">
        <f>'FY 2013 by Agency'!AJ104*Inflator!$B$8</f>
        <v>0</v>
      </c>
      <c r="AK104" s="52">
        <f>'FY 2013 by Agency'!AK104</f>
        <v>33477</v>
      </c>
      <c r="AL104" s="52">
        <f>'FY 2013 by Agency'!AL104</f>
        <v>0</v>
      </c>
      <c r="AM104" s="52">
        <f>'FY 2013 by Agency'!AM104</f>
        <v>33477</v>
      </c>
      <c r="AN104" s="52">
        <f>'FY 2013 by Agency'!AN104</f>
        <v>24758</v>
      </c>
      <c r="AO104" s="52">
        <f>'FY 2013 by Agency'!AO104</f>
        <v>51331</v>
      </c>
      <c r="AP104" s="52">
        <f>'FY 2013 by Agency'!AP104</f>
        <v>5427</v>
      </c>
      <c r="AQ104" s="52">
        <f>'FY 2013 by Agency'!AQ104</f>
        <v>293</v>
      </c>
      <c r="AR104" s="52">
        <f>'FY 2013 by Agency'!AR104</f>
        <v>5720</v>
      </c>
      <c r="AS104" s="52">
        <f>'FY 2013 by Agency'!AS104</f>
        <v>46191.857759999999</v>
      </c>
      <c r="AT104" s="52" t="e">
        <f t="shared" si="97"/>
        <v>#REF!</v>
      </c>
      <c r="AU104" s="58" t="e">
        <f t="shared" si="98"/>
        <v>#REF!</v>
      </c>
      <c r="AV104" s="52">
        <f t="shared" si="99"/>
        <v>5842.7368326817013</v>
      </c>
      <c r="AW104" s="58">
        <f t="shared" si="100"/>
        <v>0.14480456323215427</v>
      </c>
      <c r="AX104" s="284" t="s">
        <v>294</v>
      </c>
      <c r="AY104" s="282">
        <v>50894.818370000001</v>
      </c>
      <c r="AZ104" s="282">
        <f t="shared" si="101"/>
        <v>-436.18162999999913</v>
      </c>
      <c r="BA104" s="282">
        <f t="shared" si="102"/>
        <v>5406.5552026817022</v>
      </c>
      <c r="BB104" s="282">
        <f t="shared" si="103"/>
        <v>45755.67613</v>
      </c>
      <c r="BC104" s="58">
        <f t="shared" si="104"/>
        <v>0.13399437406382764</v>
      </c>
      <c r="BD104" s="294">
        <v>21.532</v>
      </c>
      <c r="BE104" s="51">
        <f t="shared" si="109"/>
        <v>4.2306860874253671E-4</v>
      </c>
      <c r="BI104" s="80">
        <v>45558</v>
      </c>
      <c r="BJ104" s="282">
        <f t="shared" si="110"/>
        <v>-5336.8183700000009</v>
      </c>
      <c r="BK104" s="39">
        <f t="shared" si="111"/>
        <v>51278</v>
      </c>
      <c r="BL104" s="576">
        <f>'FY 2013 by Agency'!AS104*Inflator!$E$13</f>
        <v>47897.446648910598</v>
      </c>
      <c r="BM104" s="258">
        <f t="shared" si="112"/>
        <v>7548.3257215923004</v>
      </c>
      <c r="BN104" s="51">
        <f t="shared" si="113"/>
        <v>0.18707534509089441</v>
      </c>
      <c r="BO104" s="52">
        <f>'FY 2013 by Agency'!AX104*Inflator!$E$13</f>
        <v>47240.18431492219</v>
      </c>
      <c r="BP104" s="52">
        <f t="shared" si="74"/>
        <v>6891.0633876038919</v>
      </c>
      <c r="BQ104" s="51">
        <f t="shared" si="75"/>
        <v>0.17078596086434958</v>
      </c>
      <c r="BR104" s="52">
        <f>'FY 2013 by Agency'!BE104*Inflator!$E$14</f>
        <v>39128.238877276803</v>
      </c>
      <c r="BS104" s="52">
        <f t="shared" si="76"/>
        <v>-8111.9454376453868</v>
      </c>
      <c r="BT104" s="51">
        <f t="shared" si="77"/>
        <v>-0.1717170573164549</v>
      </c>
      <c r="BU104" s="69">
        <f>'FY 2013 by Agency'!BL104*Inflator!$E$14</f>
        <v>44961.353836966264</v>
      </c>
      <c r="BV104" s="52">
        <f t="shared" si="114"/>
        <v>-2936.0928119443342</v>
      </c>
      <c r="BW104" s="495">
        <v>43746</v>
      </c>
      <c r="BX104" s="39">
        <f>'FY 2013 by Agency'!BV104*Inflator!E15</f>
        <v>49450</v>
      </c>
      <c r="BY104" s="39">
        <f t="shared" si="72"/>
        <v>4617.7611227231973</v>
      </c>
      <c r="BZ104" s="51">
        <f t="shared" si="73"/>
        <v>0.11801607369057696</v>
      </c>
      <c r="CB104" s="39"/>
    </row>
    <row r="105" spans="1:81" ht="18" customHeight="1" thickBot="1">
      <c r="A105" s="63" t="s">
        <v>147</v>
      </c>
      <c r="B105" s="329" t="s">
        <v>78</v>
      </c>
      <c r="C105" s="329" t="s">
        <v>78</v>
      </c>
      <c r="D105" s="329" t="s">
        <v>78</v>
      </c>
      <c r="E105" s="329" t="s">
        <v>78</v>
      </c>
      <c r="F105" s="329" t="s">
        <v>78</v>
      </c>
      <c r="G105" s="329" t="s">
        <v>78</v>
      </c>
      <c r="H105" s="329" t="s">
        <v>78</v>
      </c>
      <c r="I105" s="329" t="s">
        <v>78</v>
      </c>
      <c r="J105" s="329" t="s">
        <v>78</v>
      </c>
      <c r="K105" s="328" t="s">
        <v>78</v>
      </c>
      <c r="L105" s="328" t="s">
        <v>78</v>
      </c>
      <c r="M105" s="329" t="s">
        <v>78</v>
      </c>
      <c r="N105" s="328" t="s">
        <v>78</v>
      </c>
      <c r="O105" s="10"/>
      <c r="P105" s="69"/>
      <c r="Q105" s="70"/>
      <c r="R105" s="52"/>
      <c r="S105" s="69"/>
      <c r="T105" s="72"/>
      <c r="U105" s="52"/>
      <c r="V105" s="69"/>
      <c r="W105" s="72"/>
      <c r="X105" s="52">
        <f>'FY 2013 by Agency'!X105*Inflator!$E$10</f>
        <v>0</v>
      </c>
      <c r="Y105" s="39">
        <f t="shared" si="108"/>
        <v>0</v>
      </c>
      <c r="Z105" s="72"/>
      <c r="AA105" s="52">
        <f>'FY 2013 by Agency'!AA105*Inflator!$E$11</f>
        <v>0</v>
      </c>
      <c r="AB105" s="39">
        <f t="shared" si="93"/>
        <v>0</v>
      </c>
      <c r="AC105" s="58"/>
      <c r="AD105" s="52" t="e">
        <f>'FY 2013 by Agency'!AD105*Inflator!#REF!</f>
        <v>#REF!</v>
      </c>
      <c r="AE105" s="52">
        <f>'FY 2013 by Agency'!AE105*Inflator!$B$8</f>
        <v>0</v>
      </c>
      <c r="AF105" s="52">
        <f>'FY 2013 by Agency'!AF105*Inflator!$E$12</f>
        <v>0</v>
      </c>
      <c r="AG105" s="52">
        <f t="shared" si="95"/>
        <v>0</v>
      </c>
      <c r="AH105" s="58" t="e">
        <f t="shared" si="96"/>
        <v>#DIV/0!</v>
      </c>
      <c r="AI105" s="52">
        <f>'FY 2013 by Agency'!AI105*Inflator!$B$8</f>
        <v>0</v>
      </c>
      <c r="AJ105" s="52">
        <f>'FY 2013 by Agency'!AJ105*Inflator!$B$8</f>
        <v>0</v>
      </c>
      <c r="AK105" s="52">
        <f>'FY 2013 by Agency'!AK105</f>
        <v>0</v>
      </c>
      <c r="AL105" s="52">
        <f>'FY 2013 by Agency'!AL105</f>
        <v>225</v>
      </c>
      <c r="AM105" s="52">
        <f>'FY 2013 by Agency'!AM105</f>
        <v>225</v>
      </c>
      <c r="AN105" s="52">
        <f>'FY 2013 by Agency'!AN105</f>
        <v>0</v>
      </c>
      <c r="AO105" s="52">
        <f>'FY 2013 by Agency'!AO105</f>
        <v>0</v>
      </c>
      <c r="AP105" s="52">
        <f>'FY 2013 by Agency'!AP105</f>
        <v>0</v>
      </c>
      <c r="AQ105" s="52">
        <f>'FY 2013 by Agency'!AQ105</f>
        <v>0</v>
      </c>
      <c r="AR105" s="52">
        <f>'FY 2013 by Agency'!AR105</f>
        <v>0</v>
      </c>
      <c r="AS105" s="52">
        <f>'FY 2013 by Agency'!AS105</f>
        <v>0</v>
      </c>
      <c r="AT105" s="52" t="e">
        <f t="shared" si="97"/>
        <v>#REF!</v>
      </c>
      <c r="AU105" s="58" t="e">
        <f t="shared" si="98"/>
        <v>#REF!</v>
      </c>
      <c r="AV105" s="52">
        <f t="shared" si="99"/>
        <v>0</v>
      </c>
      <c r="AW105" s="58" t="e">
        <f t="shared" si="100"/>
        <v>#DIV/0!</v>
      </c>
      <c r="AX105" s="284" t="s">
        <v>298</v>
      </c>
      <c r="AY105" s="285">
        <v>250</v>
      </c>
      <c r="AZ105" s="282">
        <f t="shared" si="101"/>
        <v>250</v>
      </c>
      <c r="BA105" s="282">
        <f t="shared" si="102"/>
        <v>250</v>
      </c>
      <c r="BB105" s="282">
        <f t="shared" si="103"/>
        <v>250</v>
      </c>
      <c r="BC105" s="58" t="e">
        <f t="shared" si="104"/>
        <v>#DIV/0!</v>
      </c>
      <c r="BD105" s="292"/>
      <c r="BI105" s="246">
        <v>250</v>
      </c>
      <c r="BJ105" s="282">
        <f t="shared" si="110"/>
        <v>0</v>
      </c>
      <c r="BK105" s="39">
        <f t="shared" si="111"/>
        <v>250</v>
      </c>
      <c r="BL105" s="576">
        <f>'FY 2013 by Agency'!AS105*Inflator!$E$13</f>
        <v>0</v>
      </c>
      <c r="BM105" s="258">
        <f t="shared" si="112"/>
        <v>0</v>
      </c>
      <c r="BN105" s="51" t="e">
        <f t="shared" si="113"/>
        <v>#DIV/0!</v>
      </c>
      <c r="BO105" s="52">
        <f>'FY 2013 by Agency'!AX105*Inflator!$E$13</f>
        <v>0</v>
      </c>
      <c r="BP105" s="52">
        <f t="shared" si="74"/>
        <v>0</v>
      </c>
      <c r="BQ105" s="51" t="e">
        <f t="shared" si="75"/>
        <v>#DIV/0!</v>
      </c>
      <c r="BR105" s="52">
        <f>'FY 2013 by Agency'!BE105*Inflator!$E$14</f>
        <v>0</v>
      </c>
      <c r="BS105" s="52">
        <f t="shared" si="76"/>
        <v>0</v>
      </c>
      <c r="BT105" s="51" t="e">
        <f t="shared" si="77"/>
        <v>#DIV/0!</v>
      </c>
      <c r="BU105" s="52">
        <f>'FY 2013 by Agency'!BL105*Inflator!$E$14</f>
        <v>0</v>
      </c>
      <c r="BV105" s="52">
        <f t="shared" si="114"/>
        <v>0</v>
      </c>
      <c r="BW105" s="39"/>
      <c r="BX105" s="39">
        <f>'FY 2013 by Agency'!BV105*Inflator!E15</f>
        <v>0</v>
      </c>
      <c r="BY105" s="39">
        <f t="shared" si="72"/>
        <v>0</v>
      </c>
      <c r="BZ105" s="51" t="e">
        <f t="shared" si="73"/>
        <v>#DIV/0!</v>
      </c>
      <c r="CB105" s="39"/>
    </row>
    <row r="106" spans="1:81" ht="18" customHeight="1" thickBot="1">
      <c r="A106" s="245" t="s">
        <v>361</v>
      </c>
      <c r="B106" s="329" t="s">
        <v>78</v>
      </c>
      <c r="C106" s="329" t="s">
        <v>78</v>
      </c>
      <c r="D106" s="329" t="s">
        <v>78</v>
      </c>
      <c r="E106" s="329" t="s">
        <v>78</v>
      </c>
      <c r="F106" s="329" t="s">
        <v>78</v>
      </c>
      <c r="G106" s="329" t="s">
        <v>78</v>
      </c>
      <c r="H106" s="329" t="s">
        <v>78</v>
      </c>
      <c r="I106" s="329" t="s">
        <v>78</v>
      </c>
      <c r="J106" s="329" t="s">
        <v>78</v>
      </c>
      <c r="K106" s="328" t="s">
        <v>78</v>
      </c>
      <c r="L106" s="328" t="s">
        <v>78</v>
      </c>
      <c r="M106" s="329" t="s">
        <v>78</v>
      </c>
      <c r="N106" s="328" t="s">
        <v>78</v>
      </c>
      <c r="O106" s="10"/>
      <c r="P106" s="69"/>
      <c r="Q106" s="70"/>
      <c r="R106" s="52"/>
      <c r="S106" s="69"/>
      <c r="T106" s="72"/>
      <c r="U106" s="52"/>
      <c r="V106" s="69"/>
      <c r="W106" s="72"/>
      <c r="X106" s="52">
        <f>'FY 2013 by Agency'!X106*Inflator!$E$10</f>
        <v>10129.255636710068</v>
      </c>
      <c r="Y106" s="39"/>
      <c r="Z106" s="72"/>
      <c r="AA106" s="52">
        <f>'FY 2013 by Agency'!AA106*Inflator!$E$11</f>
        <v>16851.438674737179</v>
      </c>
      <c r="AB106" s="39"/>
      <c r="AC106" s="58"/>
      <c r="AD106" s="52" t="e">
        <f>'FY 2013 by Agency'!AD106*Inflator!#REF!</f>
        <v>#REF!</v>
      </c>
      <c r="AE106" s="52"/>
      <c r="AF106" s="52">
        <f>'FY 2013 by Agency'!AF106*Inflator!$E$12</f>
        <v>5388.6829573934847</v>
      </c>
      <c r="AG106" s="52"/>
      <c r="AH106" s="58"/>
      <c r="AI106" s="52"/>
      <c r="AJ106" s="52"/>
      <c r="AK106" s="52"/>
      <c r="AL106" s="52"/>
      <c r="AM106" s="52"/>
      <c r="AO106" s="52"/>
      <c r="AU106" s="58"/>
      <c r="AV106" s="52"/>
      <c r="AW106" s="58"/>
      <c r="AX106" s="315"/>
      <c r="AY106" s="285"/>
      <c r="AZ106" s="282"/>
      <c r="BA106" s="282"/>
      <c r="BB106" s="282"/>
      <c r="BC106" s="58"/>
      <c r="BD106" s="292"/>
      <c r="BI106" s="246">
        <v>375</v>
      </c>
      <c r="BJ106" s="282">
        <f t="shared" si="110"/>
        <v>375</v>
      </c>
      <c r="BK106" s="39">
        <f t="shared" si="111"/>
        <v>375</v>
      </c>
      <c r="BL106" s="576">
        <f>'FY 2013 by Agency'!AS106*Inflator!$E$13</f>
        <v>306.98960881293868</v>
      </c>
      <c r="BM106" s="258">
        <f t="shared" si="112"/>
        <v>-5081.6933485805457</v>
      </c>
      <c r="BN106" s="51">
        <f t="shared" si="113"/>
        <v>-0.94303067906570059</v>
      </c>
      <c r="BO106" s="52">
        <f>'FY 2013 by Agency'!AX106*Inflator!$E$13</f>
        <v>10713.498931949956</v>
      </c>
      <c r="BP106" s="52">
        <f t="shared" si="74"/>
        <v>5324.8159745564717</v>
      </c>
      <c r="BQ106" s="51">
        <f t="shared" si="75"/>
        <v>0.98814794202182832</v>
      </c>
      <c r="BR106" s="52">
        <f>'FY 2013 by Agency'!BE106*Inflator!$E$14</f>
        <v>12220.218572708272</v>
      </c>
      <c r="BS106" s="52">
        <f t="shared" si="76"/>
        <v>1506.719640758316</v>
      </c>
      <c r="BT106" s="51">
        <f t="shared" si="77"/>
        <v>0.14063749390639824</v>
      </c>
      <c r="BU106" s="52">
        <f>'FY 2013 by Agency'!BL106*Inflator!$E$14</f>
        <v>12241.525828605554</v>
      </c>
      <c r="BV106" s="52">
        <f t="shared" si="114"/>
        <v>11934.536219792615</v>
      </c>
      <c r="BW106" s="542">
        <f>11195-2951</f>
        <v>8244</v>
      </c>
      <c r="BX106" s="39">
        <f>'FY 2013 by Agency'!BV106*Inflator!E15</f>
        <v>8244</v>
      </c>
      <c r="BY106" s="39">
        <f t="shared" si="72"/>
        <v>-3976.2185727082724</v>
      </c>
      <c r="BZ106" s="51">
        <f t="shared" si="73"/>
        <v>-0.32538031533973238</v>
      </c>
      <c r="CB106" s="39"/>
    </row>
    <row r="107" spans="1:81" ht="18" customHeight="1" thickBot="1">
      <c r="A107" s="245" t="s">
        <v>472</v>
      </c>
      <c r="B107" s="329"/>
      <c r="C107" s="329"/>
      <c r="D107" s="329"/>
      <c r="E107" s="329"/>
      <c r="F107" s="329"/>
      <c r="G107" s="329"/>
      <c r="H107" s="329"/>
      <c r="I107" s="329"/>
      <c r="J107" s="329"/>
      <c r="K107" s="328"/>
      <c r="L107" s="328"/>
      <c r="M107" s="329"/>
      <c r="N107" s="328"/>
      <c r="O107" s="10"/>
      <c r="P107" s="69"/>
      <c r="Q107" s="70"/>
      <c r="R107" s="52"/>
      <c r="S107" s="69"/>
      <c r="T107" s="72"/>
      <c r="U107" s="52"/>
      <c r="V107" s="69"/>
      <c r="W107" s="72"/>
      <c r="X107" s="52"/>
      <c r="Y107" s="39"/>
      <c r="Z107" s="72"/>
      <c r="AA107" s="52"/>
      <c r="AB107" s="39"/>
      <c r="AC107" s="58"/>
      <c r="AD107" s="52"/>
      <c r="AE107" s="52"/>
      <c r="AF107" s="52"/>
      <c r="AG107" s="52"/>
      <c r="AH107" s="58"/>
      <c r="AI107" s="52"/>
      <c r="AJ107" s="52"/>
      <c r="AK107" s="52"/>
      <c r="AL107" s="52"/>
      <c r="AM107" s="52"/>
      <c r="AO107" s="52"/>
      <c r="AU107" s="58"/>
      <c r="AV107" s="52"/>
      <c r="AW107" s="58"/>
      <c r="AX107" s="315"/>
      <c r="AY107" s="285"/>
      <c r="AZ107" s="282"/>
      <c r="BA107" s="282"/>
      <c r="BB107" s="282"/>
      <c r="BC107" s="58"/>
      <c r="BD107" s="292"/>
      <c r="BI107" s="246"/>
      <c r="BJ107" s="282"/>
      <c r="BK107" s="39"/>
      <c r="BL107" s="576"/>
      <c r="BM107" s="258"/>
      <c r="BN107" s="51"/>
      <c r="BO107" s="52"/>
      <c r="BP107" s="52"/>
      <c r="BQ107" s="51"/>
      <c r="BR107" s="52"/>
      <c r="BS107" s="52"/>
      <c r="BT107" s="51"/>
      <c r="BW107" s="542">
        <v>8294</v>
      </c>
      <c r="BX107" s="39"/>
      <c r="BY107" s="39">
        <f t="shared" si="72"/>
        <v>8294</v>
      </c>
      <c r="BZ107" s="51" t="e">
        <f t="shared" si="73"/>
        <v>#DIV/0!</v>
      </c>
      <c r="CB107" s="39"/>
    </row>
    <row r="108" spans="1:81" s="54" customFormat="1" ht="16.5" customHeight="1" thickBot="1">
      <c r="A108" s="130" t="s">
        <v>186</v>
      </c>
      <c r="B108" s="333" t="s">
        <v>78</v>
      </c>
      <c r="C108" s="333" t="s">
        <v>78</v>
      </c>
      <c r="D108" s="333" t="s">
        <v>78</v>
      </c>
      <c r="E108" s="333" t="s">
        <v>78</v>
      </c>
      <c r="F108" s="333" t="s">
        <v>78</v>
      </c>
      <c r="G108" s="333" t="s">
        <v>78</v>
      </c>
      <c r="H108" s="333" t="s">
        <v>78</v>
      </c>
      <c r="I108" s="333" t="s">
        <v>78</v>
      </c>
      <c r="J108" s="333" t="s">
        <v>78</v>
      </c>
      <c r="K108" s="333" t="s">
        <v>78</v>
      </c>
      <c r="L108" s="333" t="s">
        <v>78</v>
      </c>
      <c r="M108" s="333" t="s">
        <v>78</v>
      </c>
      <c r="N108" s="333" t="s">
        <v>78</v>
      </c>
      <c r="O108" s="354"/>
      <c r="P108" s="75"/>
      <c r="Q108" s="76"/>
      <c r="R108" s="75"/>
      <c r="S108" s="75"/>
      <c r="T108" s="77"/>
      <c r="U108" s="75"/>
      <c r="V108" s="75"/>
      <c r="W108" s="77"/>
      <c r="X108" s="75">
        <f>'FY 2013 by Agency'!X108*Inflator!$E$10</f>
        <v>4071.341378215307</v>
      </c>
      <c r="Y108" s="102">
        <f t="shared" si="108"/>
        <v>4071.341378215307</v>
      </c>
      <c r="Z108" s="77"/>
      <c r="AA108" s="75">
        <f>'FY 2013 by Agency'!AA108*Inflator!$E$11</f>
        <v>0</v>
      </c>
      <c r="AB108" s="102">
        <f t="shared" si="93"/>
        <v>-4071.341378215307</v>
      </c>
      <c r="AC108" s="77">
        <f>AB108/X108</f>
        <v>-1</v>
      </c>
      <c r="AD108" s="75" t="e">
        <f>'FY 2013 by Agency'!AD108*Inflator!#REF!</f>
        <v>#REF!</v>
      </c>
      <c r="AE108" s="75">
        <f>'FY 2013 by Agency'!AE108*Inflator!$B$8</f>
        <v>0</v>
      </c>
      <c r="AF108" s="75">
        <f>'FY 2013 by Agency'!AF108*Inflator!$E$12</f>
        <v>0</v>
      </c>
      <c r="AG108" s="75">
        <f t="shared" si="95"/>
        <v>0</v>
      </c>
      <c r="AH108" s="77" t="e">
        <f t="shared" si="96"/>
        <v>#DIV/0!</v>
      </c>
      <c r="AI108" s="75">
        <f>'FY 2013 by Agency'!AI108*Inflator!$B$8</f>
        <v>0</v>
      </c>
      <c r="AJ108" s="75">
        <f>'FY 2013 by Agency'!AJ108*Inflator!$B$8</f>
        <v>0</v>
      </c>
      <c r="AK108" s="75">
        <f>'FY 2013 by Agency'!AK108</f>
        <v>0</v>
      </c>
      <c r="AL108" s="75">
        <f>'FY 2013 by Agency'!AL108</f>
        <v>0</v>
      </c>
      <c r="AM108" s="75">
        <f>'FY 2013 by Agency'!AM108</f>
        <v>0</v>
      </c>
      <c r="AN108" s="75">
        <f>'FY 2013 by Agency'!AN108</f>
        <v>0</v>
      </c>
      <c r="AO108" s="75">
        <f>'FY 2013 by Agency'!AO108</f>
        <v>0</v>
      </c>
      <c r="AP108" s="75">
        <f>'FY 2013 by Agency'!AP108</f>
        <v>0</v>
      </c>
      <c r="AQ108" s="75">
        <f>'FY 2013 by Agency'!AQ108</f>
        <v>0</v>
      </c>
      <c r="AR108" s="75">
        <f>'FY 2013 by Agency'!AR108</f>
        <v>0</v>
      </c>
      <c r="AS108" s="75">
        <f>'FY 2013 by Agency'!AS108</f>
        <v>20444.884999999998</v>
      </c>
      <c r="AT108" s="75" t="e">
        <f t="shared" si="97"/>
        <v>#REF!</v>
      </c>
      <c r="AU108" s="77" t="e">
        <f t="shared" si="98"/>
        <v>#REF!</v>
      </c>
      <c r="AV108" s="75">
        <f t="shared" si="99"/>
        <v>20444.884999999998</v>
      </c>
      <c r="AW108" s="77" t="e">
        <f t="shared" si="100"/>
        <v>#DIV/0!</v>
      </c>
      <c r="AZ108" s="77"/>
      <c r="BA108" s="77"/>
      <c r="BB108" s="77"/>
      <c r="BC108" s="77"/>
      <c r="BD108" s="297"/>
      <c r="BE108" s="285"/>
      <c r="BI108" s="94"/>
      <c r="BJ108" s="285">
        <f t="shared" si="110"/>
        <v>0</v>
      </c>
      <c r="BK108" s="102">
        <f t="shared" si="111"/>
        <v>0</v>
      </c>
      <c r="BL108" s="578">
        <f>'FY 2013 by Agency'!AS108*Inflator!$E$13</f>
        <v>21199.792258162957</v>
      </c>
      <c r="BM108" s="258">
        <f t="shared" si="112"/>
        <v>21199.792258162957</v>
      </c>
      <c r="BN108" s="55" t="e">
        <f t="shared" si="113"/>
        <v>#DIV/0!</v>
      </c>
      <c r="BO108" s="75">
        <f>'FY 2013 by Agency'!AX108*Inflator!$E$13</f>
        <v>0</v>
      </c>
      <c r="BP108" s="75">
        <f t="shared" si="74"/>
        <v>0</v>
      </c>
      <c r="BQ108" s="55" t="e">
        <f t="shared" si="75"/>
        <v>#DIV/0!</v>
      </c>
      <c r="BR108" s="75">
        <f>'FY 2013 by Agency'!BE108*Inflator!$E$14</f>
        <v>0</v>
      </c>
      <c r="BS108" s="75">
        <f t="shared" si="76"/>
        <v>0</v>
      </c>
      <c r="BT108" s="55" t="e">
        <f t="shared" si="77"/>
        <v>#DIV/0!</v>
      </c>
      <c r="BU108" s="75">
        <f>'FY 2013 by Agency'!BL108*Inflator!$E$14</f>
        <v>0</v>
      </c>
      <c r="BV108" s="52">
        <f t="shared" si="114"/>
        <v>-21199.792258162957</v>
      </c>
      <c r="BW108" s="102"/>
      <c r="BX108" s="39">
        <f>'FY 2013 by Agency'!BV108*Inflator!E$15</f>
        <v>0</v>
      </c>
      <c r="BY108" s="39">
        <f t="shared" si="72"/>
        <v>0</v>
      </c>
      <c r="BZ108" s="51" t="e">
        <f t="shared" si="73"/>
        <v>#DIV/0!</v>
      </c>
      <c r="CB108" s="39"/>
    </row>
    <row r="109" spans="1:81" s="13" customFormat="1" ht="18" customHeight="1">
      <c r="A109" s="64" t="s">
        <v>58</v>
      </c>
      <c r="B109" s="326">
        <f>'FY 2013 by Agency'!B109*Inflator!$E$2</f>
        <v>957546.37400318985</v>
      </c>
      <c r="C109" s="326">
        <f>'FY 2013 by Agency'!C109*Inflator!$E$3</f>
        <v>941919.56027820718</v>
      </c>
      <c r="D109" s="47">
        <f t="shared" si="78"/>
        <v>-15626.813724982669</v>
      </c>
      <c r="E109" s="360">
        <f t="shared" si="79"/>
        <v>-1.631964168967822E-2</v>
      </c>
      <c r="F109" s="10">
        <f>'FY 2013 by Agency'!F109*Inflator!$E$4</f>
        <v>822867.02702702698</v>
      </c>
      <c r="G109" s="12">
        <f t="shared" si="80"/>
        <v>-119052.5332511802</v>
      </c>
      <c r="H109" s="15">
        <f t="shared" si="81"/>
        <v>-0.12639352474644078</v>
      </c>
      <c r="I109" s="10">
        <f>'FY 2013 by Agency'!I109*Inflator!$E$5</f>
        <v>833361.71141688374</v>
      </c>
      <c r="J109" s="12">
        <f t="shared" si="82"/>
        <v>10494.68438985676</v>
      </c>
      <c r="K109" s="15">
        <f t="shared" si="83"/>
        <v>1.2753803524943118E-2</v>
      </c>
      <c r="L109" s="10">
        <f>'FY 2013 by Agency'!L109*Inflator!$E$6</f>
        <v>921528.70665212639</v>
      </c>
      <c r="M109" s="12">
        <f t="shared" si="84"/>
        <v>88166.995235242648</v>
      </c>
      <c r="N109" s="15">
        <f t="shared" si="85"/>
        <v>0.10579679151006458</v>
      </c>
      <c r="O109" s="10">
        <f>'FY 2013 by Agency'!O109*Inflator!$E$7</f>
        <v>963385.02851108753</v>
      </c>
      <c r="P109" s="12">
        <f>O109-L109</f>
        <v>41856.321858961135</v>
      </c>
      <c r="Q109" s="36">
        <f>P109/L109</f>
        <v>4.5420529557916138E-2</v>
      </c>
      <c r="R109" s="52">
        <f>'FY 2013 by Agency'!R109*Inflator!$E$8</f>
        <v>1032027.7338764425</v>
      </c>
      <c r="S109" s="12">
        <f t="shared" si="90"/>
        <v>68642.70536535501</v>
      </c>
      <c r="T109" s="36">
        <f>S109/O109</f>
        <v>7.1251579933147166E-2</v>
      </c>
      <c r="U109" s="52">
        <f>'FY 2013 by Agency'!U109*Inflator!$E$9</f>
        <v>1083202.6326259947</v>
      </c>
      <c r="V109" s="12">
        <f>SUM(V85:V108)</f>
        <v>51174.898749552071</v>
      </c>
      <c r="W109" s="45">
        <f t="shared" ref="W109" si="115">V109/R109</f>
        <v>4.9586747593818911E-2</v>
      </c>
      <c r="X109" s="52">
        <f>'FY 2013 by Agency'!X109*Inflator!$E$10</f>
        <v>1127049.3737694507</v>
      </c>
      <c r="Y109" s="12">
        <f>SUM(Y85:Y108)</f>
        <v>33717.485506745994</v>
      </c>
      <c r="Z109" s="45">
        <f>Y109/U109</f>
        <v>3.1127588219579113E-2</v>
      </c>
      <c r="AA109" s="52">
        <f>'FY 2013 by Agency'!AA109*Inflator!$E$11</f>
        <v>1096828.7180630777</v>
      </c>
      <c r="AB109" s="30">
        <f t="shared" si="93"/>
        <v>-30220.655706373043</v>
      </c>
      <c r="AC109" s="36">
        <f>AB109/X109</f>
        <v>-2.6813959006338071E-2</v>
      </c>
      <c r="AD109" s="12" t="e">
        <f>'FY 2013 by Agency'!AD109*Inflator!#REF!</f>
        <v>#REF!</v>
      </c>
      <c r="AE109" s="178">
        <f>SUM(AE85:AE108)</f>
        <v>0</v>
      </c>
      <c r="AF109" s="52">
        <f>'FY 2013 by Agency'!AF109*Inflator!$E$12</f>
        <v>1071048.1096491229</v>
      </c>
      <c r="AG109" s="12">
        <f t="shared" si="95"/>
        <v>-25780.608413954731</v>
      </c>
      <c r="AH109" s="36">
        <f t="shared" si="96"/>
        <v>-2.3504680347430609E-2</v>
      </c>
      <c r="AI109" s="178">
        <f t="shared" ref="AI109:AR109" si="116">SUM(AI85:AI108)</f>
        <v>0</v>
      </c>
      <c r="AJ109" s="178">
        <f t="shared" si="116"/>
        <v>0</v>
      </c>
      <c r="AK109" s="178">
        <f t="shared" si="116"/>
        <v>957625</v>
      </c>
      <c r="AL109" s="178">
        <f t="shared" si="116"/>
        <v>5845</v>
      </c>
      <c r="AM109" s="178">
        <f t="shared" si="116"/>
        <v>963470</v>
      </c>
      <c r="AN109" s="178">
        <f t="shared" si="116"/>
        <v>883558</v>
      </c>
      <c r="AO109" s="178">
        <f t="shared" si="116"/>
        <v>980477</v>
      </c>
      <c r="AP109" s="178">
        <f t="shared" si="116"/>
        <v>35815</v>
      </c>
      <c r="AQ109" s="178">
        <f t="shared" si="116"/>
        <v>1516</v>
      </c>
      <c r="AR109" s="178">
        <f t="shared" si="116"/>
        <v>37331</v>
      </c>
      <c r="AS109" s="12">
        <f t="shared" ref="AS109" si="117">SUM(AS85:AS105)</f>
        <v>1010379.0425700003</v>
      </c>
      <c r="AT109" s="12" t="e">
        <f t="shared" si="97"/>
        <v>#REF!</v>
      </c>
      <c r="AU109" s="30" t="e">
        <f>AT109-AI109</f>
        <v>#REF!</v>
      </c>
      <c r="AV109" s="12">
        <f t="shared" si="99"/>
        <v>-60669.067079122644</v>
      </c>
      <c r="AW109" s="36">
        <f t="shared" si="100"/>
        <v>-5.6644576963959095E-2</v>
      </c>
      <c r="AX109" s="36"/>
      <c r="AY109" s="304">
        <f>SUM(AY85:AY108)</f>
        <v>993780.31923000002</v>
      </c>
      <c r="AZ109" s="304">
        <f>SUM(AZ85:AZ108)</f>
        <v>13303.31923000001</v>
      </c>
      <c r="BA109" s="36"/>
      <c r="BB109" s="93">
        <f>SUM(BB85:BB108)</f>
        <v>1023682.3618000002</v>
      </c>
      <c r="BC109" s="36"/>
      <c r="BD109" s="295">
        <f>SUM(BD85:BD108)</f>
        <v>9926.8009999999995</v>
      </c>
      <c r="BE109" s="15">
        <f>BD109/AY109</f>
        <v>9.9889289492988489E-3</v>
      </c>
      <c r="BF109" s="15">
        <f>(BB109-X109)/X109</f>
        <v>-9.1714714878671569E-2</v>
      </c>
      <c r="BI109" s="28">
        <f>SUM(BI85:BI108)</f>
        <v>976195</v>
      </c>
      <c r="BJ109" s="304">
        <f t="shared" si="110"/>
        <v>-17585.319230000023</v>
      </c>
      <c r="BK109" s="30">
        <f>SUM(BK85:BK108)</f>
        <v>1013526</v>
      </c>
      <c r="BL109" s="572">
        <f>SUM(BL85:BL108)</f>
        <v>1069193.0762376992</v>
      </c>
      <c r="BM109" s="258">
        <f t="shared" si="112"/>
        <v>-1855.0334114236757</v>
      </c>
      <c r="BN109" s="15">
        <f t="shared" si="113"/>
        <v>-1.7319795392117237E-3</v>
      </c>
      <c r="BO109" s="12">
        <f>'FY 2013 by Agency'!AX109*Inflator!$E$13</f>
        <v>1026705.1296917915</v>
      </c>
      <c r="BP109" s="12">
        <f t="shared" si="74"/>
        <v>-44342.979957331438</v>
      </c>
      <c r="BQ109" s="15">
        <f t="shared" si="75"/>
        <v>-4.1401482863228499E-2</v>
      </c>
      <c r="BR109" s="12">
        <f>'FY 2013 by Agency'!BE109*Inflator!$E$14</f>
        <v>987575.07673932519</v>
      </c>
      <c r="BS109" s="12">
        <f t="shared" si="76"/>
        <v>-39130.0529524663</v>
      </c>
      <c r="BT109" s="15">
        <f t="shared" si="77"/>
        <v>-3.8112260103553612E-2</v>
      </c>
      <c r="BU109" s="12">
        <f>SUM(BU85:BU108)</f>
        <v>1026423.2773962376</v>
      </c>
      <c r="BV109" s="52">
        <f t="shared" si="114"/>
        <v>-42769.798841461656</v>
      </c>
      <c r="BW109" s="30">
        <f>SUM(BW85:BW108)</f>
        <v>994221</v>
      </c>
      <c r="BX109" s="12">
        <f>SUM(BX85:BX108)</f>
        <v>1036507</v>
      </c>
      <c r="BY109" s="39">
        <f t="shared" si="72"/>
        <v>6645.9232606748119</v>
      </c>
      <c r="BZ109" s="51">
        <f t="shared" si="73"/>
        <v>6.7295372445177982E-3</v>
      </c>
      <c r="CB109" s="39"/>
    </row>
    <row r="110" spans="1:81" s="13" customFormat="1" ht="18" customHeight="1">
      <c r="A110" s="64" t="s">
        <v>456</v>
      </c>
      <c r="B110" s="326"/>
      <c r="C110" s="326"/>
      <c r="D110" s="326"/>
      <c r="E110" s="355"/>
      <c r="F110" s="10"/>
      <c r="G110" s="10"/>
      <c r="H110" s="14"/>
      <c r="I110" s="10"/>
      <c r="J110" s="10"/>
      <c r="K110" s="14"/>
      <c r="L110" s="10"/>
      <c r="M110" s="10"/>
      <c r="N110" s="14"/>
      <c r="O110" s="10"/>
      <c r="P110" s="12"/>
      <c r="Q110" s="36"/>
      <c r="R110" s="52"/>
      <c r="S110" s="12"/>
      <c r="T110" s="36"/>
      <c r="U110" s="52"/>
      <c r="V110" s="12"/>
      <c r="W110" s="45"/>
      <c r="X110" s="52"/>
      <c r="Y110" s="12"/>
      <c r="Z110" s="45"/>
      <c r="AA110" s="52"/>
      <c r="AB110" s="30"/>
      <c r="AC110" s="58"/>
      <c r="AD110" s="52"/>
      <c r="AE110" s="178"/>
      <c r="AF110" s="178"/>
      <c r="AG110" s="52"/>
      <c r="AH110" s="58"/>
      <c r="AI110" s="178"/>
      <c r="AJ110" s="178"/>
      <c r="AK110" s="178"/>
      <c r="AL110" s="178"/>
      <c r="AM110" s="178"/>
      <c r="AN110" s="178"/>
      <c r="AO110" s="178"/>
      <c r="AP110" s="178"/>
      <c r="AQ110" s="178"/>
      <c r="AR110" s="52">
        <f>'FY 2013 by Agency'!AR110</f>
        <v>0</v>
      </c>
      <c r="AS110" s="52">
        <f>'FY 2013 by Agency'!AS110</f>
        <v>0</v>
      </c>
      <c r="AT110" s="12"/>
      <c r="AU110" s="30"/>
      <c r="AV110" s="12"/>
      <c r="AW110" s="36"/>
      <c r="AX110" s="58"/>
      <c r="AY110" s="58"/>
      <c r="AZ110" s="58"/>
      <c r="BA110" s="58"/>
      <c r="BB110" s="58"/>
      <c r="BC110" s="58"/>
      <c r="BD110" s="292"/>
      <c r="BE110" s="282"/>
      <c r="BI110" s="28"/>
      <c r="BK110" s="323"/>
      <c r="BL110" s="575"/>
      <c r="BM110" s="258"/>
      <c r="BN110" s="290"/>
      <c r="BP110" s="52"/>
      <c r="BQ110" s="50"/>
      <c r="BR110" s="12"/>
      <c r="BS110" s="52"/>
      <c r="BT110" s="50"/>
      <c r="BU110" s="258"/>
      <c r="BV110" s="258"/>
      <c r="BW110" s="39">
        <f>+BW109-920</f>
        <v>993301</v>
      </c>
      <c r="BX110" s="542">
        <f>'FY 2013 by Agency'!BV110*Inflator!E$15</f>
        <v>993301</v>
      </c>
      <c r="BY110" s="39">
        <f t="shared" si="72"/>
        <v>993301</v>
      </c>
      <c r="BZ110" s="51" t="e">
        <f t="shared" si="73"/>
        <v>#DIV/0!</v>
      </c>
      <c r="CB110" s="39"/>
      <c r="CC110" s="30"/>
    </row>
    <row r="111" spans="1:81" s="13" customFormat="1" ht="18" customHeight="1">
      <c r="A111" s="64" t="s">
        <v>457</v>
      </c>
      <c r="B111" s="326"/>
      <c r="C111" s="326"/>
      <c r="D111" s="326"/>
      <c r="E111" s="355"/>
      <c r="F111" s="10"/>
      <c r="G111" s="10"/>
      <c r="H111" s="14"/>
      <c r="I111" s="10"/>
      <c r="J111" s="10"/>
      <c r="K111" s="14"/>
      <c r="L111" s="10"/>
      <c r="M111" s="10"/>
      <c r="N111" s="14"/>
      <c r="O111" s="10"/>
      <c r="P111" s="12"/>
      <c r="Q111" s="36"/>
      <c r="R111" s="52"/>
      <c r="S111" s="12"/>
      <c r="T111" s="36"/>
      <c r="U111" s="52"/>
      <c r="V111" s="12"/>
      <c r="W111" s="45"/>
      <c r="X111" s="52"/>
      <c r="Y111" s="12"/>
      <c r="Z111" s="45"/>
      <c r="AA111" s="52"/>
      <c r="AB111" s="30"/>
      <c r="AC111" s="58"/>
      <c r="AD111" s="52"/>
      <c r="AE111" s="178"/>
      <c r="AF111" s="178"/>
      <c r="AG111" s="52"/>
      <c r="AH111" s="58"/>
      <c r="AI111" s="178"/>
      <c r="AJ111" s="178"/>
      <c r="AK111" s="178"/>
      <c r="AL111" s="178"/>
      <c r="AM111" s="178"/>
      <c r="AN111" s="178"/>
      <c r="AO111" s="178"/>
      <c r="AP111" s="178"/>
      <c r="AQ111" s="178"/>
      <c r="AR111" s="52">
        <f>'FY 2013 by Agency'!AR111</f>
        <v>0</v>
      </c>
      <c r="AS111" s="52">
        <f>'FY 2013 by Agency'!AS111</f>
        <v>0</v>
      </c>
      <c r="AT111" s="12" t="e">
        <f>AR111-AD109</f>
        <v>#REF!</v>
      </c>
      <c r="AU111" s="36" t="e">
        <f>AT111/AD109</f>
        <v>#REF!</v>
      </c>
      <c r="AV111" s="12">
        <f>AS111-AF109</f>
        <v>-1071048.1096491229</v>
      </c>
      <c r="AW111" s="36">
        <f>AV111/AF109</f>
        <v>-1</v>
      </c>
      <c r="AX111" s="58"/>
      <c r="AY111" s="65">
        <f>+AZ109+AS111</f>
        <v>13303.31923000001</v>
      </c>
      <c r="AZ111" s="65">
        <f>+AY111-AF109</f>
        <v>-1057744.7904191229</v>
      </c>
      <c r="BA111" s="65"/>
      <c r="BB111" s="58">
        <f>+AZ111/AF109</f>
        <v>-0.987579158106765</v>
      </c>
      <c r="BC111" s="58"/>
      <c r="BD111" s="292"/>
      <c r="BE111" s="282"/>
      <c r="BI111" s="28"/>
      <c r="BK111" s="323"/>
      <c r="BL111" s="575"/>
      <c r="BM111" s="258"/>
      <c r="BN111" s="290"/>
      <c r="BP111" s="52"/>
      <c r="BQ111" s="50"/>
      <c r="BR111" s="12"/>
      <c r="BS111" s="52">
        <f>BR111-BO109</f>
        <v>-1026705.1296917915</v>
      </c>
      <c r="BT111" s="290">
        <f>BS111/BO109</f>
        <v>-1</v>
      </c>
      <c r="BU111" s="258"/>
      <c r="BV111" s="258"/>
      <c r="BW111" s="39">
        <f>+BW109-920</f>
        <v>993301</v>
      </c>
      <c r="BX111" s="542">
        <f>'FY 2013 by Agency'!BV111*Inflator!E$15</f>
        <v>993301</v>
      </c>
      <c r="BY111" s="39">
        <f t="shared" si="72"/>
        <v>993301</v>
      </c>
      <c r="BZ111" s="51" t="e">
        <f t="shared" si="73"/>
        <v>#DIV/0!</v>
      </c>
      <c r="CB111" s="39"/>
    </row>
    <row r="112" spans="1:81" s="13" customFormat="1" ht="18" customHeight="1">
      <c r="A112" s="64"/>
      <c r="B112" s="326"/>
      <c r="C112" s="326"/>
      <c r="D112" s="326"/>
      <c r="E112" s="355"/>
      <c r="F112" s="10"/>
      <c r="G112" s="10"/>
      <c r="H112" s="14"/>
      <c r="I112" s="10"/>
      <c r="J112" s="10"/>
      <c r="K112" s="14"/>
      <c r="L112" s="10"/>
      <c r="M112" s="10"/>
      <c r="N112" s="14"/>
      <c r="O112" s="10"/>
      <c r="P112" s="12"/>
      <c r="Q112" s="36"/>
      <c r="R112" s="52"/>
      <c r="S112" s="52"/>
      <c r="T112" s="58"/>
      <c r="U112" s="52"/>
      <c r="V112" s="52"/>
      <c r="W112" s="58"/>
      <c r="X112" s="52"/>
      <c r="AA112" s="52"/>
      <c r="AB112" s="220"/>
      <c r="AC112" s="28"/>
      <c r="AD112" s="52"/>
      <c r="AE112" s="180"/>
      <c r="AF112" s="163"/>
      <c r="AG112" s="163"/>
      <c r="AH112" s="163"/>
      <c r="AI112" s="163"/>
      <c r="AM112" s="84"/>
      <c r="AN112" s="172"/>
      <c r="AO112" s="97"/>
      <c r="AP112" s="12"/>
      <c r="AQ112" s="12"/>
      <c r="AR112" s="12"/>
      <c r="AS112" s="52"/>
      <c r="AT112" s="52"/>
      <c r="AU112" s="30"/>
      <c r="AV112" s="97"/>
      <c r="AW112" s="136"/>
      <c r="AY112" s="28"/>
      <c r="BD112" s="295"/>
      <c r="BE112" s="304"/>
      <c r="BI112" s="28"/>
      <c r="BK112" s="323"/>
      <c r="BL112" s="575"/>
      <c r="BM112" s="258"/>
      <c r="BN112" s="290"/>
      <c r="BP112" s="52"/>
      <c r="BQ112" s="50"/>
      <c r="BR112" s="52"/>
      <c r="BS112" s="52"/>
      <c r="BT112" s="50"/>
      <c r="BU112" s="258"/>
      <c r="BV112" s="264"/>
      <c r="BW112" s="39"/>
      <c r="BX112" s="12"/>
      <c r="BY112" s="39">
        <f t="shared" si="72"/>
        <v>0</v>
      </c>
      <c r="BZ112" s="51" t="e">
        <f t="shared" si="73"/>
        <v>#DIV/0!</v>
      </c>
      <c r="CB112" s="39"/>
    </row>
    <row r="113" spans="1:250" s="13" customFormat="1" ht="18" customHeight="1">
      <c r="A113" s="73" t="s">
        <v>84</v>
      </c>
      <c r="B113" s="326"/>
      <c r="C113" s="326"/>
      <c r="D113" s="326"/>
      <c r="E113" s="355"/>
      <c r="F113" s="10"/>
      <c r="G113" s="10"/>
      <c r="H113" s="14"/>
      <c r="I113" s="10"/>
      <c r="J113" s="10"/>
      <c r="K113" s="14"/>
      <c r="L113" s="10"/>
      <c r="M113" s="10"/>
      <c r="N113" s="14"/>
      <c r="O113" s="10"/>
      <c r="P113" s="12"/>
      <c r="Q113" s="36"/>
      <c r="R113" s="52"/>
      <c r="S113" s="52"/>
      <c r="T113" s="58"/>
      <c r="U113" s="52"/>
      <c r="V113" s="52"/>
      <c r="W113" s="58"/>
      <c r="X113" s="52"/>
      <c r="AA113" s="52"/>
      <c r="AC113" s="28"/>
      <c r="AD113" s="52"/>
      <c r="AE113" s="180"/>
      <c r="AF113" s="163"/>
      <c r="AG113" s="163"/>
      <c r="AH113" s="163"/>
      <c r="AI113" s="163"/>
      <c r="AM113" s="84"/>
      <c r="AN113" s="172"/>
      <c r="AO113" s="97"/>
      <c r="AP113" s="12"/>
      <c r="AQ113" s="12"/>
      <c r="AR113" s="12"/>
      <c r="AS113" s="52"/>
      <c r="AT113" s="52"/>
      <c r="AU113" s="30"/>
      <c r="AV113" s="97"/>
      <c r="AW113" s="136"/>
      <c r="BD113" s="295"/>
      <c r="BE113" s="304"/>
      <c r="BI113" s="28"/>
      <c r="BK113" s="323"/>
      <c r="BL113" s="575"/>
      <c r="BM113" s="258"/>
      <c r="BN113" s="290"/>
      <c r="BP113" s="52"/>
      <c r="BQ113" s="50"/>
      <c r="BR113" s="52"/>
      <c r="BS113" s="52"/>
      <c r="BT113" s="50"/>
      <c r="BU113" s="258"/>
      <c r="BV113" s="258"/>
      <c r="BW113" s="39"/>
      <c r="BY113" s="39">
        <f t="shared" si="72"/>
        <v>0</v>
      </c>
      <c r="BZ113" s="51" t="e">
        <f t="shared" si="73"/>
        <v>#DIV/0!</v>
      </c>
      <c r="CB113" s="39"/>
    </row>
    <row r="114" spans="1:250" s="13" customFormat="1" ht="18" customHeight="1">
      <c r="A114" s="73" t="s">
        <v>176</v>
      </c>
      <c r="B114" s="326"/>
      <c r="C114" s="326"/>
      <c r="D114" s="326"/>
      <c r="E114" s="355"/>
      <c r="F114" s="10"/>
      <c r="G114" s="10"/>
      <c r="H114" s="14"/>
      <c r="I114" s="10"/>
      <c r="J114" s="10"/>
      <c r="K114" s="14"/>
      <c r="L114" s="10"/>
      <c r="M114" s="10"/>
      <c r="N114" s="14"/>
      <c r="O114" s="10"/>
      <c r="P114" s="12"/>
      <c r="Q114" s="36"/>
      <c r="R114" s="52"/>
      <c r="S114" s="52"/>
      <c r="T114" s="58"/>
      <c r="U114" s="52"/>
      <c r="V114" s="52"/>
      <c r="W114" s="58"/>
      <c r="X114" s="52"/>
      <c r="AA114" s="52"/>
      <c r="AC114" s="28"/>
      <c r="AD114" s="52"/>
      <c r="AE114" s="180"/>
      <c r="AF114" s="163"/>
      <c r="AG114" s="163"/>
      <c r="AH114" s="163"/>
      <c r="AI114" s="163"/>
      <c r="AM114" s="84"/>
      <c r="AN114" s="172"/>
      <c r="AO114" s="97"/>
      <c r="AP114" s="12"/>
      <c r="AQ114" s="12"/>
      <c r="AR114" s="36"/>
      <c r="AS114" s="52"/>
      <c r="AT114" s="52"/>
      <c r="AU114" s="30"/>
      <c r="AV114" s="97"/>
      <c r="AW114" s="136"/>
      <c r="BD114" s="295"/>
      <c r="BE114" s="304"/>
      <c r="BI114" s="28"/>
      <c r="BK114" s="323"/>
      <c r="BL114" s="575"/>
      <c r="BM114" s="258"/>
      <c r="BN114" s="290"/>
      <c r="BP114" s="52"/>
      <c r="BQ114" s="50"/>
      <c r="BR114" s="52"/>
      <c r="BS114" s="52"/>
      <c r="BT114" s="50"/>
      <c r="BU114" s="258"/>
      <c r="BV114" s="258"/>
      <c r="BW114" s="39"/>
      <c r="BY114" s="39">
        <f t="shared" si="72"/>
        <v>0</v>
      </c>
      <c r="BZ114" s="51" t="e">
        <f t="shared" si="73"/>
        <v>#DIV/0!</v>
      </c>
      <c r="CB114" s="39"/>
    </row>
    <row r="115" spans="1:250" s="13" customFormat="1" ht="18" customHeight="1">
      <c r="A115" s="73" t="s">
        <v>174</v>
      </c>
      <c r="B115" s="326"/>
      <c r="C115" s="326"/>
      <c r="D115" s="326"/>
      <c r="E115" s="355"/>
      <c r="F115" s="10"/>
      <c r="G115" s="10"/>
      <c r="H115" s="14"/>
      <c r="I115" s="10"/>
      <c r="J115" s="10"/>
      <c r="K115" s="14"/>
      <c r="L115" s="10"/>
      <c r="M115" s="10"/>
      <c r="N115" s="14"/>
      <c r="O115" s="10"/>
      <c r="P115" s="12"/>
      <c r="Q115" s="36"/>
      <c r="R115" s="52"/>
      <c r="S115" s="52"/>
      <c r="T115" s="58"/>
      <c r="U115" s="52"/>
      <c r="V115" s="52"/>
      <c r="W115" s="58"/>
      <c r="X115" s="52"/>
      <c r="AA115" s="52"/>
      <c r="AC115" s="28"/>
      <c r="AD115" s="52"/>
      <c r="AE115" s="180"/>
      <c r="AF115" s="163"/>
      <c r="AG115" s="163"/>
      <c r="AH115" s="163"/>
      <c r="AI115" s="163"/>
      <c r="AM115" s="84"/>
      <c r="AN115" s="172"/>
      <c r="AO115" s="97"/>
      <c r="AP115" s="12"/>
      <c r="AQ115" s="12"/>
      <c r="AR115" s="12"/>
      <c r="AS115" s="52"/>
      <c r="AT115" s="52"/>
      <c r="AU115" s="30"/>
      <c r="AV115" s="97"/>
      <c r="AW115" s="136"/>
      <c r="BD115" s="295"/>
      <c r="BE115" s="304"/>
      <c r="BI115" s="28"/>
      <c r="BK115" s="323"/>
      <c r="BL115" s="575"/>
      <c r="BM115" s="258"/>
      <c r="BN115" s="290"/>
      <c r="BP115" s="52"/>
      <c r="BQ115" s="50"/>
      <c r="BR115" s="52"/>
      <c r="BS115" s="52"/>
      <c r="BT115" s="50"/>
      <c r="BU115" s="258"/>
      <c r="BV115" s="258"/>
      <c r="BW115" s="39"/>
      <c r="BY115" s="39">
        <f t="shared" si="72"/>
        <v>0</v>
      </c>
      <c r="BZ115" s="51" t="e">
        <f t="shared" si="73"/>
        <v>#DIV/0!</v>
      </c>
      <c r="CB115" s="39"/>
    </row>
    <row r="116" spans="1:250" s="13" customFormat="1" ht="18" customHeight="1">
      <c r="A116" s="83" t="s">
        <v>177</v>
      </c>
      <c r="B116" s="326"/>
      <c r="C116" s="326"/>
      <c r="D116" s="326"/>
      <c r="E116" s="355"/>
      <c r="F116" s="10"/>
      <c r="G116" s="10"/>
      <c r="H116" s="14"/>
      <c r="I116" s="10"/>
      <c r="J116" s="10"/>
      <c r="K116" s="14"/>
      <c r="L116" s="10"/>
      <c r="M116" s="10"/>
      <c r="N116" s="14"/>
      <c r="O116" s="10"/>
      <c r="P116" s="50"/>
      <c r="Q116" s="50"/>
      <c r="R116" s="52"/>
      <c r="S116" s="50"/>
      <c r="T116" s="50"/>
      <c r="U116" s="52"/>
      <c r="V116" s="50"/>
      <c r="W116" s="50"/>
      <c r="X116" s="52"/>
      <c r="Y116" s="50"/>
      <c r="Z116" s="50"/>
      <c r="AA116" s="52"/>
      <c r="AB116" s="50"/>
      <c r="AC116" s="65"/>
      <c r="AD116" s="52"/>
      <c r="AE116" s="166"/>
      <c r="AF116" s="157"/>
      <c r="AG116" s="157"/>
      <c r="AH116" s="157"/>
      <c r="AI116" s="157"/>
      <c r="AJ116" s="50"/>
      <c r="AK116" s="50"/>
      <c r="AL116" s="50"/>
      <c r="AM116" s="84"/>
      <c r="AN116" s="172"/>
      <c r="AO116" s="97"/>
      <c r="AP116" s="52"/>
      <c r="AQ116" s="52"/>
      <c r="AR116" s="52"/>
      <c r="AS116" s="52"/>
      <c r="AT116" s="52"/>
      <c r="AU116" s="30"/>
      <c r="AV116" s="99"/>
      <c r="AW116" s="62"/>
      <c r="AX116" s="50"/>
      <c r="AY116" s="50"/>
      <c r="AZ116" s="50"/>
      <c r="BA116" s="50"/>
      <c r="BB116" s="50"/>
      <c r="BC116" s="50"/>
      <c r="BD116" s="292"/>
      <c r="BE116" s="282"/>
      <c r="BF116" s="50"/>
      <c r="BG116" s="50"/>
      <c r="BH116" s="50"/>
      <c r="BI116" s="65"/>
      <c r="BJ116" s="50"/>
      <c r="BK116" s="318"/>
      <c r="BL116" s="576"/>
      <c r="BM116" s="52"/>
      <c r="BN116" s="51"/>
      <c r="BO116" s="50"/>
      <c r="BP116" s="52"/>
      <c r="BQ116" s="50"/>
      <c r="BR116" s="52"/>
      <c r="BS116" s="52"/>
      <c r="BT116" s="50"/>
      <c r="BU116" s="52"/>
      <c r="BV116" s="52"/>
      <c r="BW116" s="39"/>
      <c r="BX116" s="50"/>
      <c r="BY116" s="39">
        <f t="shared" si="72"/>
        <v>0</v>
      </c>
      <c r="BZ116" s="51" t="e">
        <f t="shared" si="73"/>
        <v>#DIV/0!</v>
      </c>
      <c r="CB116" s="39"/>
      <c r="CC116" s="50"/>
      <c r="CD116" s="50"/>
      <c r="CE116" s="50"/>
      <c r="CF116" s="50"/>
      <c r="CG116" s="50"/>
      <c r="CH116" s="50"/>
      <c r="CI116" s="50"/>
      <c r="CJ116" s="50"/>
      <c r="CK116" s="50"/>
      <c r="CL116" s="50"/>
      <c r="CM116" s="50"/>
      <c r="CN116" s="50"/>
      <c r="CO116" s="50"/>
      <c r="CP116" s="50"/>
      <c r="CQ116" s="50"/>
      <c r="CR116" s="50"/>
      <c r="CS116" s="50"/>
      <c r="CT116" s="50"/>
      <c r="CU116" s="50"/>
      <c r="CV116" s="50"/>
      <c r="CW116" s="50"/>
      <c r="CX116" s="50"/>
      <c r="CY116" s="50"/>
      <c r="CZ116" s="50"/>
      <c r="DA116" s="50"/>
      <c r="DB116" s="50"/>
      <c r="DC116" s="50"/>
      <c r="DD116" s="50"/>
      <c r="DE116" s="50"/>
      <c r="DF116" s="50"/>
      <c r="DG116" s="50"/>
      <c r="DH116" s="50"/>
      <c r="DI116" s="50"/>
      <c r="DJ116" s="50"/>
      <c r="DK116" s="50"/>
      <c r="DL116" s="50"/>
      <c r="DM116" s="50"/>
      <c r="DN116" s="50"/>
      <c r="DO116" s="50"/>
      <c r="DP116" s="50"/>
      <c r="DQ116" s="50"/>
      <c r="DR116" s="50"/>
      <c r="DS116" s="50"/>
      <c r="DT116" s="50"/>
      <c r="DU116" s="50"/>
      <c r="DV116" s="50"/>
      <c r="DW116" s="50"/>
      <c r="DX116" s="50"/>
      <c r="DY116" s="50"/>
      <c r="DZ116" s="50"/>
      <c r="EA116" s="50"/>
      <c r="EB116" s="50"/>
      <c r="EC116" s="50"/>
      <c r="ED116" s="50"/>
      <c r="EE116" s="50"/>
      <c r="EF116" s="50"/>
      <c r="EG116" s="50"/>
      <c r="EH116" s="50"/>
      <c r="EI116" s="50"/>
      <c r="EJ116" s="50"/>
      <c r="EK116" s="50"/>
      <c r="EL116" s="50"/>
      <c r="EM116" s="50"/>
      <c r="EN116" s="50"/>
      <c r="EO116" s="50"/>
      <c r="EP116" s="50"/>
      <c r="EQ116" s="50"/>
      <c r="ER116" s="50"/>
      <c r="ES116" s="50"/>
      <c r="ET116" s="50"/>
      <c r="EU116" s="50"/>
      <c r="EV116" s="50"/>
      <c r="EW116" s="50"/>
      <c r="EX116" s="50"/>
      <c r="EY116" s="50"/>
      <c r="EZ116" s="50"/>
      <c r="FA116" s="50"/>
      <c r="FB116" s="50"/>
      <c r="FC116" s="50"/>
      <c r="FD116" s="50"/>
      <c r="FE116" s="50"/>
      <c r="FF116" s="50"/>
      <c r="FG116" s="50"/>
      <c r="FH116" s="50"/>
      <c r="FI116" s="50"/>
      <c r="FJ116" s="50"/>
      <c r="FK116" s="50"/>
      <c r="FL116" s="50"/>
      <c r="FM116" s="50"/>
      <c r="FN116" s="50"/>
      <c r="FO116" s="50"/>
      <c r="FP116" s="50"/>
      <c r="FQ116" s="50"/>
      <c r="FR116" s="50"/>
      <c r="FS116" s="50"/>
      <c r="FT116" s="50"/>
      <c r="FU116" s="50"/>
      <c r="FV116" s="50"/>
      <c r="FW116" s="50"/>
      <c r="FX116" s="50"/>
      <c r="FY116" s="50"/>
      <c r="FZ116" s="50"/>
      <c r="GA116" s="50"/>
      <c r="GB116" s="50"/>
      <c r="GC116" s="50"/>
      <c r="GD116" s="50"/>
      <c r="GE116" s="50"/>
      <c r="GF116" s="50"/>
      <c r="GG116" s="50"/>
      <c r="GH116" s="50"/>
      <c r="GI116" s="50"/>
      <c r="GJ116" s="50"/>
      <c r="GK116" s="50"/>
      <c r="GL116" s="50"/>
      <c r="GM116" s="50"/>
      <c r="GN116" s="50"/>
      <c r="GO116" s="50"/>
      <c r="GP116" s="50"/>
      <c r="GQ116" s="50"/>
      <c r="GR116" s="50"/>
      <c r="GS116" s="50"/>
      <c r="GT116" s="50"/>
      <c r="GU116" s="50"/>
      <c r="GV116" s="50"/>
      <c r="GW116" s="50"/>
      <c r="GX116" s="50"/>
      <c r="GY116" s="50"/>
      <c r="GZ116" s="50"/>
      <c r="HA116" s="50"/>
      <c r="HB116" s="50"/>
      <c r="HC116" s="50"/>
      <c r="HD116" s="50"/>
      <c r="HE116" s="50"/>
      <c r="HF116" s="50"/>
      <c r="HG116" s="50"/>
      <c r="HH116" s="50"/>
      <c r="HI116" s="50"/>
      <c r="HJ116" s="50"/>
      <c r="HK116" s="50"/>
      <c r="HL116" s="50"/>
      <c r="HM116" s="50"/>
      <c r="HN116" s="50"/>
      <c r="HO116" s="50"/>
      <c r="HP116" s="50"/>
      <c r="HQ116" s="50"/>
      <c r="HR116" s="50"/>
      <c r="HS116" s="50"/>
      <c r="HT116" s="50"/>
      <c r="HU116" s="50"/>
      <c r="HV116" s="50"/>
      <c r="HW116" s="50"/>
      <c r="HX116" s="50"/>
      <c r="HY116" s="50"/>
      <c r="HZ116" s="50"/>
      <c r="IA116" s="50"/>
      <c r="IB116" s="50"/>
      <c r="IC116" s="50"/>
      <c r="ID116" s="50"/>
      <c r="IE116" s="50"/>
      <c r="IF116" s="50"/>
      <c r="IG116" s="50"/>
      <c r="IH116" s="50"/>
      <c r="II116" s="50"/>
      <c r="IJ116" s="50"/>
      <c r="IK116" s="50"/>
      <c r="IL116" s="50"/>
      <c r="IM116" s="50"/>
      <c r="IN116" s="50"/>
      <c r="IO116" s="50"/>
      <c r="IP116" s="50"/>
    </row>
    <row r="117" spans="1:250" s="13" customFormat="1" ht="18" customHeight="1">
      <c r="A117" s="83" t="s">
        <v>187</v>
      </c>
      <c r="B117" s="326"/>
      <c r="C117" s="326"/>
      <c r="D117" s="326"/>
      <c r="E117" s="355"/>
      <c r="F117" s="10"/>
      <c r="G117" s="10"/>
      <c r="H117" s="14"/>
      <c r="I117" s="10"/>
      <c r="J117" s="10"/>
      <c r="K117" s="14"/>
      <c r="L117" s="10"/>
      <c r="M117" s="10"/>
      <c r="N117" s="14"/>
      <c r="O117" s="10"/>
      <c r="P117" s="50"/>
      <c r="Q117" s="50"/>
      <c r="R117" s="52"/>
      <c r="S117" s="50"/>
      <c r="T117" s="50"/>
      <c r="U117" s="52"/>
      <c r="V117" s="50"/>
      <c r="W117" s="50"/>
      <c r="X117" s="52"/>
      <c r="Y117" s="50"/>
      <c r="Z117" s="50"/>
      <c r="AA117" s="52"/>
      <c r="AB117" s="50"/>
      <c r="AC117" s="65"/>
      <c r="AD117" s="52"/>
      <c r="AE117" s="166"/>
      <c r="AF117" s="157"/>
      <c r="AG117" s="157"/>
      <c r="AH117" s="157"/>
      <c r="AI117" s="157"/>
      <c r="AJ117" s="50"/>
      <c r="AK117" s="50"/>
      <c r="AL117" s="50"/>
      <c r="AM117" s="84"/>
      <c r="AN117" s="172"/>
      <c r="AO117" s="97"/>
      <c r="AP117" s="52"/>
      <c r="AQ117" s="52"/>
      <c r="AR117" s="52"/>
      <c r="AS117" s="52"/>
      <c r="AT117" s="52"/>
      <c r="AU117" s="30"/>
      <c r="AV117" s="99"/>
      <c r="AW117" s="62"/>
      <c r="AX117" s="50"/>
      <c r="AY117" s="50"/>
      <c r="AZ117" s="50"/>
      <c r="BA117" s="50"/>
      <c r="BB117" s="50"/>
      <c r="BC117" s="50"/>
      <c r="BD117" s="292"/>
      <c r="BE117" s="282"/>
      <c r="BF117" s="50"/>
      <c r="BG117" s="50"/>
      <c r="BH117" s="50"/>
      <c r="BI117" s="65"/>
      <c r="BJ117" s="50"/>
      <c r="BK117" s="318"/>
      <c r="BL117" s="576"/>
      <c r="BM117" s="52"/>
      <c r="BN117" s="51"/>
      <c r="BO117" s="50"/>
      <c r="BP117" s="52"/>
      <c r="BQ117" s="50"/>
      <c r="BR117" s="52"/>
      <c r="BS117" s="52"/>
      <c r="BT117" s="50"/>
      <c r="BU117" s="52"/>
      <c r="BV117" s="52"/>
      <c r="BW117" s="39"/>
      <c r="BX117" s="50"/>
      <c r="BY117" s="39">
        <f t="shared" si="72"/>
        <v>0</v>
      </c>
      <c r="BZ117" s="51" t="e">
        <f t="shared" si="73"/>
        <v>#DIV/0!</v>
      </c>
      <c r="CB117" s="39"/>
      <c r="CC117" s="50"/>
      <c r="CD117" s="50"/>
      <c r="CE117" s="50"/>
      <c r="CF117" s="50"/>
      <c r="CG117" s="50"/>
      <c r="CH117" s="50"/>
      <c r="CI117" s="50"/>
      <c r="CJ117" s="50"/>
      <c r="CK117" s="50"/>
      <c r="CL117" s="50"/>
      <c r="CM117" s="50"/>
      <c r="CN117" s="50"/>
      <c r="CO117" s="50"/>
      <c r="CP117" s="50"/>
      <c r="CQ117" s="50"/>
      <c r="CR117" s="50"/>
      <c r="CS117" s="50"/>
      <c r="CT117" s="50"/>
      <c r="CU117" s="50"/>
      <c r="CV117" s="50"/>
      <c r="CW117" s="50"/>
      <c r="CX117" s="50"/>
      <c r="CY117" s="50"/>
      <c r="CZ117" s="50"/>
      <c r="DA117" s="50"/>
      <c r="DB117" s="50"/>
      <c r="DC117" s="50"/>
      <c r="DD117" s="50"/>
      <c r="DE117" s="50"/>
      <c r="DF117" s="50"/>
      <c r="DG117" s="50"/>
      <c r="DH117" s="50"/>
      <c r="DI117" s="50"/>
      <c r="DJ117" s="50"/>
      <c r="DK117" s="50"/>
      <c r="DL117" s="50"/>
      <c r="DM117" s="50"/>
      <c r="DN117" s="50"/>
      <c r="DO117" s="50"/>
      <c r="DP117" s="50"/>
      <c r="DQ117" s="50"/>
      <c r="DR117" s="50"/>
      <c r="DS117" s="50"/>
      <c r="DT117" s="50"/>
      <c r="DU117" s="50"/>
      <c r="DV117" s="50"/>
      <c r="DW117" s="50"/>
      <c r="DX117" s="50"/>
      <c r="DY117" s="50"/>
      <c r="DZ117" s="50"/>
      <c r="EA117" s="50"/>
      <c r="EB117" s="50"/>
      <c r="EC117" s="50"/>
      <c r="ED117" s="50"/>
      <c r="EE117" s="50"/>
      <c r="EF117" s="50"/>
      <c r="EG117" s="50"/>
      <c r="EH117" s="50"/>
      <c r="EI117" s="50"/>
      <c r="EJ117" s="50"/>
      <c r="EK117" s="50"/>
      <c r="EL117" s="50"/>
      <c r="EM117" s="50"/>
      <c r="EN117" s="50"/>
      <c r="EO117" s="50"/>
      <c r="EP117" s="50"/>
      <c r="EQ117" s="50"/>
      <c r="ER117" s="50"/>
      <c r="ES117" s="50"/>
      <c r="ET117" s="50"/>
      <c r="EU117" s="50"/>
      <c r="EV117" s="50"/>
      <c r="EW117" s="50"/>
      <c r="EX117" s="50"/>
      <c r="EY117" s="50"/>
      <c r="EZ117" s="50"/>
      <c r="FA117" s="50"/>
      <c r="FB117" s="50"/>
      <c r="FC117" s="50"/>
      <c r="FD117" s="50"/>
      <c r="FE117" s="50"/>
      <c r="FF117" s="50"/>
      <c r="FG117" s="50"/>
      <c r="FH117" s="50"/>
      <c r="FI117" s="50"/>
      <c r="FJ117" s="50"/>
      <c r="FK117" s="50"/>
      <c r="FL117" s="50"/>
      <c r="FM117" s="50"/>
      <c r="FN117" s="50"/>
      <c r="FO117" s="50"/>
      <c r="FP117" s="50"/>
      <c r="FQ117" s="50"/>
      <c r="FR117" s="50"/>
      <c r="FS117" s="50"/>
      <c r="FT117" s="50"/>
      <c r="FU117" s="50"/>
      <c r="FV117" s="50"/>
      <c r="FW117" s="50"/>
      <c r="FX117" s="50"/>
      <c r="FY117" s="50"/>
      <c r="FZ117" s="50"/>
      <c r="GA117" s="50"/>
      <c r="GB117" s="50"/>
      <c r="GC117" s="50"/>
      <c r="GD117" s="50"/>
      <c r="GE117" s="50"/>
      <c r="GF117" s="50"/>
      <c r="GG117" s="50"/>
      <c r="GH117" s="50"/>
      <c r="GI117" s="50"/>
      <c r="GJ117" s="50"/>
      <c r="GK117" s="50"/>
      <c r="GL117" s="50"/>
      <c r="GM117" s="50"/>
      <c r="GN117" s="50"/>
      <c r="GO117" s="50"/>
      <c r="GP117" s="50"/>
      <c r="GQ117" s="50"/>
      <c r="GR117" s="50"/>
      <c r="GS117" s="50"/>
      <c r="GT117" s="50"/>
      <c r="GU117" s="50"/>
      <c r="GV117" s="50"/>
      <c r="GW117" s="50"/>
      <c r="GX117" s="50"/>
      <c r="GY117" s="50"/>
      <c r="GZ117" s="50"/>
      <c r="HA117" s="50"/>
      <c r="HB117" s="50"/>
      <c r="HC117" s="50"/>
      <c r="HD117" s="50"/>
      <c r="HE117" s="50"/>
      <c r="HF117" s="50"/>
      <c r="HG117" s="50"/>
      <c r="HH117" s="50"/>
      <c r="HI117" s="50"/>
      <c r="HJ117" s="50"/>
      <c r="HK117" s="50"/>
      <c r="HL117" s="50"/>
      <c r="HM117" s="50"/>
      <c r="HN117" s="50"/>
      <c r="HO117" s="50"/>
      <c r="HP117" s="50"/>
      <c r="HQ117" s="50"/>
      <c r="HR117" s="50"/>
      <c r="HS117" s="50"/>
      <c r="HT117" s="50"/>
      <c r="HU117" s="50"/>
      <c r="HV117" s="50"/>
      <c r="HW117" s="50"/>
      <c r="HX117" s="50"/>
      <c r="HY117" s="50"/>
      <c r="HZ117" s="50"/>
      <c r="IA117" s="50"/>
      <c r="IB117" s="50"/>
      <c r="IC117" s="50"/>
      <c r="ID117" s="50"/>
      <c r="IE117" s="50"/>
      <c r="IF117" s="50"/>
      <c r="IG117" s="50"/>
      <c r="IH117" s="50"/>
      <c r="II117" s="50"/>
      <c r="IJ117" s="50"/>
      <c r="IK117" s="50"/>
      <c r="IL117" s="50"/>
      <c r="IM117" s="50"/>
      <c r="IN117" s="50"/>
      <c r="IO117" s="50"/>
      <c r="IP117" s="50"/>
    </row>
    <row r="118" spans="1:250" ht="18" customHeight="1">
      <c r="A118" s="64"/>
      <c r="B118" s="326"/>
      <c r="C118" s="326"/>
      <c r="D118" s="326"/>
      <c r="E118" s="355"/>
      <c r="F118" s="10"/>
      <c r="G118" s="10"/>
      <c r="H118" s="14"/>
      <c r="I118" s="10"/>
      <c r="J118" s="10"/>
      <c r="K118" s="14"/>
      <c r="L118" s="10"/>
      <c r="M118" s="10"/>
      <c r="N118" s="14"/>
      <c r="O118" s="10"/>
      <c r="P118" s="63"/>
      <c r="Q118" s="72"/>
      <c r="R118" s="52"/>
      <c r="S118" s="52"/>
      <c r="T118" s="58"/>
      <c r="U118" s="52"/>
      <c r="V118" s="52"/>
      <c r="W118" s="58"/>
      <c r="X118" s="52"/>
      <c r="AA118" s="52"/>
      <c r="AD118" s="52"/>
      <c r="AI118" s="157"/>
      <c r="AM118" s="84"/>
      <c r="AN118" s="172"/>
      <c r="BD118" s="292"/>
      <c r="BI118" s="65"/>
      <c r="BL118" s="576"/>
      <c r="BN118" s="51"/>
      <c r="BP118" s="52"/>
      <c r="BR118" s="52"/>
      <c r="BS118" s="52"/>
      <c r="BW118" s="39"/>
      <c r="BY118" s="39">
        <f t="shared" si="72"/>
        <v>0</v>
      </c>
      <c r="BZ118" s="51" t="e">
        <f t="shared" si="73"/>
        <v>#DIV/0!</v>
      </c>
      <c r="CB118" s="39"/>
    </row>
    <row r="119" spans="1:250" s="109" customFormat="1" ht="18" customHeight="1">
      <c r="A119" s="116" t="s">
        <v>52</v>
      </c>
      <c r="B119" s="358"/>
      <c r="C119" s="358"/>
      <c r="D119" s="358"/>
      <c r="E119" s="361"/>
      <c r="F119" s="362"/>
      <c r="G119" s="362"/>
      <c r="H119" s="364"/>
      <c r="I119" s="362"/>
      <c r="J119" s="362"/>
      <c r="K119" s="364"/>
      <c r="L119" s="362"/>
      <c r="M119" s="362"/>
      <c r="N119" s="364"/>
      <c r="O119" s="362"/>
      <c r="P119" s="105"/>
      <c r="Q119" s="117"/>
      <c r="R119" s="107"/>
      <c r="S119" s="107"/>
      <c r="T119" s="125"/>
      <c r="U119" s="107"/>
      <c r="V119" s="107"/>
      <c r="W119" s="125"/>
      <c r="X119" s="107"/>
      <c r="AA119" s="107"/>
      <c r="AC119" s="110"/>
      <c r="AD119" s="107"/>
      <c r="AE119" s="175"/>
      <c r="AF119" s="158"/>
      <c r="AG119" s="158"/>
      <c r="AH119" s="158"/>
      <c r="AI119" s="158"/>
      <c r="AM119" s="123"/>
      <c r="AN119" s="170"/>
      <c r="AO119" s="113"/>
      <c r="AP119" s="107"/>
      <c r="AQ119" s="107"/>
      <c r="AR119" s="107"/>
      <c r="AS119" s="107"/>
      <c r="AT119" s="107"/>
      <c r="AU119" s="200"/>
      <c r="AV119" s="114"/>
      <c r="AW119" s="107"/>
      <c r="BD119" s="293"/>
      <c r="BE119" s="302"/>
      <c r="BF119" s="302"/>
      <c r="BG119" s="302"/>
      <c r="BI119" s="110"/>
      <c r="BK119" s="320"/>
      <c r="BL119" s="585"/>
      <c r="BM119" s="107"/>
      <c r="BN119" s="108"/>
      <c r="BP119" s="107"/>
      <c r="BR119" s="107"/>
      <c r="BS119" s="107"/>
      <c r="BU119" s="107"/>
      <c r="BV119" s="107"/>
      <c r="BW119" s="562"/>
      <c r="BY119" s="39">
        <f t="shared" si="72"/>
        <v>0</v>
      </c>
      <c r="BZ119" s="51" t="e">
        <f t="shared" si="73"/>
        <v>#DIV/0!</v>
      </c>
      <c r="CB119" s="39"/>
    </row>
    <row r="120" spans="1:250" s="79" customFormat="1" ht="18" customHeight="1">
      <c r="A120" s="53" t="s">
        <v>182</v>
      </c>
      <c r="B120" s="330" t="s">
        <v>78</v>
      </c>
      <c r="C120" s="330" t="s">
        <v>78</v>
      </c>
      <c r="D120" s="330" t="s">
        <v>78</v>
      </c>
      <c r="E120" s="330" t="s">
        <v>78</v>
      </c>
      <c r="F120" s="330" t="s">
        <v>78</v>
      </c>
      <c r="G120" s="330" t="s">
        <v>78</v>
      </c>
      <c r="H120" s="330" t="s">
        <v>78</v>
      </c>
      <c r="I120" s="330" t="s">
        <v>78</v>
      </c>
      <c r="J120" s="330" t="s">
        <v>78</v>
      </c>
      <c r="K120" s="330" t="s">
        <v>78</v>
      </c>
      <c r="L120" s="10">
        <f>'FY 2013 by Agency'!L120*Inflator!$E$6</f>
        <v>0</v>
      </c>
      <c r="M120" s="330" t="s">
        <v>78</v>
      </c>
      <c r="N120" s="330" t="s">
        <v>78</v>
      </c>
      <c r="O120" s="10">
        <f>'FY 2013 by Agency'!O120*Inflator!$E$7</f>
        <v>0</v>
      </c>
      <c r="P120" s="24">
        <v>0</v>
      </c>
      <c r="Q120" s="37" t="s">
        <v>78</v>
      </c>
      <c r="R120" s="52">
        <f>'FY 2013 by Agency'!R120*Inflator!$E$8</f>
        <v>0</v>
      </c>
      <c r="S120" s="24">
        <v>0</v>
      </c>
      <c r="T120" s="37" t="s">
        <v>78</v>
      </c>
      <c r="U120" s="52">
        <f>'FY 2013 by Agency'!U120*Inflator!$E$9</f>
        <v>0</v>
      </c>
      <c r="V120" s="24">
        <v>0</v>
      </c>
      <c r="W120" s="37" t="s">
        <v>78</v>
      </c>
      <c r="X120" s="52">
        <f>'FY 2013 by Agency'!X120*Inflator!$E$10</f>
        <v>2662.0724039377583</v>
      </c>
      <c r="Y120" s="40">
        <f>X120-U120</f>
        <v>2662.0724039377583</v>
      </c>
      <c r="Z120" s="145" t="s">
        <v>127</v>
      </c>
      <c r="AA120" s="52">
        <f>'FY 2013 by Agency'!AA120*Inflator!$E$11</f>
        <v>5295.6406498885008</v>
      </c>
      <c r="AB120" s="39">
        <f t="shared" ref="AB120:AB132" si="118">AA120-X120</f>
        <v>2633.5682459507425</v>
      </c>
      <c r="AC120" s="58">
        <f t="shared" ref="AC120:AC129" si="119">AB120/X120</f>
        <v>0.98929249334283609</v>
      </c>
      <c r="AD120" s="52" t="e">
        <f>'FY 2013 by Agency'!AD120*Inflator!#REF!</f>
        <v>#REF!</v>
      </c>
      <c r="AE120" s="52">
        <f>'FY 2013 by Agency'!AE120*Inflator!$B$8</f>
        <v>0</v>
      </c>
      <c r="AF120" s="52">
        <f>'FY 2013 by Agency'!AF120*Inflator!$E$12</f>
        <v>876.11340852130331</v>
      </c>
      <c r="AG120" s="52">
        <f t="shared" ref="AG120:AG133" si="120">AF120-AA120</f>
        <v>-4419.5272413671973</v>
      </c>
      <c r="AH120" s="58">
        <f t="shared" ref="AH120:AH133" si="121">AG120/AA120</f>
        <v>-0.83455950536603163</v>
      </c>
      <c r="AI120" s="52">
        <f>'FY 2013 by Agency'!AI120*Inflator!$B$8</f>
        <v>0</v>
      </c>
      <c r="AJ120" s="52">
        <f>'FY 2013 by Agency'!AJ120*Inflator!$B$8</f>
        <v>0</v>
      </c>
      <c r="AK120" s="52">
        <f>'FY 2013 by Agency'!AK120</f>
        <v>795</v>
      </c>
      <c r="AL120" s="52">
        <f>'FY 2013 by Agency'!AL120</f>
        <v>0</v>
      </c>
      <c r="AM120" s="52">
        <f>'FY 2013 by Agency'!AM120</f>
        <v>795</v>
      </c>
      <c r="AN120" s="52">
        <f>'FY 2013 by Agency'!AN120</f>
        <v>2510</v>
      </c>
      <c r="AO120" s="52">
        <f>'FY 2013 by Agency'!AO120</f>
        <v>2510</v>
      </c>
      <c r="AP120" s="52">
        <f>'FY 2013 by Agency'!AP120</f>
        <v>31</v>
      </c>
      <c r="AQ120" s="52">
        <f>'FY 2013 by Agency'!AQ120</f>
        <v>17</v>
      </c>
      <c r="AR120" s="52">
        <f>'FY 2013 by Agency'!AR120</f>
        <v>48</v>
      </c>
      <c r="AS120" s="52">
        <f>'FY 2013 by Agency'!AS120</f>
        <v>1262.3665699999999</v>
      </c>
      <c r="AT120" s="52" t="e">
        <f t="shared" ref="AT120:AT132" si="122">AR120-AD120</f>
        <v>#REF!</v>
      </c>
      <c r="AU120" s="58" t="e">
        <f t="shared" ref="AU120:AU133" si="123">AT120/AD120</f>
        <v>#REF!</v>
      </c>
      <c r="AV120" s="52">
        <f t="shared" ref="AV120:AV133" si="124">AS120-AF120</f>
        <v>386.2531614786966</v>
      </c>
      <c r="AW120" s="58">
        <f t="shared" ref="AW120:AW133" si="125">AV120/AF120</f>
        <v>0.44087119055809382</v>
      </c>
      <c r="AX120" s="281" t="s">
        <v>341</v>
      </c>
      <c r="AY120" s="80">
        <v>1273</v>
      </c>
      <c r="AZ120" s="78">
        <f t="shared" ref="AZ120:AZ131" si="126">+AY120-AO120</f>
        <v>-1237</v>
      </c>
      <c r="BA120" s="78">
        <f t="shared" ref="BA120:BA131" si="127">+AZ120+AV120</f>
        <v>-850.7468385213034</v>
      </c>
      <c r="BB120" s="78">
        <f t="shared" ref="BB120:BB131" si="128">+AZ120+AS120</f>
        <v>25.366569999999911</v>
      </c>
      <c r="BC120" s="241">
        <f t="shared" ref="BC120:BC131" si="129">+BB120/AF120-1</f>
        <v>-0.97104647668523492</v>
      </c>
      <c r="BD120" s="294">
        <v>30.512</v>
      </c>
      <c r="BE120" s="51">
        <f>BD120/AY120</f>
        <v>2.3968578161822466E-2</v>
      </c>
      <c r="BF120" s="303">
        <v>34</v>
      </c>
      <c r="BG120" s="303"/>
      <c r="BI120" s="78">
        <v>1227</v>
      </c>
      <c r="BJ120" s="78">
        <f>BI120-AY120</f>
        <v>-46</v>
      </c>
      <c r="BK120" s="78">
        <f>BI120+AP120+AQ120</f>
        <v>1275</v>
      </c>
      <c r="BL120" s="581">
        <f>'FY 2013 by Agency'!AS120*Inflator!$E$13</f>
        <v>1308.9782132621301</v>
      </c>
      <c r="BM120" s="62">
        <f>BL120-AF120</f>
        <v>432.8648047408268</v>
      </c>
      <c r="BN120" s="587">
        <f t="shared" ref="BN120:BN132" si="130">BM120/AF120</f>
        <v>0.49407394126225312</v>
      </c>
      <c r="BO120" s="52">
        <f>'FY 2013 by Agency'!AX120*Inflator!$E$13</f>
        <v>1272.3057674702475</v>
      </c>
      <c r="BP120" s="52">
        <f t="shared" si="74"/>
        <v>396.19235894894416</v>
      </c>
      <c r="BQ120" s="51">
        <f t="shared" si="75"/>
        <v>0.4522158376934719</v>
      </c>
      <c r="BR120" s="52">
        <f>'FY 2013 by Agency'!BE120*Inflator!$E$14</f>
        <v>1939.9749178859363</v>
      </c>
      <c r="BS120" s="52">
        <f t="shared" si="76"/>
        <v>667.66915041568882</v>
      </c>
      <c r="BT120" s="51">
        <f t="shared" si="77"/>
        <v>0.52477098468493899</v>
      </c>
      <c r="BU120" s="62">
        <f>'FY 2013 by Agency'!BL120*Inflator!$E$14</f>
        <v>1945.0480740519561</v>
      </c>
      <c r="BV120" s="62">
        <f>BU120-BL120</f>
        <v>636.06986078982595</v>
      </c>
      <c r="BW120" s="495">
        <v>1803</v>
      </c>
      <c r="BX120" s="39">
        <f>'FY 2013 by Agency'!BV120*Inflator!E15</f>
        <v>1803</v>
      </c>
      <c r="BY120" s="39">
        <f t="shared" si="72"/>
        <v>-136.97491788593629</v>
      </c>
      <c r="BZ120" s="51">
        <f t="shared" si="73"/>
        <v>-7.060654064290843E-2</v>
      </c>
      <c r="CB120" s="39"/>
    </row>
    <row r="121" spans="1:250" ht="18" customHeight="1">
      <c r="A121" s="53" t="s">
        <v>132</v>
      </c>
      <c r="B121" s="326">
        <f>'FY 2013 by Agency'!B121*Inflator!$E$2</f>
        <v>824861.79027113249</v>
      </c>
      <c r="C121" s="326">
        <f>'FY 2013 by Agency'!C121*Inflator!$E$3</f>
        <v>974275.40030911902</v>
      </c>
      <c r="D121" s="326">
        <f t="shared" si="78"/>
        <v>149413.61003798654</v>
      </c>
      <c r="E121" s="355">
        <f t="shared" si="79"/>
        <v>0.18113775156062717</v>
      </c>
      <c r="F121" s="10">
        <f>'FY 2013 by Agency'!F121*Inflator!$E$4</f>
        <v>965542.92881614005</v>
      </c>
      <c r="G121" s="10">
        <f t="shared" si="80"/>
        <v>-8732.471492978977</v>
      </c>
      <c r="H121" s="14">
        <f t="shared" si="81"/>
        <v>-8.9630421646778001E-3</v>
      </c>
      <c r="I121" s="10">
        <f>'FY 2013 by Agency'!I121*Inflator!$E$5</f>
        <v>907969.86240238021</v>
      </c>
      <c r="J121" s="10">
        <f t="shared" si="82"/>
        <v>-57573.066413759836</v>
      </c>
      <c r="K121" s="14">
        <f t="shared" si="83"/>
        <v>-5.962766097241335E-2</v>
      </c>
      <c r="L121" s="10">
        <f>'FY 2013 by Agency'!L121*Inflator!$E$6</f>
        <v>957844.44565612497</v>
      </c>
      <c r="M121" s="10">
        <f t="shared" si="84"/>
        <v>49874.583253744757</v>
      </c>
      <c r="N121" s="14">
        <f t="shared" si="85"/>
        <v>5.4929778309802647E-2</v>
      </c>
      <c r="O121" s="10">
        <f>'FY 2013 by Agency'!O121*Inflator!$E$7</f>
        <v>943370.19852164714</v>
      </c>
      <c r="P121" s="52">
        <f t="shared" ref="P121:P127" si="131">O121-L121</f>
        <v>-14474.247134477831</v>
      </c>
      <c r="Q121" s="72">
        <f>P121/L121</f>
        <v>-1.5111271146499105E-2</v>
      </c>
      <c r="R121" s="52">
        <f>'FY 2013 by Agency'!R121*Inflator!$E$8</f>
        <v>944915.05566870328</v>
      </c>
      <c r="S121" s="69">
        <f t="shared" ref="S121:S133" si="132">R121-O121</f>
        <v>1544.8571470561437</v>
      </c>
      <c r="T121" s="72">
        <f t="shared" ref="T121:T126" si="133">S121/O121</f>
        <v>1.6375937563822614E-3</v>
      </c>
      <c r="U121" s="52">
        <f>'FY 2013 by Agency'!U121*Inflator!$E$9</f>
        <v>932642.84084880631</v>
      </c>
      <c r="V121" s="69">
        <f>U121-R121</f>
        <v>-12272.214819896966</v>
      </c>
      <c r="W121" s="72">
        <f t="shared" ref="W121:W126" si="134">V121/R121</f>
        <v>-1.2987638144057394E-2</v>
      </c>
      <c r="X121" s="52">
        <f>'FY 2013 by Agency'!X121*Inflator!$E$10</f>
        <v>943340.48015242943</v>
      </c>
      <c r="Y121" s="40">
        <f t="shared" ref="Y121:Y131" si="135">X121-U121</f>
        <v>10697.639303623117</v>
      </c>
      <c r="Z121" s="72">
        <f t="shared" ref="Z121:Z126" si="136">Y121/U121</f>
        <v>1.1470242235373943E-2</v>
      </c>
      <c r="AA121" s="52">
        <f>'FY 2013 by Agency'!AA121*Inflator!$E$11</f>
        <v>612462.70786874811</v>
      </c>
      <c r="AB121" s="39">
        <f t="shared" si="118"/>
        <v>-330877.77228368132</v>
      </c>
      <c r="AC121" s="58">
        <f t="shared" si="119"/>
        <v>-0.35075116487126318</v>
      </c>
      <c r="AD121" s="52" t="e">
        <f>'FY 2013 by Agency'!AD121*Inflator!#REF!</f>
        <v>#REF!</v>
      </c>
      <c r="AE121" s="52">
        <f>'FY 2013 by Agency'!AE121*Inflator!$B$8</f>
        <v>0</v>
      </c>
      <c r="AF121" s="52">
        <f>'FY 2013 by Agency'!AF121*Inflator!$E$12</f>
        <v>556569.40601503768</v>
      </c>
      <c r="AG121" s="52">
        <f t="shared" si="120"/>
        <v>-55893.301853710436</v>
      </c>
      <c r="AH121" s="58">
        <f t="shared" si="121"/>
        <v>-9.1259926744288358E-2</v>
      </c>
      <c r="AI121" s="52">
        <f>'FY 2013 by Agency'!AI121*Inflator!$B$8</f>
        <v>0</v>
      </c>
      <c r="AJ121" s="52">
        <f>'FY 2013 by Agency'!AJ121*Inflator!$B$8</f>
        <v>0</v>
      </c>
      <c r="AK121" s="52">
        <f>'FY 2013 by Agency'!AK121</f>
        <v>550548</v>
      </c>
      <c r="AL121" s="52">
        <f>'FY 2013 by Agency'!AL121</f>
        <v>0</v>
      </c>
      <c r="AM121" s="52">
        <f>'FY 2013 by Agency'!AM121</f>
        <v>550548</v>
      </c>
      <c r="AN121" s="52">
        <f>'FY 2013 by Agency'!AN121</f>
        <v>563538</v>
      </c>
      <c r="AO121" s="52">
        <f>'FY 2013 by Agency'!AO121</f>
        <v>568044</v>
      </c>
      <c r="AP121" s="52">
        <f>'FY 2013 by Agency'!AP121</f>
        <v>0</v>
      </c>
      <c r="AQ121" s="52">
        <f>'FY 2013 by Agency'!AQ121</f>
        <v>0</v>
      </c>
      <c r="AR121" s="52">
        <f>'FY 2013 by Agency'!AR121</f>
        <v>0</v>
      </c>
      <c r="AS121" s="52">
        <f>'FY 2013 by Agency'!AS121</f>
        <v>589196.84681000002</v>
      </c>
      <c r="AT121" s="52" t="e">
        <f t="shared" si="122"/>
        <v>#REF!</v>
      </c>
      <c r="AU121" s="58" t="e">
        <f t="shared" si="123"/>
        <v>#REF!</v>
      </c>
      <c r="AV121" s="52">
        <f t="shared" si="124"/>
        <v>32627.440794962342</v>
      </c>
      <c r="AW121" s="58">
        <f t="shared" si="125"/>
        <v>5.8622411584873919E-2</v>
      </c>
      <c r="AX121" s="281" t="s">
        <v>334</v>
      </c>
      <c r="AY121" s="78">
        <v>568044</v>
      </c>
      <c r="AZ121" s="78">
        <f t="shared" si="126"/>
        <v>0</v>
      </c>
      <c r="BA121" s="78">
        <f t="shared" si="127"/>
        <v>32627.440794962342</v>
      </c>
      <c r="BB121" s="78">
        <f t="shared" si="128"/>
        <v>589196.84681000002</v>
      </c>
      <c r="BC121" s="241">
        <f t="shared" si="129"/>
        <v>5.8622411584873912E-2</v>
      </c>
      <c r="BD121" s="294">
        <v>6539.0619999999999</v>
      </c>
      <c r="BE121" s="51">
        <f t="shared" ref="BE121:BE131" si="137">BD121/AY121</f>
        <v>1.1511541359472154E-2</v>
      </c>
      <c r="BF121" s="303">
        <v>11010</v>
      </c>
      <c r="BG121" s="303"/>
      <c r="BI121" s="65">
        <v>549309</v>
      </c>
      <c r="BJ121" s="78">
        <f t="shared" ref="BJ121:BJ133" si="138">BI121-AY121</f>
        <v>-18735</v>
      </c>
      <c r="BK121" s="78">
        <f t="shared" ref="BK121:BK132" si="139">BI121+AP121+AQ121</f>
        <v>549309</v>
      </c>
      <c r="BL121" s="581">
        <f>'FY 2013 by Agency'!AS121*Inflator!$E$13</f>
        <v>610952.36053108948</v>
      </c>
      <c r="BM121" s="62">
        <f t="shared" ref="BM121:BM133" si="140">BL121-AF121</f>
        <v>54382.954516051803</v>
      </c>
      <c r="BN121" s="587">
        <f t="shared" si="130"/>
        <v>9.7711002308636524E-2</v>
      </c>
      <c r="BO121" s="52">
        <f>'FY 2013 by Agency'!AX121*Inflator!$E$13</f>
        <v>580064.6267927984</v>
      </c>
      <c r="BP121" s="52">
        <f t="shared" si="74"/>
        <v>23495.220777760725</v>
      </c>
      <c r="BQ121" s="51">
        <f t="shared" si="75"/>
        <v>4.2214359114676026E-2</v>
      </c>
      <c r="BR121" s="52">
        <f>'FY 2013 by Agency'!BE121*Inflator!$E$14</f>
        <v>632619.53000895795</v>
      </c>
      <c r="BS121" s="52">
        <f t="shared" si="76"/>
        <v>52554.903216159553</v>
      </c>
      <c r="BT121" s="51">
        <f t="shared" si="77"/>
        <v>9.0601806744772237E-2</v>
      </c>
      <c r="BU121" s="52">
        <f>'FY 2013 by Agency'!BL121*Inflator!$E$14</f>
        <v>632619.53000895795</v>
      </c>
      <c r="BV121" s="62">
        <f t="shared" ref="BV121:BV133" si="141">BU121-BL121</f>
        <v>21667.169477868476</v>
      </c>
      <c r="BW121" s="39">
        <v>657784</v>
      </c>
      <c r="BX121" s="39">
        <f>'FY 2013 by Agency'!BV121*Inflator!E15</f>
        <v>702817</v>
      </c>
      <c r="BY121" s="39">
        <f t="shared" si="72"/>
        <v>25164.469991042046</v>
      </c>
      <c r="BZ121" s="51">
        <f t="shared" si="73"/>
        <v>3.9778206010626503E-2</v>
      </c>
      <c r="CB121" s="39"/>
    </row>
    <row r="122" spans="1:250" ht="18" customHeight="1">
      <c r="A122" s="53" t="s">
        <v>19</v>
      </c>
      <c r="B122" s="326">
        <f>'FY 2013 by Agency'!B122*Inflator!$E$2</f>
        <v>14497.049441786285</v>
      </c>
      <c r="C122" s="326">
        <f>'FY 2013 by Agency'!C122*Inflator!$E$3</f>
        <v>262.59659969088102</v>
      </c>
      <c r="D122" s="326">
        <f t="shared" si="78"/>
        <v>-14234.452842095403</v>
      </c>
      <c r="E122" s="355">
        <f t="shared" si="79"/>
        <v>-0.98188620375854041</v>
      </c>
      <c r="F122" s="10">
        <f>'FY 2013 by Agency'!F122*Inflator!$E$4</f>
        <v>0</v>
      </c>
      <c r="G122" s="10">
        <f t="shared" si="80"/>
        <v>-262.59659969088102</v>
      </c>
      <c r="H122" s="14">
        <f t="shared" si="81"/>
        <v>-1</v>
      </c>
      <c r="I122" s="10">
        <f>'FY 2013 by Agency'!I122*Inflator!$E$5</f>
        <v>0</v>
      </c>
      <c r="J122" s="10">
        <f t="shared" si="82"/>
        <v>0</v>
      </c>
      <c r="K122" s="330" t="s">
        <v>78</v>
      </c>
      <c r="L122" s="10">
        <f>'FY 2013 by Agency'!L122*Inflator!$E$6</f>
        <v>0</v>
      </c>
      <c r="M122" s="10">
        <f t="shared" si="84"/>
        <v>0</v>
      </c>
      <c r="N122" s="330" t="s">
        <v>78</v>
      </c>
      <c r="O122" s="10">
        <f>'FY 2013 by Agency'!O122*Inflator!$E$7</f>
        <v>10940.340021119322</v>
      </c>
      <c r="P122" s="52">
        <f t="shared" si="131"/>
        <v>10940.340021119322</v>
      </c>
      <c r="Q122" s="70" t="s">
        <v>78</v>
      </c>
      <c r="R122" s="52">
        <f>'FY 2013 by Agency'!R122*Inflator!$E$8</f>
        <v>17798.553292600136</v>
      </c>
      <c r="S122" s="69">
        <f t="shared" si="132"/>
        <v>6858.213271480814</v>
      </c>
      <c r="T122" s="72">
        <f t="shared" si="133"/>
        <v>0.62687386847590321</v>
      </c>
      <c r="U122" s="52">
        <f>'FY 2013 by Agency'!U122*Inflator!$E$9</f>
        <v>16381.604774535808</v>
      </c>
      <c r="V122" s="69">
        <f t="shared" ref="V122:V127" si="142">U122-R122</f>
        <v>-1416.9485180643278</v>
      </c>
      <c r="W122" s="72">
        <f t="shared" si="134"/>
        <v>-7.961031971364961E-2</v>
      </c>
      <c r="X122" s="52">
        <f>'FY 2013 by Agency'!X122*Inflator!$E$10</f>
        <v>6435.5897110193719</v>
      </c>
      <c r="Y122" s="40">
        <f t="shared" si="135"/>
        <v>-9946.0150635164355</v>
      </c>
      <c r="Z122" s="72">
        <f t="shared" si="136"/>
        <v>-0.60714534384182561</v>
      </c>
      <c r="AA122" s="52">
        <f>'FY 2013 by Agency'!AA122*Inflator!$E$11</f>
        <v>0</v>
      </c>
      <c r="AB122" s="39">
        <f t="shared" si="118"/>
        <v>-6435.5897110193719</v>
      </c>
      <c r="AC122" s="58">
        <f t="shared" si="119"/>
        <v>-1</v>
      </c>
      <c r="AD122" s="52" t="e">
        <f>'FY 2013 by Agency'!AD122*Inflator!#REF!</f>
        <v>#REF!</v>
      </c>
      <c r="AE122" s="52">
        <f>'FY 2013 by Agency'!AE122*Inflator!$B$8</f>
        <v>0</v>
      </c>
      <c r="AF122" s="52">
        <f>'FY 2013 by Agency'!AF122*Inflator!$E$12</f>
        <v>3193.6090225563912</v>
      </c>
      <c r="AG122" s="52">
        <f t="shared" si="120"/>
        <v>3193.6090225563912</v>
      </c>
      <c r="AH122" s="58" t="e">
        <f t="shared" si="121"/>
        <v>#DIV/0!</v>
      </c>
      <c r="AI122" s="52">
        <f>'FY 2013 by Agency'!AI122*Inflator!$B$8</f>
        <v>0</v>
      </c>
      <c r="AJ122" s="52">
        <f>'FY 2013 by Agency'!AJ122*Inflator!$B$8</f>
        <v>0</v>
      </c>
      <c r="AK122" s="52">
        <f>'FY 2013 by Agency'!AK122</f>
        <v>3000</v>
      </c>
      <c r="AL122" s="52">
        <f>'FY 2013 by Agency'!AL122</f>
        <v>0</v>
      </c>
      <c r="AM122" s="52">
        <f>'FY 2013 by Agency'!AM122</f>
        <v>3000</v>
      </c>
      <c r="AN122" s="52">
        <f>'FY 2013 by Agency'!AN122</f>
        <v>3000</v>
      </c>
      <c r="AO122" s="52">
        <f>'FY 2013 by Agency'!AO122</f>
        <v>3000</v>
      </c>
      <c r="AP122" s="52">
        <f>'FY 2013 by Agency'!AP122</f>
        <v>0</v>
      </c>
      <c r="AQ122" s="52">
        <f>'FY 2013 by Agency'!AQ122</f>
        <v>0</v>
      </c>
      <c r="AR122" s="52">
        <f>'FY 2013 by Agency'!AR122</f>
        <v>0</v>
      </c>
      <c r="AS122" s="52">
        <f>'FY 2013 by Agency'!AS122</f>
        <v>3000</v>
      </c>
      <c r="AT122" s="52" t="e">
        <f t="shared" si="122"/>
        <v>#REF!</v>
      </c>
      <c r="AU122" s="58" t="e">
        <f t="shared" si="123"/>
        <v>#REF!</v>
      </c>
      <c r="AV122" s="52">
        <f t="shared" si="124"/>
        <v>-193.60902255639121</v>
      </c>
      <c r="AW122" s="58">
        <f t="shared" si="125"/>
        <v>-6.0623896409652808E-2</v>
      </c>
      <c r="AX122" s="281" t="s">
        <v>335</v>
      </c>
      <c r="AY122" s="65">
        <v>3000</v>
      </c>
      <c r="AZ122" s="78">
        <f t="shared" si="126"/>
        <v>0</v>
      </c>
      <c r="BA122" s="78">
        <f t="shared" si="127"/>
        <v>-193.60902255639121</v>
      </c>
      <c r="BB122" s="78">
        <f t="shared" si="128"/>
        <v>3000</v>
      </c>
      <c r="BC122" s="241">
        <f t="shared" si="129"/>
        <v>-6.0623896409652822E-2</v>
      </c>
      <c r="BD122" s="294">
        <v>0</v>
      </c>
      <c r="BE122" s="51">
        <f t="shared" si="137"/>
        <v>0</v>
      </c>
      <c r="BF122" s="303"/>
      <c r="BG122" s="303"/>
      <c r="BI122" s="65">
        <v>3000</v>
      </c>
      <c r="BJ122" s="78">
        <f t="shared" si="138"/>
        <v>0</v>
      </c>
      <c r="BK122" s="78">
        <f t="shared" si="139"/>
        <v>3000</v>
      </c>
      <c r="BL122" s="581">
        <f>'FY 2013 by Agency'!AS122*Inflator!$E$13</f>
        <v>3110.772047604517</v>
      </c>
      <c r="BM122" s="62">
        <f t="shared" si="140"/>
        <v>-82.836974951874254</v>
      </c>
      <c r="BN122" s="587">
        <f t="shared" si="130"/>
        <v>-2.5938358254500943E-2</v>
      </c>
      <c r="BO122" s="52">
        <f>'FY 2013 by Agency'!AX122*Inflator!$E$13</f>
        <v>3110.772047604517</v>
      </c>
      <c r="BP122" s="52">
        <f t="shared" si="74"/>
        <v>-82.836974951874254</v>
      </c>
      <c r="BQ122" s="51">
        <f t="shared" si="75"/>
        <v>-2.5938358254500943E-2</v>
      </c>
      <c r="BR122" s="52">
        <f>'FY 2013 by Agency'!BE122*Inflator!$E$14</f>
        <v>3043.8936996118246</v>
      </c>
      <c r="BS122" s="52">
        <f t="shared" si="76"/>
        <v>-66.878347992692397</v>
      </c>
      <c r="BT122" s="51">
        <f t="shared" si="77"/>
        <v>-2.1498954911914159E-2</v>
      </c>
      <c r="BU122" s="52">
        <f>'FY 2013 by Agency'!BL122*Inflator!$E$14</f>
        <v>3043.8936996118246</v>
      </c>
      <c r="BV122" s="62">
        <f t="shared" si="141"/>
        <v>-66.878347992692397</v>
      </c>
      <c r="BW122" s="39">
        <v>6407</v>
      </c>
      <c r="BX122" s="39">
        <f>'FY 2013 by Agency'!BV122*Inflator!E15</f>
        <v>6407</v>
      </c>
      <c r="BY122" s="39">
        <f t="shared" si="72"/>
        <v>3363.1063003881754</v>
      </c>
      <c r="BZ122" s="51">
        <f t="shared" si="73"/>
        <v>1.1048698253874827</v>
      </c>
      <c r="CB122" s="39"/>
    </row>
    <row r="123" spans="1:250" ht="18" customHeight="1">
      <c r="A123" s="59" t="s">
        <v>178</v>
      </c>
      <c r="B123" s="326">
        <f>'FY 2013 by Agency'!B123*Inflator!$E$2</f>
        <v>31970.7360446571</v>
      </c>
      <c r="C123" s="326">
        <f>'FY 2013 by Agency'!C123*Inflator!$E$3</f>
        <v>33446.928902627515</v>
      </c>
      <c r="D123" s="326">
        <f t="shared" si="78"/>
        <v>1476.1928579704145</v>
      </c>
      <c r="E123" s="330" t="s">
        <v>78</v>
      </c>
      <c r="F123" s="10">
        <f>'FY 2013 by Agency'!F123*Inflator!$E$4</f>
        <v>34519.38561096308</v>
      </c>
      <c r="G123" s="10">
        <f t="shared" si="80"/>
        <v>1072.4567083355651</v>
      </c>
      <c r="H123" s="14">
        <f t="shared" si="81"/>
        <v>3.2064429934890532E-2</v>
      </c>
      <c r="I123" s="10">
        <f>'FY 2013 by Agency'!I123*Inflator!$E$5</f>
        <v>34472.830048345117</v>
      </c>
      <c r="J123" s="10">
        <f t="shared" si="82"/>
        <v>-46.555562617963005</v>
      </c>
      <c r="K123" s="14">
        <f t="shared" si="83"/>
        <v>-1.3486787726365945E-3</v>
      </c>
      <c r="L123" s="10">
        <f>'FY 2013 by Agency'!L123*Inflator!$E$6</f>
        <v>42634.956743002542</v>
      </c>
      <c r="M123" s="10">
        <f t="shared" si="84"/>
        <v>8162.1266946574251</v>
      </c>
      <c r="N123" s="14">
        <f t="shared" si="85"/>
        <v>0.2367698469551458</v>
      </c>
      <c r="O123" s="10">
        <f>'FY 2013 by Agency'!O123*Inflator!$E$7</f>
        <v>52622.951777543109</v>
      </c>
      <c r="P123" s="52">
        <f t="shared" si="131"/>
        <v>9987.9950345405668</v>
      </c>
      <c r="Q123" s="72">
        <f>P123/L123</f>
        <v>0.23426774172064443</v>
      </c>
      <c r="R123" s="52">
        <f>'FY 2013 by Agency'!R123*Inflator!$E$8</f>
        <v>77995.980312287837</v>
      </c>
      <c r="S123" s="69">
        <f t="shared" si="132"/>
        <v>25373.028534744728</v>
      </c>
      <c r="T123" s="72">
        <f t="shared" si="133"/>
        <v>0.48216657708609745</v>
      </c>
      <c r="U123" s="52">
        <f>'FY 2013 by Agency'!U123*Inflator!$E$9</f>
        <v>67033.887267904502</v>
      </c>
      <c r="V123" s="69">
        <f t="shared" si="142"/>
        <v>-10962.093044383335</v>
      </c>
      <c r="W123" s="72">
        <f t="shared" si="134"/>
        <v>-0.14054689742333193</v>
      </c>
      <c r="X123" s="52">
        <f>'FY 2013 by Agency'!X123*Inflator!$E$10</f>
        <v>111290.16513178789</v>
      </c>
      <c r="Y123" s="40">
        <f t="shared" si="135"/>
        <v>44256.277863883384</v>
      </c>
      <c r="Z123" s="72">
        <f t="shared" si="136"/>
        <v>0.66020754080709676</v>
      </c>
      <c r="AA123" s="52">
        <f>'FY 2013 by Agency'!AA123*Inflator!$E$11</f>
        <v>138681.48391207392</v>
      </c>
      <c r="AB123" s="39">
        <f t="shared" si="118"/>
        <v>27391.318780286034</v>
      </c>
      <c r="AC123" s="58">
        <f t="shared" si="119"/>
        <v>0.24612524159569454</v>
      </c>
      <c r="AD123" s="52" t="e">
        <f>'FY 2013 by Agency'!AD123*Inflator!#REF!</f>
        <v>#REF!</v>
      </c>
      <c r="AE123" s="52">
        <f>'FY 2013 by Agency'!AE123*Inflator!$B$8</f>
        <v>0</v>
      </c>
      <c r="AF123" s="52">
        <f>'FY 2013 by Agency'!AF123*Inflator!$E$12</f>
        <v>116952.09147869676</v>
      </c>
      <c r="AG123" s="52">
        <f t="shared" si="120"/>
        <v>-21729.392433377157</v>
      </c>
      <c r="AH123" s="58">
        <f t="shared" si="121"/>
        <v>-0.15668560661749126</v>
      </c>
      <c r="AI123" s="52">
        <f>'FY 2013 by Agency'!AI123*Inflator!$B$8</f>
        <v>0</v>
      </c>
      <c r="AJ123" s="52">
        <f>'FY 2013 by Agency'!AJ123*Inflator!$B$8</f>
        <v>0</v>
      </c>
      <c r="AK123" s="52">
        <f>'FY 2013 by Agency'!AK123</f>
        <v>116890</v>
      </c>
      <c r="AL123" s="52">
        <f>'FY 2013 by Agency'!AL123</f>
        <v>0</v>
      </c>
      <c r="AM123" s="52">
        <f>'FY 2013 by Agency'!AM123</f>
        <v>116890</v>
      </c>
      <c r="AN123" s="52">
        <f>'FY 2013 by Agency'!AN123</f>
        <v>106553</v>
      </c>
      <c r="AO123" s="52">
        <f>'FY 2013 by Agency'!AO123</f>
        <v>116879</v>
      </c>
      <c r="AP123" s="52">
        <f>'FY 2013 by Agency'!AP123</f>
        <v>0</v>
      </c>
      <c r="AQ123" s="52">
        <f>'FY 2013 by Agency'!AQ123</f>
        <v>0</v>
      </c>
      <c r="AR123" s="52">
        <f>'FY 2013 by Agency'!AR123</f>
        <v>0</v>
      </c>
      <c r="AS123" s="52">
        <f>'FY 2013 by Agency'!AS123</f>
        <v>101165.7656</v>
      </c>
      <c r="AT123" s="52" t="e">
        <f t="shared" si="122"/>
        <v>#REF!</v>
      </c>
      <c r="AU123" s="58" t="e">
        <f t="shared" si="123"/>
        <v>#REF!</v>
      </c>
      <c r="AV123" s="52">
        <f t="shared" si="124"/>
        <v>-15786.325878696764</v>
      </c>
      <c r="AW123" s="58">
        <f t="shared" si="125"/>
        <v>-0.13498113354879421</v>
      </c>
      <c r="AX123" s="281" t="s">
        <v>336</v>
      </c>
      <c r="AY123" s="65">
        <v>126138.52687</v>
      </c>
      <c r="AZ123" s="78">
        <f t="shared" si="126"/>
        <v>9259.5268700000015</v>
      </c>
      <c r="BA123" s="78">
        <f t="shared" si="127"/>
        <v>-6526.799008696762</v>
      </c>
      <c r="BB123" s="78">
        <f t="shared" si="128"/>
        <v>110425.29247</v>
      </c>
      <c r="BC123" s="241">
        <f t="shared" si="129"/>
        <v>-5.5807458645454333E-2</v>
      </c>
      <c r="BD123" s="294">
        <v>9197.9950000000008</v>
      </c>
      <c r="BE123" s="51">
        <f t="shared" si="137"/>
        <v>7.2919790869918538E-2</v>
      </c>
      <c r="BF123" s="303">
        <v>8563</v>
      </c>
      <c r="BG123" s="303"/>
      <c r="BI123" s="219">
        <v>122698</v>
      </c>
      <c r="BJ123" s="78">
        <f t="shared" si="138"/>
        <v>-3440.5268700000015</v>
      </c>
      <c r="BK123" s="78">
        <f t="shared" si="139"/>
        <v>122698</v>
      </c>
      <c r="BL123" s="581">
        <f>'FY 2013 by Agency'!AS123*Inflator!$E$13</f>
        <v>104901.2119343302</v>
      </c>
      <c r="BM123" s="62">
        <f t="shared" si="140"/>
        <v>-12050.879544366559</v>
      </c>
      <c r="BN123" s="587">
        <f t="shared" si="130"/>
        <v>-0.1030411631976814</v>
      </c>
      <c r="BO123" s="52">
        <f>'FY 2013 by Agency'!AX123*Inflator!$E$13</f>
        <v>127228.502898993</v>
      </c>
      <c r="BP123" s="52">
        <f t="shared" si="74"/>
        <v>10276.411420296237</v>
      </c>
      <c r="BQ123" s="51">
        <f t="shared" si="75"/>
        <v>8.7868556178562415E-2</v>
      </c>
      <c r="BR123" s="52">
        <f>'FY 2013 by Agency'!BE123*Inflator!$E$14</f>
        <v>105452.65332935205</v>
      </c>
      <c r="BS123" s="52">
        <f t="shared" si="76"/>
        <v>-21775.849569640952</v>
      </c>
      <c r="BT123" s="51">
        <f t="shared" si="77"/>
        <v>-0.17115543351892498</v>
      </c>
      <c r="BU123" s="52">
        <f>'FY 2013 by Agency'!BL123*Inflator!$E$14</f>
        <v>105776.32069274411</v>
      </c>
      <c r="BV123" s="62">
        <f t="shared" si="141"/>
        <v>875.10875841390225</v>
      </c>
      <c r="BW123" s="39">
        <v>102506</v>
      </c>
      <c r="BX123" s="39">
        <f>'FY 2013 by Agency'!BV123*Inflator!E15</f>
        <v>106885</v>
      </c>
      <c r="BY123" s="39">
        <f t="shared" si="72"/>
        <v>-2946.6533293520479</v>
      </c>
      <c r="BZ123" s="51">
        <f t="shared" si="73"/>
        <v>-2.7942903628503261E-2</v>
      </c>
      <c r="CB123" s="39"/>
    </row>
    <row r="124" spans="1:250" ht="18" customHeight="1">
      <c r="A124" s="57" t="s">
        <v>20</v>
      </c>
      <c r="B124" s="326">
        <f>'FY 2013 by Agency'!B124*Inflator!$E$2</f>
        <v>67655.155502392343</v>
      </c>
      <c r="C124" s="326">
        <f>'FY 2013 by Agency'!C124*Inflator!$E$3</f>
        <v>179705.35703245751</v>
      </c>
      <c r="D124" s="326">
        <f t="shared" si="78"/>
        <v>112050.20153006517</v>
      </c>
      <c r="E124" s="355">
        <f t="shared" si="79"/>
        <v>1.6561960533237261</v>
      </c>
      <c r="F124" s="10">
        <f>'FY 2013 by Agency'!F124*Inflator!$E$4</f>
        <v>126277.02702702703</v>
      </c>
      <c r="G124" s="10">
        <f t="shared" si="80"/>
        <v>-53428.330005430485</v>
      </c>
      <c r="H124" s="14">
        <f t="shared" si="81"/>
        <v>-0.29731072510977241</v>
      </c>
      <c r="I124" s="10">
        <f>'FY 2013 by Agency'!I124*Inflator!$E$5</f>
        <v>144415.63183339534</v>
      </c>
      <c r="J124" s="10">
        <f t="shared" si="82"/>
        <v>18138.604806368312</v>
      </c>
      <c r="K124" s="14">
        <f t="shared" si="83"/>
        <v>0.14364136718617959</v>
      </c>
      <c r="L124" s="10">
        <f>'FY 2013 by Agency'!L124*Inflator!$E$6</f>
        <v>200062.036350418</v>
      </c>
      <c r="M124" s="10">
        <f t="shared" si="84"/>
        <v>55646.40451702266</v>
      </c>
      <c r="N124" s="14">
        <f t="shared" si="85"/>
        <v>0.38532119972454898</v>
      </c>
      <c r="O124" s="10">
        <f>'FY 2013 by Agency'!O124*Inflator!$E$7</f>
        <v>225246.37521999294</v>
      </c>
      <c r="P124" s="52">
        <f t="shared" si="131"/>
        <v>25184.338869574945</v>
      </c>
      <c r="Q124" s="58">
        <f>P124/L124</f>
        <v>0.12588264784760764</v>
      </c>
      <c r="R124" s="52">
        <f>'FY 2013 by Agency'!R124*Inflator!$E$8</f>
        <v>262047.39307535641</v>
      </c>
      <c r="S124" s="52">
        <f t="shared" si="132"/>
        <v>36801.017855363461</v>
      </c>
      <c r="T124" s="58">
        <f t="shared" si="133"/>
        <v>0.16338117680881992</v>
      </c>
      <c r="U124" s="52">
        <f>'FY 2013 by Agency'!U124*Inflator!$E$9</f>
        <v>312263.35610079573</v>
      </c>
      <c r="V124" s="52">
        <f t="shared" si="142"/>
        <v>50215.963025439327</v>
      </c>
      <c r="W124" s="58">
        <f t="shared" si="134"/>
        <v>0.19162931726246493</v>
      </c>
      <c r="X124" s="52">
        <f>'FY 2013 by Agency'!X124*Inflator!$E$10</f>
        <v>341715.35408066056</v>
      </c>
      <c r="Y124" s="40">
        <f t="shared" si="135"/>
        <v>29451.997979864827</v>
      </c>
      <c r="Z124" s="58">
        <f t="shared" si="136"/>
        <v>9.4317816690466863E-2</v>
      </c>
      <c r="AA124" s="52">
        <f>'FY 2013 by Agency'!AA124*Inflator!$E$11</f>
        <v>396256.16247212497</v>
      </c>
      <c r="AB124" s="39">
        <f t="shared" si="118"/>
        <v>54540.808391464408</v>
      </c>
      <c r="AC124" s="58">
        <f t="shared" si="119"/>
        <v>0.15960889008982099</v>
      </c>
      <c r="AD124" s="52" t="e">
        <f>'FY 2013 by Agency'!AD124*Inflator!#REF!</f>
        <v>#REF!</v>
      </c>
      <c r="AE124" s="52">
        <f>'FY 2013 by Agency'!AE124*Inflator!$B$8</f>
        <v>0</v>
      </c>
      <c r="AF124" s="52">
        <f>'FY 2013 by Agency'!AF124*Inflator!$E$12</f>
        <v>400100.66102756897</v>
      </c>
      <c r="AG124" s="52">
        <f t="shared" si="120"/>
        <v>3844.4985554440063</v>
      </c>
      <c r="AH124" s="58">
        <f t="shared" si="121"/>
        <v>9.7020536701797073E-3</v>
      </c>
      <c r="AI124" s="52">
        <f>'FY 2013 by Agency'!AI124*Inflator!$B$8</f>
        <v>0</v>
      </c>
      <c r="AJ124" s="52">
        <f>'FY 2013 by Agency'!AJ124*Inflator!$B$8</f>
        <v>0</v>
      </c>
      <c r="AK124" s="52">
        <f>'FY 2013 by Agency'!AK124</f>
        <v>423039</v>
      </c>
      <c r="AL124" s="52">
        <f>'FY 2013 by Agency'!AL124</f>
        <v>0</v>
      </c>
      <c r="AM124" s="52">
        <f>'FY 2013 by Agency'!AM124</f>
        <v>423039</v>
      </c>
      <c r="AN124" s="52">
        <f>'FY 2013 by Agency'!AN124</f>
        <v>433792</v>
      </c>
      <c r="AO124" s="52">
        <f>'FY 2013 by Agency'!AO124</f>
        <v>433792</v>
      </c>
      <c r="AP124" s="52">
        <f>'FY 2013 by Agency'!AP124</f>
        <v>0</v>
      </c>
      <c r="AQ124" s="52">
        <f>'FY 2013 by Agency'!AQ124</f>
        <v>0</v>
      </c>
      <c r="AR124" s="52">
        <f>'FY 2013 by Agency'!AR124</f>
        <v>0</v>
      </c>
      <c r="AS124" s="52">
        <f>'FY 2013 by Agency'!AS124</f>
        <v>440368.37102000002</v>
      </c>
      <c r="AT124" s="52" t="e">
        <f t="shared" si="122"/>
        <v>#REF!</v>
      </c>
      <c r="AU124" s="58" t="e">
        <f t="shared" si="123"/>
        <v>#REF!</v>
      </c>
      <c r="AV124" s="52">
        <f t="shared" si="124"/>
        <v>40267.709992431046</v>
      </c>
      <c r="AW124" s="58">
        <f t="shared" si="125"/>
        <v>0.10064394767309918</v>
      </c>
      <c r="AX124" s="281" t="s">
        <v>337</v>
      </c>
      <c r="AY124" s="65">
        <v>434660.8</v>
      </c>
      <c r="AZ124" s="78">
        <f t="shared" si="126"/>
        <v>868.79999999998836</v>
      </c>
      <c r="BA124" s="78">
        <f t="shared" si="127"/>
        <v>41136.509992431034</v>
      </c>
      <c r="BB124" s="78">
        <f t="shared" si="128"/>
        <v>441237.17102000001</v>
      </c>
      <c r="BC124" s="241">
        <f t="shared" si="129"/>
        <v>0.10281540122123545</v>
      </c>
      <c r="BD124" s="294">
        <v>5043.62</v>
      </c>
      <c r="BE124" s="51">
        <f t="shared" si="137"/>
        <v>1.1603576858092563E-2</v>
      </c>
      <c r="BF124" s="303">
        <v>6822</v>
      </c>
      <c r="BG124" s="303"/>
      <c r="BI124" s="219">
        <v>427839</v>
      </c>
      <c r="BJ124" s="78">
        <f t="shared" si="138"/>
        <v>-6821.7999999999884</v>
      </c>
      <c r="BK124" s="78">
        <f t="shared" si="139"/>
        <v>427839</v>
      </c>
      <c r="BL124" s="581">
        <f>'FY 2013 by Agency'!AS124*Inflator!$E$13</f>
        <v>456628.53973938368</v>
      </c>
      <c r="BM124" s="62">
        <f t="shared" si="140"/>
        <v>56527.878711814701</v>
      </c>
      <c r="BN124" s="587">
        <f t="shared" si="130"/>
        <v>0.14128414226218847</v>
      </c>
      <c r="BO124" s="52">
        <f>'FY 2013 by Agency'!AX124*Inflator!$E$13</f>
        <v>450895.00213610014</v>
      </c>
      <c r="BP124" s="52">
        <f t="shared" si="74"/>
        <v>50794.341108531167</v>
      </c>
      <c r="BQ124" s="51">
        <f t="shared" si="75"/>
        <v>0.12695390449512697</v>
      </c>
      <c r="BR124" s="52">
        <f>'FY 2013 by Agency'!BE124*Inflator!$E$14</f>
        <v>490743.64467005082</v>
      </c>
      <c r="BS124" s="52">
        <f t="shared" si="76"/>
        <v>39848.642533950682</v>
      </c>
      <c r="BT124" s="51">
        <f t="shared" si="77"/>
        <v>8.8376766974947729E-2</v>
      </c>
      <c r="BU124" s="52">
        <f>'FY 2013 by Agency'!BL124*Inflator!$E$14</f>
        <v>490743.64467005082</v>
      </c>
      <c r="BV124" s="62">
        <f t="shared" si="141"/>
        <v>34115.104930667148</v>
      </c>
      <c r="BW124" s="495">
        <v>535364</v>
      </c>
      <c r="BX124" s="39">
        <f>'FY 2013 by Agency'!BV124*Inflator!E15</f>
        <v>535364</v>
      </c>
      <c r="BY124" s="39">
        <f t="shared" si="72"/>
        <v>44620.355329949176</v>
      </c>
      <c r="BZ124" s="51">
        <f t="shared" si="73"/>
        <v>9.092395961632771E-2</v>
      </c>
      <c r="CB124" s="39"/>
    </row>
    <row r="125" spans="1:250" ht="18" customHeight="1">
      <c r="A125" s="57" t="s">
        <v>143</v>
      </c>
      <c r="B125" s="326">
        <f>'FY 2013 by Agency'!B125*Inflator!$E$2</f>
        <v>54859.815789473687</v>
      </c>
      <c r="C125" s="326">
        <f>'FY 2013 by Agency'!C125*Inflator!$E$3</f>
        <v>61622.23106646059</v>
      </c>
      <c r="D125" s="326">
        <f t="shared" si="78"/>
        <v>6762.4152769869033</v>
      </c>
      <c r="E125" s="355">
        <f t="shared" si="79"/>
        <v>0.12326718891907859</v>
      </c>
      <c r="F125" s="10">
        <f>'FY 2013 by Agency'!F125*Inflator!$E$4</f>
        <v>72523.435097068897</v>
      </c>
      <c r="G125" s="10">
        <f t="shared" si="80"/>
        <v>10901.204030608307</v>
      </c>
      <c r="H125" s="14">
        <f t="shared" si="81"/>
        <v>0.1769037544072557</v>
      </c>
      <c r="I125" s="10">
        <f>'FY 2013 by Agency'!I125*Inflator!$E$5</f>
        <v>63870.774265526226</v>
      </c>
      <c r="J125" s="10">
        <f t="shared" si="82"/>
        <v>-8652.6608315426711</v>
      </c>
      <c r="K125" s="14">
        <f t="shared" si="83"/>
        <v>-0.11930848035481949</v>
      </c>
      <c r="L125" s="10">
        <f>'FY 2013 by Agency'!L125*Inflator!$E$6</f>
        <v>62822.856415848772</v>
      </c>
      <c r="M125" s="10">
        <f t="shared" si="84"/>
        <v>-1047.9178496774548</v>
      </c>
      <c r="N125" s="14">
        <f t="shared" si="85"/>
        <v>-1.6406844315382921E-2</v>
      </c>
      <c r="O125" s="10">
        <f>'FY 2013 by Agency'!O125*Inflator!$E$7</f>
        <v>61693.853572685664</v>
      </c>
      <c r="P125" s="52">
        <f t="shared" si="131"/>
        <v>-1129.0028431631072</v>
      </c>
      <c r="Q125" s="58">
        <f>P125/L125</f>
        <v>-1.7971211555389981E-2</v>
      </c>
      <c r="R125" s="52">
        <f>'FY 2013 by Agency'!R125*Inflator!$E$8</f>
        <v>70665.942973523415</v>
      </c>
      <c r="S125" s="52">
        <f t="shared" si="132"/>
        <v>8972.0894008377509</v>
      </c>
      <c r="T125" s="58">
        <f t="shared" si="133"/>
        <v>0.14542922643447992</v>
      </c>
      <c r="U125" s="52">
        <f>'FY 2013 by Agency'!U125*Inflator!$E$9</f>
        <v>70569.339522546419</v>
      </c>
      <c r="V125" s="52">
        <f t="shared" si="142"/>
        <v>-96.603450976996101</v>
      </c>
      <c r="W125" s="58">
        <f t="shared" si="134"/>
        <v>-1.3670439664718089E-3</v>
      </c>
      <c r="X125" s="52">
        <f>'FY 2013 by Agency'!X125*Inflator!$E$10</f>
        <v>67733.394728485247</v>
      </c>
      <c r="Y125" s="40">
        <f t="shared" si="135"/>
        <v>-2835.9447940611717</v>
      </c>
      <c r="Z125" s="58">
        <f t="shared" si="136"/>
        <v>-4.0186642148678564E-2</v>
      </c>
      <c r="AA125" s="52">
        <f>'FY 2013 by Agency'!AA125*Inflator!$E$11</f>
        <v>67191.417648932795</v>
      </c>
      <c r="AB125" s="39">
        <f t="shared" si="118"/>
        <v>-541.97707955245278</v>
      </c>
      <c r="AC125" s="58">
        <f t="shared" si="119"/>
        <v>-8.0016228586358533E-3</v>
      </c>
      <c r="AD125" s="52" t="e">
        <f>'FY 2013 by Agency'!AD125*Inflator!#REF!</f>
        <v>#REF!</v>
      </c>
      <c r="AE125" s="52">
        <f>'FY 2013 by Agency'!AE125*Inflator!$B$8</f>
        <v>0</v>
      </c>
      <c r="AF125" s="52">
        <f>'FY 2013 by Agency'!AF125*Inflator!$E$12</f>
        <v>66075.77067669174</v>
      </c>
      <c r="AG125" s="52">
        <f t="shared" si="120"/>
        <v>-1115.6469722410548</v>
      </c>
      <c r="AH125" s="58">
        <f t="shared" si="121"/>
        <v>-1.6604010025062697E-2</v>
      </c>
      <c r="AI125" s="52">
        <f>'FY 2013 by Agency'!AI125*Inflator!$B$8</f>
        <v>0</v>
      </c>
      <c r="AJ125" s="52">
        <f>'FY 2013 by Agency'!AJ125*Inflator!$B$8</f>
        <v>0</v>
      </c>
      <c r="AK125" s="52">
        <f>'FY 2013 by Agency'!AK125</f>
        <v>63436</v>
      </c>
      <c r="AL125" s="52">
        <f>'FY 2013 by Agency'!AL125</f>
        <v>0</v>
      </c>
      <c r="AM125" s="52">
        <f>'FY 2013 by Agency'!AM125</f>
        <v>63436</v>
      </c>
      <c r="AN125" s="52">
        <f>'FY 2013 by Agency'!AN125</f>
        <v>62070</v>
      </c>
      <c r="AO125" s="52">
        <f>'FY 2013 by Agency'!AO125</f>
        <v>62070</v>
      </c>
      <c r="AP125" s="52">
        <f>'FY 2013 by Agency'!AP125</f>
        <v>0</v>
      </c>
      <c r="AQ125" s="52">
        <f>'FY 2013 by Agency'!AQ125</f>
        <v>0</v>
      </c>
      <c r="AR125" s="52">
        <f>'FY 2013 by Agency'!AR125</f>
        <v>0</v>
      </c>
      <c r="AS125" s="52">
        <f>'FY 2013 by Agency'!AS125</f>
        <v>66420</v>
      </c>
      <c r="AT125" s="52" t="e">
        <f t="shared" si="122"/>
        <v>#REF!</v>
      </c>
      <c r="AU125" s="58" t="e">
        <f t="shared" si="123"/>
        <v>#REF!</v>
      </c>
      <c r="AV125" s="52">
        <f t="shared" si="124"/>
        <v>344.22932330826006</v>
      </c>
      <c r="AW125" s="58">
        <f t="shared" si="125"/>
        <v>5.2096149584478042E-3</v>
      </c>
      <c r="AX125" s="281" t="s">
        <v>338</v>
      </c>
      <c r="AY125" s="65">
        <v>62920</v>
      </c>
      <c r="AZ125" s="78">
        <f t="shared" si="126"/>
        <v>850</v>
      </c>
      <c r="BA125" s="78">
        <f t="shared" si="127"/>
        <v>1194.2293233082601</v>
      </c>
      <c r="BB125" s="78">
        <f t="shared" si="128"/>
        <v>67270</v>
      </c>
      <c r="BC125" s="241">
        <f t="shared" si="129"/>
        <v>1.807363442118004E-2</v>
      </c>
      <c r="BD125" s="294">
        <v>6292</v>
      </c>
      <c r="BE125" s="51">
        <f t="shared" si="137"/>
        <v>0.1</v>
      </c>
      <c r="BF125" s="303"/>
      <c r="BG125" s="303"/>
      <c r="BI125" s="219">
        <v>62920</v>
      </c>
      <c r="BJ125" s="78">
        <f t="shared" si="138"/>
        <v>0</v>
      </c>
      <c r="BK125" s="78">
        <f t="shared" si="139"/>
        <v>62920</v>
      </c>
      <c r="BL125" s="581">
        <f>'FY 2013 by Agency'!AS125*Inflator!$E$13</f>
        <v>68872.493133964002</v>
      </c>
      <c r="BM125" s="62">
        <f t="shared" si="140"/>
        <v>2796.7224572722625</v>
      </c>
      <c r="BN125" s="587">
        <f t="shared" si="130"/>
        <v>4.2325990732012875E-2</v>
      </c>
      <c r="BO125" s="52">
        <f>'FY 2013 by Agency'!AX125*Inflator!$E$13</f>
        <v>65243.259078425399</v>
      </c>
      <c r="BP125" s="52">
        <f t="shared" si="74"/>
        <v>-832.51159826634103</v>
      </c>
      <c r="BQ125" s="51">
        <f t="shared" si="75"/>
        <v>-1.2599347532998354E-2</v>
      </c>
      <c r="BR125" s="52">
        <f>'FY 2013 by Agency'!BE125*Inflator!$E$14</f>
        <v>65120.047178262175</v>
      </c>
      <c r="BS125" s="52">
        <f t="shared" si="76"/>
        <v>-123.21190016322362</v>
      </c>
      <c r="BT125" s="51">
        <f t="shared" si="77"/>
        <v>-1.8885000826693412E-3</v>
      </c>
      <c r="BU125" s="52">
        <f>'FY 2013 by Agency'!BL125*Inflator!$E$14</f>
        <v>65120.047178262175</v>
      </c>
      <c r="BV125" s="62">
        <f t="shared" si="141"/>
        <v>-3752.4459557018272</v>
      </c>
      <c r="BW125" s="39">
        <v>64955</v>
      </c>
      <c r="BX125" s="39">
        <f>'FY 2013 by Agency'!BV125*Inflator!E15</f>
        <v>65009</v>
      </c>
      <c r="BY125" s="39">
        <f t="shared" si="72"/>
        <v>-165.04717826217529</v>
      </c>
      <c r="BZ125" s="51">
        <f t="shared" si="73"/>
        <v>-2.5345064294927284E-3</v>
      </c>
      <c r="CB125" s="39"/>
    </row>
    <row r="126" spans="1:250" s="63" customFormat="1" ht="18" customHeight="1">
      <c r="A126" s="63" t="s">
        <v>21</v>
      </c>
      <c r="B126" s="326">
        <f>'FY 2013 by Agency'!B126*Inflator!$E$2</f>
        <v>32625.135566188201</v>
      </c>
      <c r="C126" s="326">
        <f>'FY 2013 by Agency'!C126*Inflator!$E$3</f>
        <v>34927.973724884083</v>
      </c>
      <c r="D126" s="326">
        <f t="shared" si="78"/>
        <v>2302.8381586958822</v>
      </c>
      <c r="E126" s="355">
        <f t="shared" si="79"/>
        <v>7.0584784361248168E-2</v>
      </c>
      <c r="F126" s="10">
        <f>'FY 2013 by Agency'!F126*Inflator!$E$4</f>
        <v>33857.118385991627</v>
      </c>
      <c r="G126" s="10">
        <f t="shared" si="80"/>
        <v>-1070.8553388924556</v>
      </c>
      <c r="H126" s="14">
        <f t="shared" si="81"/>
        <v>-3.0658959701677042E-2</v>
      </c>
      <c r="I126" s="10">
        <f>'FY 2013 by Agency'!I126*Inflator!$E$5</f>
        <v>32813.635552249914</v>
      </c>
      <c r="J126" s="10">
        <f t="shared" si="82"/>
        <v>-1043.482833741713</v>
      </c>
      <c r="K126" s="14">
        <f t="shared" si="83"/>
        <v>-3.0820190361311246E-2</v>
      </c>
      <c r="L126" s="10">
        <f>'FY 2013 by Agency'!L126*Inflator!$E$6</f>
        <v>33616.854961832054</v>
      </c>
      <c r="M126" s="10">
        <f t="shared" si="84"/>
        <v>803.21940958213963</v>
      </c>
      <c r="N126" s="14">
        <f t="shared" si="85"/>
        <v>2.4478220595311809E-2</v>
      </c>
      <c r="O126" s="10">
        <f>'FY 2013 by Agency'!O126*Inflator!$E$7</f>
        <v>36088.649771207318</v>
      </c>
      <c r="P126" s="69">
        <f t="shared" si="131"/>
        <v>2471.7948093752639</v>
      </c>
      <c r="Q126" s="72">
        <f>P126/L126</f>
        <v>7.352843721346608E-2</v>
      </c>
      <c r="R126" s="52">
        <f>'FY 2013 by Agency'!R126*Inflator!$E$8</f>
        <v>40183.137813985064</v>
      </c>
      <c r="S126" s="69">
        <f t="shared" si="132"/>
        <v>4094.4880427777462</v>
      </c>
      <c r="T126" s="72">
        <f t="shared" si="133"/>
        <v>0.11345639331855691</v>
      </c>
      <c r="U126" s="52">
        <f>'FY 2013 by Agency'!U126*Inflator!$E$9</f>
        <v>48082.375994694958</v>
      </c>
      <c r="V126" s="69">
        <f t="shared" si="142"/>
        <v>7899.2381807098936</v>
      </c>
      <c r="W126" s="72">
        <f t="shared" si="134"/>
        <v>0.19658091952094137</v>
      </c>
      <c r="X126" s="52">
        <f>'FY 2013 by Agency'!X126*Inflator!$E$10</f>
        <v>48539.928231184509</v>
      </c>
      <c r="Y126" s="40">
        <f t="shared" si="135"/>
        <v>457.55223648955143</v>
      </c>
      <c r="Z126" s="58">
        <f t="shared" si="136"/>
        <v>9.5160072068825024E-3</v>
      </c>
      <c r="AA126" s="52">
        <f>'FY 2013 by Agency'!AA126*Inflator!$E$11</f>
        <v>48894.827652118518</v>
      </c>
      <c r="AB126" s="39">
        <f t="shared" si="118"/>
        <v>354.89942093400896</v>
      </c>
      <c r="AC126" s="58">
        <f t="shared" si="119"/>
        <v>7.3114945544151752E-3</v>
      </c>
      <c r="AD126" s="52" t="e">
        <f>'FY 2013 by Agency'!AD126*Inflator!#REF!</f>
        <v>#REF!</v>
      </c>
      <c r="AE126" s="52">
        <f>'FY 2013 by Agency'!AE126*Inflator!$B$8</f>
        <v>0</v>
      </c>
      <c r="AF126" s="52">
        <f>'FY 2013 by Agency'!AF126*Inflator!$E$12</f>
        <v>42126.896616541359</v>
      </c>
      <c r="AG126" s="52">
        <f t="shared" si="120"/>
        <v>-6767.9310355771595</v>
      </c>
      <c r="AH126" s="58">
        <f t="shared" si="121"/>
        <v>-0.13841813869823341</v>
      </c>
      <c r="AI126" s="52">
        <f>'FY 2013 by Agency'!AI126*Inflator!$B$8</f>
        <v>0</v>
      </c>
      <c r="AJ126" s="52">
        <f>'FY 2013 by Agency'!AJ126*Inflator!$B$8</f>
        <v>0</v>
      </c>
      <c r="AK126" s="52">
        <f>'FY 2013 by Agency'!AK126</f>
        <v>44046</v>
      </c>
      <c r="AL126" s="52">
        <f>'FY 2013 by Agency'!AL126</f>
        <v>0</v>
      </c>
      <c r="AM126" s="52">
        <f>'FY 2013 by Agency'!AM126</f>
        <v>44046</v>
      </c>
      <c r="AN126" s="52">
        <f>'FY 2013 by Agency'!AN126</f>
        <v>35764</v>
      </c>
      <c r="AO126" s="52">
        <f>'FY 2013 by Agency'!AO126</f>
        <v>36757</v>
      </c>
      <c r="AP126" s="52">
        <f>'FY 2013 by Agency'!AP126</f>
        <v>3805</v>
      </c>
      <c r="AQ126" s="52">
        <f>'FY 2013 by Agency'!AQ126</f>
        <v>94</v>
      </c>
      <c r="AR126" s="52">
        <f>'FY 2013 by Agency'!AR126</f>
        <v>3899</v>
      </c>
      <c r="AS126" s="52">
        <f>'FY 2013 by Agency'!AS126</f>
        <v>39342.0893</v>
      </c>
      <c r="AT126" s="52" t="e">
        <f t="shared" si="122"/>
        <v>#REF!</v>
      </c>
      <c r="AU126" s="58" t="e">
        <f t="shared" si="123"/>
        <v>#REF!</v>
      </c>
      <c r="AV126" s="52">
        <f t="shared" si="124"/>
        <v>-2784.8073165413589</v>
      </c>
      <c r="AW126" s="58">
        <f t="shared" si="125"/>
        <v>-6.6105209265471712E-2</v>
      </c>
      <c r="AX126" s="281" t="s">
        <v>339</v>
      </c>
      <c r="AY126" s="65">
        <v>37399.906669999997</v>
      </c>
      <c r="AZ126" s="78">
        <f t="shared" si="126"/>
        <v>642.90666999999667</v>
      </c>
      <c r="BA126" s="78">
        <f t="shared" si="127"/>
        <v>-2141.9006465413622</v>
      </c>
      <c r="BB126" s="78">
        <f t="shared" si="128"/>
        <v>39984.995969999996</v>
      </c>
      <c r="BC126" s="241">
        <f t="shared" si="129"/>
        <v>-5.0844016971815842E-2</v>
      </c>
      <c r="BD126" s="294">
        <v>0</v>
      </c>
      <c r="BE126" s="51">
        <f t="shared" si="137"/>
        <v>0</v>
      </c>
      <c r="BF126" s="303">
        <v>792</v>
      </c>
      <c r="BG126" s="303"/>
      <c r="BH126" s="63">
        <v>60</v>
      </c>
      <c r="BI126" s="244">
        <v>36097</v>
      </c>
      <c r="BJ126" s="78">
        <f t="shared" si="138"/>
        <v>-1302.9066699999967</v>
      </c>
      <c r="BK126" s="78">
        <f t="shared" si="139"/>
        <v>39996</v>
      </c>
      <c r="BL126" s="581">
        <f>'FY 2013 by Agency'!AS126*Inflator!$E$13</f>
        <v>40794.757229600247</v>
      </c>
      <c r="BM126" s="62">
        <f t="shared" si="140"/>
        <v>-1332.1393869411113</v>
      </c>
      <c r="BN126" s="587">
        <f t="shared" si="130"/>
        <v>-3.1622063193186639E-2</v>
      </c>
      <c r="BO126" s="52">
        <f>'FY 2013 by Agency'!AX126*Inflator!$E$13</f>
        <v>37429.846200793414</v>
      </c>
      <c r="BP126" s="52">
        <f t="shared" si="74"/>
        <v>-4697.0504157479445</v>
      </c>
      <c r="BQ126" s="51">
        <f t="shared" si="75"/>
        <v>-0.11149766047337134</v>
      </c>
      <c r="BR126" s="52">
        <f>'FY 2013 by Agency'!BE126*Inflator!$E$14</f>
        <v>35561.810092564949</v>
      </c>
      <c r="BS126" s="52">
        <f t="shared" si="76"/>
        <v>-1868.0361082284653</v>
      </c>
      <c r="BT126" s="51">
        <f t="shared" si="77"/>
        <v>-4.9907661875160679E-2</v>
      </c>
      <c r="BU126" s="69">
        <f>'FY 2013 by Agency'!BL126*Inflator!$E$14</f>
        <v>38551.928336816964</v>
      </c>
      <c r="BV126" s="62">
        <f t="shared" si="141"/>
        <v>-2242.8288927832837</v>
      </c>
      <c r="BW126" s="495">
        <v>40047</v>
      </c>
      <c r="BX126" s="39">
        <f>'FY 2013 by Agency'!BV126*Inflator!E15</f>
        <v>42665.599999999999</v>
      </c>
      <c r="BY126" s="39">
        <f t="shared" si="72"/>
        <v>4485.1899074350513</v>
      </c>
      <c r="BZ126" s="51">
        <f t="shared" si="73"/>
        <v>0.12612377985711104</v>
      </c>
      <c r="CB126" s="39"/>
    </row>
    <row r="127" spans="1:250" s="63" customFormat="1" ht="18" customHeight="1">
      <c r="A127" s="63" t="s">
        <v>144</v>
      </c>
      <c r="B127" s="330" t="s">
        <v>78</v>
      </c>
      <c r="C127" s="330" t="s">
        <v>78</v>
      </c>
      <c r="D127" s="330" t="s">
        <v>78</v>
      </c>
      <c r="E127" s="330" t="s">
        <v>78</v>
      </c>
      <c r="F127" s="330" t="s">
        <v>78</v>
      </c>
      <c r="G127" s="330" t="s">
        <v>78</v>
      </c>
      <c r="H127" s="330" t="s">
        <v>78</v>
      </c>
      <c r="I127" s="330" t="s">
        <v>78</v>
      </c>
      <c r="J127" s="330" t="s">
        <v>78</v>
      </c>
      <c r="K127" s="330" t="s">
        <v>78</v>
      </c>
      <c r="L127" s="10">
        <f>'FY 2013 by Agency'!L127*Inflator!$E$6</f>
        <v>0</v>
      </c>
      <c r="M127" s="330" t="s">
        <v>78</v>
      </c>
      <c r="N127" s="330" t="s">
        <v>78</v>
      </c>
      <c r="O127" s="10">
        <f>'FY 2013 by Agency'!O127*Inflator!$E$7</f>
        <v>0</v>
      </c>
      <c r="P127" s="69">
        <f t="shared" si="131"/>
        <v>0</v>
      </c>
      <c r="Q127" s="70" t="s">
        <v>78</v>
      </c>
      <c r="R127" s="52">
        <f>'FY 2013 by Agency'!R127*Inflator!$E$8</f>
        <v>0</v>
      </c>
      <c r="S127" s="69">
        <f t="shared" si="132"/>
        <v>0</v>
      </c>
      <c r="T127" s="70" t="s">
        <v>78</v>
      </c>
      <c r="U127" s="52">
        <f>'FY 2013 by Agency'!U127*Inflator!$E$9</f>
        <v>0</v>
      </c>
      <c r="V127" s="69">
        <f t="shared" si="142"/>
        <v>0</v>
      </c>
      <c r="W127" s="70" t="s">
        <v>78</v>
      </c>
      <c r="X127" s="52">
        <f>'FY 2013 by Agency'!X127*Inflator!$E$10</f>
        <v>1854.9260082565895</v>
      </c>
      <c r="Y127" s="40">
        <f t="shared" si="135"/>
        <v>1854.9260082565895</v>
      </c>
      <c r="Z127" s="61" t="s">
        <v>127</v>
      </c>
      <c r="AA127" s="52">
        <f>'FY 2013 by Agency'!AA127*Inflator!$E$11</f>
        <v>3745.4858235106726</v>
      </c>
      <c r="AB127" s="39">
        <f t="shared" si="118"/>
        <v>1890.5598152540831</v>
      </c>
      <c r="AC127" s="58">
        <f t="shared" si="119"/>
        <v>1.0192103657174902</v>
      </c>
      <c r="AD127" s="52" t="e">
        <f>'FY 2013 by Agency'!AD127*Inflator!#REF!</f>
        <v>#REF!</v>
      </c>
      <c r="AE127" s="52">
        <f>'FY 2013 by Agency'!AE127*Inflator!$B$8</f>
        <v>0</v>
      </c>
      <c r="AF127" s="52">
        <f>'FY 2013 by Agency'!AF127*Inflator!$E$12</f>
        <v>1708.5808270676694</v>
      </c>
      <c r="AG127" s="52">
        <f t="shared" si="120"/>
        <v>-2036.9049964430033</v>
      </c>
      <c r="AH127" s="58">
        <f t="shared" si="121"/>
        <v>-0.54382931678908253</v>
      </c>
      <c r="AI127" s="52">
        <f>'FY 2013 by Agency'!AI127*Inflator!$B$8</f>
        <v>0</v>
      </c>
      <c r="AJ127" s="52">
        <f>'FY 2013 by Agency'!AJ127*Inflator!$B$8</f>
        <v>0</v>
      </c>
      <c r="AK127" s="52">
        <f>'FY 2013 by Agency'!AK127</f>
        <v>1662</v>
      </c>
      <c r="AL127" s="52">
        <f>'FY 2013 by Agency'!AL127</f>
        <v>0</v>
      </c>
      <c r="AM127" s="52">
        <f>'FY 2013 by Agency'!AM127</f>
        <v>1662</v>
      </c>
      <c r="AN127" s="52">
        <f>'FY 2013 by Agency'!AN127</f>
        <v>1468</v>
      </c>
      <c r="AO127" s="52">
        <f>'FY 2013 by Agency'!AO127</f>
        <v>3637</v>
      </c>
      <c r="AP127" s="52">
        <f>'FY 2013 by Agency'!AP127</f>
        <v>0</v>
      </c>
      <c r="AQ127" s="52">
        <f>'FY 2013 by Agency'!AQ127</f>
        <v>0</v>
      </c>
      <c r="AR127" s="52">
        <f>'FY 2013 by Agency'!AR127</f>
        <v>0</v>
      </c>
      <c r="AS127" s="52">
        <f>'FY 2013 by Agency'!AS127</f>
        <v>1303.9581000000001</v>
      </c>
      <c r="AT127" s="52" t="e">
        <f t="shared" si="122"/>
        <v>#REF!</v>
      </c>
      <c r="AU127" s="58" t="e">
        <f t="shared" si="123"/>
        <v>#REF!</v>
      </c>
      <c r="AV127" s="52">
        <f t="shared" si="124"/>
        <v>-404.6227270676693</v>
      </c>
      <c r="AW127" s="58">
        <f t="shared" si="125"/>
        <v>-0.23681801917565587</v>
      </c>
      <c r="AX127" s="281" t="s">
        <v>340</v>
      </c>
      <c r="AY127" s="80">
        <v>3637</v>
      </c>
      <c r="AZ127" s="78">
        <f t="shared" si="126"/>
        <v>0</v>
      </c>
      <c r="BA127" s="78">
        <f t="shared" si="127"/>
        <v>-404.6227270676693</v>
      </c>
      <c r="BB127" s="78">
        <f t="shared" si="128"/>
        <v>1303.9581000000001</v>
      </c>
      <c r="BC127" s="241">
        <f t="shared" si="129"/>
        <v>-0.23681801917565592</v>
      </c>
      <c r="BD127" s="294">
        <v>0</v>
      </c>
      <c r="BE127" s="51">
        <f t="shared" si="137"/>
        <v>0</v>
      </c>
      <c r="BF127" s="303">
        <v>147</v>
      </c>
      <c r="BG127" s="303"/>
      <c r="BI127" s="246">
        <v>3490</v>
      </c>
      <c r="BJ127" s="78">
        <f t="shared" si="138"/>
        <v>-147</v>
      </c>
      <c r="BK127" s="78">
        <f t="shared" si="139"/>
        <v>3490</v>
      </c>
      <c r="BL127" s="581">
        <f>'FY 2013 by Agency'!AS127*Inflator!$E$13</f>
        <v>1352.1054695758319</v>
      </c>
      <c r="BM127" s="62">
        <f t="shared" si="140"/>
        <v>-356.47535749183749</v>
      </c>
      <c r="BN127" s="587">
        <f t="shared" si="130"/>
        <v>-0.20863827560539461</v>
      </c>
      <c r="BO127" s="52">
        <f>'FY 2013 by Agency'!AX127*Inflator!$E$13</f>
        <v>3618.8648153799213</v>
      </c>
      <c r="BP127" s="52">
        <f t="shared" si="74"/>
        <v>1910.2839883122519</v>
      </c>
      <c r="BQ127" s="51">
        <f t="shared" si="75"/>
        <v>1.1180530403064122</v>
      </c>
      <c r="BR127" s="52">
        <f>'FY 2013 by Agency'!BE127*Inflator!$E$14</f>
        <v>3541.0630038817562</v>
      </c>
      <c r="BS127" s="52">
        <f t="shared" si="76"/>
        <v>-77.80181149816508</v>
      </c>
      <c r="BT127" s="51">
        <f t="shared" si="77"/>
        <v>-2.1498954911914048E-2</v>
      </c>
      <c r="BU127" s="69">
        <f>'FY 2013 by Agency'!BL127*Inflator!$E$14</f>
        <v>3541.0630038817562</v>
      </c>
      <c r="BV127" s="62">
        <f t="shared" si="141"/>
        <v>2188.9575343059241</v>
      </c>
      <c r="BW127" s="39">
        <v>3495</v>
      </c>
      <c r="BX127" s="39">
        <f>'FY 2013 by Agency'!BV127*Inflator!E15</f>
        <v>3495</v>
      </c>
      <c r="BY127" s="39">
        <f t="shared" si="72"/>
        <v>-46.063003881756231</v>
      </c>
      <c r="BZ127" s="51">
        <f t="shared" si="73"/>
        <v>-1.3008241827739695E-2</v>
      </c>
      <c r="CB127" s="39"/>
    </row>
    <row r="128" spans="1:250" s="63" customFormat="1" ht="18" customHeight="1">
      <c r="A128" s="253" t="s">
        <v>371</v>
      </c>
      <c r="B128" s="326">
        <f>'FY 2013 by Agency'!B128*Inflator!$E$2</f>
        <v>2740.8907496012762</v>
      </c>
      <c r="C128" s="326">
        <f>'FY 2013 by Agency'!C128*Inflator!$E$3</f>
        <v>2489.415765069552</v>
      </c>
      <c r="D128" s="326">
        <f t="shared" si="78"/>
        <v>-251.4749845317242</v>
      </c>
      <c r="E128" s="355">
        <f t="shared" si="79"/>
        <v>-9.1749364533521394E-2</v>
      </c>
      <c r="F128" s="10">
        <f>'FY 2013 by Agency'!F128*Inflator!$E$4</f>
        <v>2802.9942900647125</v>
      </c>
      <c r="G128" s="10">
        <f t="shared" si="80"/>
        <v>313.57852499516048</v>
      </c>
      <c r="H128" s="14">
        <f t="shared" si="81"/>
        <v>0.12596470601462564</v>
      </c>
      <c r="I128" s="10">
        <f>'FY 2013 by Agency'!I128*Inflator!$E$5</f>
        <v>2550.0795834882861</v>
      </c>
      <c r="J128" s="10">
        <f t="shared" si="82"/>
        <v>-252.9147065764264</v>
      </c>
      <c r="K128" s="14">
        <f t="shared" si="83"/>
        <v>-9.0230189719932463E-2</v>
      </c>
      <c r="L128" s="10">
        <f>'FY 2013 by Agency'!L128*Inflator!$E$6</f>
        <v>0</v>
      </c>
      <c r="M128" s="10">
        <f t="shared" si="84"/>
        <v>-2550.0795834882861</v>
      </c>
      <c r="N128" s="14">
        <f t="shared" si="85"/>
        <v>-1</v>
      </c>
      <c r="O128" s="10"/>
      <c r="P128" s="69"/>
      <c r="Q128" s="70"/>
      <c r="R128" s="52"/>
      <c r="S128" s="69"/>
      <c r="T128" s="70"/>
      <c r="U128" s="52">
        <f>'FY 2013 by Agency'!U128*Inflator!$E$9</f>
        <v>0</v>
      </c>
      <c r="V128" s="69"/>
      <c r="W128" s="70"/>
      <c r="X128" s="52"/>
      <c r="Y128" s="40"/>
      <c r="Z128" s="61"/>
      <c r="AA128" s="52"/>
      <c r="AB128" s="39"/>
      <c r="AC128" s="58"/>
      <c r="AD128" s="52"/>
      <c r="AE128" s="52"/>
      <c r="AF128" s="52"/>
      <c r="AG128" s="52"/>
      <c r="AH128" s="58"/>
      <c r="AI128" s="52"/>
      <c r="AJ128" s="52"/>
      <c r="AK128" s="52"/>
      <c r="AL128" s="52"/>
      <c r="AM128" s="52"/>
      <c r="AN128" s="52"/>
      <c r="AO128" s="52"/>
      <c r="AP128" s="52"/>
      <c r="AQ128" s="52"/>
      <c r="AR128" s="52"/>
      <c r="AS128" s="52"/>
      <c r="AT128" s="52"/>
      <c r="AU128" s="58"/>
      <c r="AV128" s="52"/>
      <c r="AW128" s="58"/>
      <c r="AX128" s="281"/>
      <c r="AY128" s="80"/>
      <c r="AZ128" s="78"/>
      <c r="BA128" s="78"/>
      <c r="BB128" s="78"/>
      <c r="BC128" s="241"/>
      <c r="BD128" s="294"/>
      <c r="BE128" s="51"/>
      <c r="BF128" s="303"/>
      <c r="BG128" s="303"/>
      <c r="BI128" s="246"/>
      <c r="BJ128" s="78"/>
      <c r="BK128" s="78">
        <f t="shared" si="139"/>
        <v>0</v>
      </c>
      <c r="BL128" s="581">
        <f>'FY 2013 by Agency'!AS128*Inflator!$E$13</f>
        <v>0</v>
      </c>
      <c r="BM128" s="62">
        <f t="shared" si="140"/>
        <v>0</v>
      </c>
      <c r="BN128" s="587" t="e">
        <f t="shared" si="130"/>
        <v>#DIV/0!</v>
      </c>
      <c r="BO128" s="52">
        <f>'FY 2013 by Agency'!AX128*Inflator!$E$13</f>
        <v>0</v>
      </c>
      <c r="BP128" s="52">
        <f t="shared" si="74"/>
        <v>0</v>
      </c>
      <c r="BQ128" s="51" t="e">
        <f t="shared" si="75"/>
        <v>#DIV/0!</v>
      </c>
      <c r="BR128" s="52">
        <f>'FY 2013 by Agency'!BE128*Inflator!$E$14</f>
        <v>0</v>
      </c>
      <c r="BS128" s="52">
        <f t="shared" si="76"/>
        <v>0</v>
      </c>
      <c r="BT128" s="51" t="e">
        <f t="shared" si="77"/>
        <v>#DIV/0!</v>
      </c>
      <c r="BU128" s="69">
        <f>'FY 2013 by Agency'!BL128*Inflator!$E$14</f>
        <v>0</v>
      </c>
      <c r="BV128" s="62">
        <f t="shared" si="141"/>
        <v>0</v>
      </c>
      <c r="BW128" s="39"/>
      <c r="BX128" s="39">
        <f>'FY 2013 by Agency'!BV128*Inflator!E15</f>
        <v>833.25</v>
      </c>
      <c r="BY128" s="39">
        <f t="shared" si="72"/>
        <v>0</v>
      </c>
      <c r="BZ128" s="51" t="e">
        <f t="shared" si="73"/>
        <v>#DIV/0!</v>
      </c>
      <c r="CB128" s="39"/>
    </row>
    <row r="129" spans="1:81" ht="18" customHeight="1">
      <c r="A129" s="63" t="s">
        <v>180</v>
      </c>
      <c r="B129" s="492" t="s">
        <v>78</v>
      </c>
      <c r="C129" s="330" t="s">
        <v>78</v>
      </c>
      <c r="D129" s="330" t="s">
        <v>78</v>
      </c>
      <c r="E129" s="330" t="s">
        <v>78</v>
      </c>
      <c r="F129" s="330" t="s">
        <v>78</v>
      </c>
      <c r="G129" s="330" t="s">
        <v>78</v>
      </c>
      <c r="H129" s="330" t="s">
        <v>78</v>
      </c>
      <c r="I129" s="330" t="s">
        <v>78</v>
      </c>
      <c r="J129" s="330" t="s">
        <v>78</v>
      </c>
      <c r="K129" s="330" t="s">
        <v>78</v>
      </c>
      <c r="L129" s="330" t="s">
        <v>78</v>
      </c>
      <c r="M129" s="330" t="s">
        <v>78</v>
      </c>
      <c r="N129" s="330" t="s">
        <v>78</v>
      </c>
      <c r="O129" s="330" t="s">
        <v>78</v>
      </c>
      <c r="P129" s="330" t="s">
        <v>78</v>
      </c>
      <c r="Q129" s="330" t="s">
        <v>78</v>
      </c>
      <c r="R129" s="330" t="s">
        <v>78</v>
      </c>
      <c r="S129" s="330" t="s">
        <v>78</v>
      </c>
      <c r="T129" s="330" t="s">
        <v>78</v>
      </c>
      <c r="U129" s="52">
        <f>'FY 2013 by Agency'!U129*Inflator!$E$9</f>
        <v>1443.2486737400529</v>
      </c>
      <c r="V129" s="69"/>
      <c r="W129" s="70"/>
      <c r="X129" s="52">
        <f>'FY 2013 by Agency'!X129*Inflator!$E$10</f>
        <v>37747.042870752623</v>
      </c>
      <c r="Y129" s="40">
        <f t="shared" si="135"/>
        <v>36303.794197012568</v>
      </c>
      <c r="Z129" s="58">
        <f>Y129/U129</f>
        <v>25.154219683385854</v>
      </c>
      <c r="AA129" s="52">
        <f>'FY 2013 by Agency'!AA129*Inflator!$E$11</f>
        <v>41466.641605606885</v>
      </c>
      <c r="AB129" s="39">
        <f t="shared" si="118"/>
        <v>3719.5987348542621</v>
      </c>
      <c r="AC129" s="58">
        <f t="shared" si="119"/>
        <v>9.8540135914495772E-2</v>
      </c>
      <c r="AD129" s="52" t="e">
        <f>'FY 2013 by Agency'!AD129*Inflator!#REF!</f>
        <v>#REF!</v>
      </c>
      <c r="AE129" s="52">
        <f>'FY 2013 by Agency'!AE129*Inflator!$B$8</f>
        <v>0</v>
      </c>
      <c r="AF129" s="52">
        <f>'FY 2013 by Agency'!AF129*Inflator!$E$12</f>
        <v>33465.828947368427</v>
      </c>
      <c r="AG129" s="52">
        <f t="shared" si="120"/>
        <v>-8000.8126582384575</v>
      </c>
      <c r="AH129" s="58">
        <f t="shared" si="121"/>
        <v>-0.19294575949349688</v>
      </c>
      <c r="AI129" s="52">
        <f>'FY 2013 by Agency'!AI129*Inflator!$B$8</f>
        <v>0</v>
      </c>
      <c r="AJ129" s="52">
        <f>'FY 2013 by Agency'!AJ129*Inflator!$B$8</f>
        <v>0</v>
      </c>
      <c r="AK129" s="52">
        <f>'FY 2013 by Agency'!AK129</f>
        <v>29316</v>
      </c>
      <c r="AL129" s="52">
        <f>'FY 2013 by Agency'!AL129</f>
        <v>0</v>
      </c>
      <c r="AM129" s="52">
        <f>'FY 2013 by Agency'!AM129</f>
        <v>29316</v>
      </c>
      <c r="AN129" s="52">
        <f>'FY 2013 by Agency'!AN129</f>
        <v>26203</v>
      </c>
      <c r="AO129" s="52">
        <f>'FY 2013 by Agency'!AO129</f>
        <v>27653</v>
      </c>
      <c r="AP129" s="52">
        <f>'FY 2013 by Agency'!AP129</f>
        <v>535</v>
      </c>
      <c r="AQ129" s="52">
        <f>'FY 2013 by Agency'!AQ129</f>
        <v>0</v>
      </c>
      <c r="AR129" s="52">
        <f>'FY 2013 by Agency'!AR129</f>
        <v>535</v>
      </c>
      <c r="AS129" s="52">
        <f>'FY 2013 by Agency'!AS129</f>
        <v>27469.85614</v>
      </c>
      <c r="AT129" s="52" t="e">
        <f t="shared" si="122"/>
        <v>#REF!</v>
      </c>
      <c r="AU129" s="58" t="e">
        <f t="shared" si="123"/>
        <v>#REF!</v>
      </c>
      <c r="AV129" s="52">
        <f t="shared" si="124"/>
        <v>-5995.9728073684273</v>
      </c>
      <c r="AW129" s="58">
        <f t="shared" si="125"/>
        <v>-0.17916701889555073</v>
      </c>
      <c r="AX129" s="281" t="s">
        <v>342</v>
      </c>
      <c r="AY129" s="65">
        <v>28192.973020000001</v>
      </c>
      <c r="AZ129" s="78">
        <f t="shared" si="126"/>
        <v>539.97302000000127</v>
      </c>
      <c r="BA129" s="78">
        <f t="shared" si="127"/>
        <v>-5455.999787368426</v>
      </c>
      <c r="BB129" s="78">
        <f t="shared" si="128"/>
        <v>28009.829160000001</v>
      </c>
      <c r="BC129" s="241">
        <f t="shared" si="129"/>
        <v>-0.16303196301962386</v>
      </c>
      <c r="BD129" s="294">
        <v>648.41399999999999</v>
      </c>
      <c r="BE129" s="51">
        <f t="shared" si="137"/>
        <v>2.2999135264663902E-2</v>
      </c>
      <c r="BF129" s="303">
        <v>770</v>
      </c>
      <c r="BG129" s="303"/>
      <c r="BH129" s="50">
        <v>10</v>
      </c>
      <c r="BI129" s="246">
        <v>27641</v>
      </c>
      <c r="BJ129" s="78">
        <f t="shared" si="138"/>
        <v>-551.97302000000127</v>
      </c>
      <c r="BK129" s="78">
        <f t="shared" si="139"/>
        <v>28176</v>
      </c>
      <c r="BL129" s="581">
        <f>'FY 2013 by Agency'!AS129*Inflator!$E$13</f>
        <v>28484.153544009769</v>
      </c>
      <c r="BM129" s="62">
        <f t="shared" si="140"/>
        <v>-4981.6754033586585</v>
      </c>
      <c r="BN129" s="587">
        <f t="shared" si="130"/>
        <v>-0.14885856887613091</v>
      </c>
      <c r="BO129" s="52">
        <f>'FY 2013 by Agency'!AX129*Inflator!$E$13</f>
        <v>49244.558437595369</v>
      </c>
      <c r="BP129" s="52">
        <f t="shared" si="74"/>
        <v>15778.729490226942</v>
      </c>
      <c r="BQ129" s="51">
        <f t="shared" si="75"/>
        <v>0.47148778280801251</v>
      </c>
      <c r="BR129" s="52">
        <f>'FY 2013 by Agency'!BE129*Inflator!$E$14</f>
        <v>46509.681098835477</v>
      </c>
      <c r="BS129" s="52">
        <f t="shared" si="76"/>
        <v>-2734.8773387598922</v>
      </c>
      <c r="BT129" s="51">
        <f t="shared" si="77"/>
        <v>-5.5536640504668867E-2</v>
      </c>
      <c r="BU129" s="52">
        <f>'FY 2013 by Agency'!BL129*Inflator!$E$14</f>
        <v>46942.928635413562</v>
      </c>
      <c r="BV129" s="62">
        <f>BU129-BL129</f>
        <v>18458.775091403793</v>
      </c>
      <c r="BW129" s="495">
        <v>47782</v>
      </c>
      <c r="BX129" s="39">
        <f>'FY 2013 by Agency'!BV129*Inflator!E15</f>
        <v>48176.1</v>
      </c>
      <c r="BY129" s="39">
        <f t="shared" si="72"/>
        <v>1272.3189011645227</v>
      </c>
      <c r="BZ129" s="51">
        <f t="shared" si="73"/>
        <v>2.7356001398091277E-2</v>
      </c>
      <c r="CB129" s="39"/>
    </row>
    <row r="130" spans="1:81" ht="18" customHeight="1">
      <c r="A130" s="63" t="s">
        <v>133</v>
      </c>
      <c r="B130" s="492" t="s">
        <v>78</v>
      </c>
      <c r="C130" s="330" t="s">
        <v>78</v>
      </c>
      <c r="D130" s="330" t="s">
        <v>78</v>
      </c>
      <c r="E130" s="330" t="s">
        <v>78</v>
      </c>
      <c r="F130" s="330" t="s">
        <v>78</v>
      </c>
      <c r="G130" s="330" t="s">
        <v>78</v>
      </c>
      <c r="H130" s="330" t="s">
        <v>78</v>
      </c>
      <c r="I130" s="330" t="s">
        <v>78</v>
      </c>
      <c r="J130" s="330" t="s">
        <v>78</v>
      </c>
      <c r="K130" s="330" t="s">
        <v>78</v>
      </c>
      <c r="L130" s="330" t="s">
        <v>78</v>
      </c>
      <c r="M130" s="330" t="s">
        <v>78</v>
      </c>
      <c r="N130" s="330" t="s">
        <v>78</v>
      </c>
      <c r="O130" s="330" t="s">
        <v>78</v>
      </c>
      <c r="P130" s="330" t="s">
        <v>78</v>
      </c>
      <c r="Q130" s="330" t="s">
        <v>78</v>
      </c>
      <c r="R130" s="330" t="s">
        <v>78</v>
      </c>
      <c r="S130" s="330" t="s">
        <v>78</v>
      </c>
      <c r="T130" s="330" t="s">
        <v>78</v>
      </c>
      <c r="U130" s="52">
        <f>'FY 2013 by Agency'!U130*Inflator!$E$9</f>
        <v>0</v>
      </c>
      <c r="V130" s="69"/>
      <c r="W130" s="70"/>
      <c r="X130" s="52">
        <f>'FY 2013 by Agency'!X130*Inflator!$E$10</f>
        <v>0</v>
      </c>
      <c r="Y130" s="40">
        <f t="shared" si="135"/>
        <v>0</v>
      </c>
      <c r="Z130" s="61" t="s">
        <v>127</v>
      </c>
      <c r="AA130" s="52">
        <f>'FY 2013 by Agency'!AA130*Inflator!$E$11</f>
        <v>153391.71710735906</v>
      </c>
      <c r="AB130" s="39">
        <f t="shared" si="118"/>
        <v>153391.71710735906</v>
      </c>
      <c r="AC130" s="277" t="s">
        <v>127</v>
      </c>
      <c r="AD130" s="52" t="e">
        <f>'FY 2013 by Agency'!AD130*Inflator!#REF!</f>
        <v>#REF!</v>
      </c>
      <c r="AE130" s="52">
        <f>'FY 2013 by Agency'!AE130*Inflator!$B$8</f>
        <v>0</v>
      </c>
      <c r="AF130" s="52">
        <f>'FY 2013 by Agency'!AF130*Inflator!$E$12</f>
        <v>177317.68922305768</v>
      </c>
      <c r="AG130" s="52">
        <f t="shared" si="120"/>
        <v>23925.97211569862</v>
      </c>
      <c r="AH130" s="58">
        <f t="shared" si="121"/>
        <v>0.15597955722050363</v>
      </c>
      <c r="AI130" s="52">
        <f>'FY 2013 by Agency'!AI130*Inflator!$B$8</f>
        <v>0</v>
      </c>
      <c r="AJ130" s="52">
        <f>'FY 2013 by Agency'!AJ130*Inflator!$B$8</f>
        <v>0</v>
      </c>
      <c r="AK130" s="52">
        <f>'FY 2013 by Agency'!AK130</f>
        <v>200600</v>
      </c>
      <c r="AL130" s="52">
        <f>'FY 2013 by Agency'!AL130</f>
        <v>0</v>
      </c>
      <c r="AM130" s="52">
        <f>'FY 2013 by Agency'!AM130</f>
        <v>200600</v>
      </c>
      <c r="AN130" s="52">
        <f>'FY 2013 by Agency'!AN130</f>
        <v>179891</v>
      </c>
      <c r="AO130" s="52">
        <f>'FY 2013 by Agency'!AO130</f>
        <v>179891</v>
      </c>
      <c r="AP130" s="52">
        <f>'FY 2013 by Agency'!AP130</f>
        <v>0</v>
      </c>
      <c r="AQ130" s="52">
        <f>'FY 2013 by Agency'!AQ130</f>
        <v>0</v>
      </c>
      <c r="AR130" s="52">
        <f>'FY 2013 by Agency'!AR130</f>
        <v>0</v>
      </c>
      <c r="AS130" s="52">
        <f>'FY 2013 by Agency'!AS130</f>
        <v>135239.86283999999</v>
      </c>
      <c r="AT130" s="52" t="e">
        <f t="shared" si="122"/>
        <v>#REF!</v>
      </c>
      <c r="AU130" s="58" t="e">
        <f t="shared" si="123"/>
        <v>#REF!</v>
      </c>
      <c r="AV130" s="52">
        <f t="shared" si="124"/>
        <v>-42077.826383057691</v>
      </c>
      <c r="AW130" s="58">
        <f t="shared" si="125"/>
        <v>-0.23730191030250614</v>
      </c>
      <c r="AX130" s="281" t="s">
        <v>343</v>
      </c>
      <c r="AY130" s="65">
        <v>179891.489</v>
      </c>
      <c r="AZ130" s="78">
        <f t="shared" si="126"/>
        <v>0.48900000000139698</v>
      </c>
      <c r="BA130" s="78">
        <f t="shared" si="127"/>
        <v>-42077.337383057689</v>
      </c>
      <c r="BB130" s="78">
        <f t="shared" si="128"/>
        <v>135240.35183999999</v>
      </c>
      <c r="BC130" s="241">
        <f t="shared" si="129"/>
        <v>-0.237299152540423</v>
      </c>
      <c r="BD130" s="294">
        <v>0</v>
      </c>
      <c r="BE130" s="51">
        <f t="shared" si="137"/>
        <v>0</v>
      </c>
      <c r="BF130" s="303">
        <v>21862</v>
      </c>
      <c r="BG130" s="303"/>
      <c r="BI130" s="246">
        <v>158017</v>
      </c>
      <c r="BJ130" s="78">
        <f t="shared" si="138"/>
        <v>-21874.489000000001</v>
      </c>
      <c r="BK130" s="78">
        <f t="shared" si="139"/>
        <v>158017</v>
      </c>
      <c r="BL130" s="581">
        <f>'FY 2013 by Agency'!AS130*Inflator!$E$13</f>
        <v>140233.46168151358</v>
      </c>
      <c r="BM130" s="62">
        <f t="shared" si="140"/>
        <v>-37084.227541544096</v>
      </c>
      <c r="BN130" s="587">
        <f t="shared" si="130"/>
        <v>-0.20914003393589123</v>
      </c>
      <c r="BO130" s="52">
        <f>'FY 2013 by Agency'!AX130*Inflator!$E$13</f>
        <v>163851.62221544099</v>
      </c>
      <c r="BP130" s="52">
        <f t="shared" si="74"/>
        <v>-13466.067007616686</v>
      </c>
      <c r="BQ130" s="51">
        <f t="shared" si="75"/>
        <v>-7.5943167693083236E-2</v>
      </c>
      <c r="BR130" s="52">
        <f>'FY 2013 by Agency'!BE130*Inflator!$E$14</f>
        <v>152435.15258286058</v>
      </c>
      <c r="BS130" s="52">
        <f t="shared" si="76"/>
        <v>-11416.469632580411</v>
      </c>
      <c r="BT130" s="51">
        <f t="shared" si="77"/>
        <v>-6.9675658246272462E-2</v>
      </c>
      <c r="BU130" s="52">
        <f>'FY 2013 by Agency'!BL130*Inflator!$E$14</f>
        <v>152435.15258286058</v>
      </c>
      <c r="BV130" s="62">
        <f t="shared" si="141"/>
        <v>12201.690901346999</v>
      </c>
      <c r="BW130" s="39">
        <v>109941</v>
      </c>
      <c r="BX130" s="39">
        <f>'FY 2013 by Agency'!BV130*Inflator!E15</f>
        <v>109941</v>
      </c>
      <c r="BY130" s="39">
        <f t="shared" si="72"/>
        <v>-42494.152582860581</v>
      </c>
      <c r="BZ130" s="51">
        <f t="shared" si="73"/>
        <v>-0.27876872140605258</v>
      </c>
      <c r="CB130" s="39"/>
    </row>
    <row r="131" spans="1:81" ht="18" customHeight="1">
      <c r="A131" s="63" t="s">
        <v>134</v>
      </c>
      <c r="B131" s="492" t="s">
        <v>78</v>
      </c>
      <c r="C131" s="330" t="s">
        <v>78</v>
      </c>
      <c r="D131" s="330" t="s">
        <v>78</v>
      </c>
      <c r="E131" s="330" t="s">
        <v>78</v>
      </c>
      <c r="F131" s="330" t="s">
        <v>78</v>
      </c>
      <c r="G131" s="330" t="s">
        <v>78</v>
      </c>
      <c r="H131" s="330" t="s">
        <v>78</v>
      </c>
      <c r="I131" s="330" t="s">
        <v>78</v>
      </c>
      <c r="J131" s="330" t="s">
        <v>78</v>
      </c>
      <c r="K131" s="330" t="s">
        <v>78</v>
      </c>
      <c r="L131" s="330" t="s">
        <v>78</v>
      </c>
      <c r="M131" s="330" t="s">
        <v>78</v>
      </c>
      <c r="N131" s="330" t="s">
        <v>78</v>
      </c>
      <c r="O131" s="330" t="s">
        <v>78</v>
      </c>
      <c r="P131" s="330" t="s">
        <v>78</v>
      </c>
      <c r="Q131" s="330" t="s">
        <v>78</v>
      </c>
      <c r="R131" s="330" t="s">
        <v>78</v>
      </c>
      <c r="S131" s="330" t="s">
        <v>78</v>
      </c>
      <c r="T131" s="330" t="s">
        <v>78</v>
      </c>
      <c r="U131" s="52">
        <f>'FY 2013 by Agency'!U131*Inflator!$E$9</f>
        <v>0</v>
      </c>
      <c r="V131" s="63"/>
      <c r="W131" s="63"/>
      <c r="X131" s="52">
        <f>'FY 2013 by Agency'!X131*Inflator!$E$10</f>
        <v>184.52143537630997</v>
      </c>
      <c r="Y131" s="40">
        <f t="shared" si="135"/>
        <v>184.52143537630997</v>
      </c>
      <c r="Z131" s="63" t="s">
        <v>127</v>
      </c>
      <c r="AA131" s="52">
        <f>'FY 2013 by Agency'!AA131*Inflator!$E$11</f>
        <v>81792.317298502719</v>
      </c>
      <c r="AB131" s="39">
        <f t="shared" si="118"/>
        <v>81607.795863126405</v>
      </c>
      <c r="AC131" s="58">
        <f>AB131/X131</f>
        <v>442.26729375206094</v>
      </c>
      <c r="AD131" s="52" t="e">
        <f>'FY 2013 by Agency'!AD131*Inflator!#REF!</f>
        <v>#REF!</v>
      </c>
      <c r="AE131" s="52">
        <f>'FY 2013 by Agency'!AE131*Inflator!$B$8</f>
        <v>0</v>
      </c>
      <c r="AF131" s="52">
        <f>'FY 2013 by Agency'!AF131*Inflator!$E$12</f>
        <v>99398.951754385969</v>
      </c>
      <c r="AG131" s="52">
        <f t="shared" si="120"/>
        <v>17606.63445588325</v>
      </c>
      <c r="AH131" s="58">
        <f t="shared" si="121"/>
        <v>0.21526024738518509</v>
      </c>
      <c r="AI131" s="52">
        <f>'FY 2013 by Agency'!AI131*Inflator!$B$8</f>
        <v>0</v>
      </c>
      <c r="AJ131" s="52">
        <f>'FY 2013 by Agency'!AJ131*Inflator!$B$8</f>
        <v>0</v>
      </c>
      <c r="AK131" s="52">
        <f>'FY 2013 by Agency'!AK131</f>
        <v>87135</v>
      </c>
      <c r="AL131" s="52">
        <f>'FY 2013 by Agency'!AL131</f>
        <v>0</v>
      </c>
      <c r="AM131" s="52">
        <f>'FY 2013 by Agency'!AM131</f>
        <v>87135</v>
      </c>
      <c r="AN131" s="52">
        <f>'FY 2013 by Agency'!AN131</f>
        <v>89171</v>
      </c>
      <c r="AO131" s="52">
        <f>'FY 2013 by Agency'!AO131</f>
        <v>89171</v>
      </c>
      <c r="AP131" s="52">
        <f>'FY 2013 by Agency'!AP131</f>
        <v>0</v>
      </c>
      <c r="AQ131" s="52">
        <f>'FY 2013 by Agency'!AQ131</f>
        <v>0</v>
      </c>
      <c r="AR131" s="52">
        <f>'FY 2013 by Agency'!AR131</f>
        <v>0</v>
      </c>
      <c r="AS131" s="52">
        <f>'FY 2013 by Agency'!AS131</f>
        <v>95972.694640000002</v>
      </c>
      <c r="AT131" s="52" t="e">
        <f t="shared" si="122"/>
        <v>#REF!</v>
      </c>
      <c r="AU131" s="58" t="e">
        <f t="shared" si="123"/>
        <v>#REF!</v>
      </c>
      <c r="AV131" s="52">
        <f t="shared" si="124"/>
        <v>-3426.2571143859677</v>
      </c>
      <c r="AW131" s="58">
        <f t="shared" si="125"/>
        <v>-3.4469750977376729E-2</v>
      </c>
      <c r="AX131" s="281" t="s">
        <v>344</v>
      </c>
      <c r="AY131" s="65">
        <v>89171.4</v>
      </c>
      <c r="AZ131" s="78">
        <f t="shared" si="126"/>
        <v>0.39999999999417923</v>
      </c>
      <c r="BA131" s="78">
        <f t="shared" si="127"/>
        <v>-3425.8571143859735</v>
      </c>
      <c r="BB131" s="78">
        <f t="shared" si="128"/>
        <v>95973.094639999996</v>
      </c>
      <c r="BC131" s="241">
        <f t="shared" si="129"/>
        <v>-3.446572679006954E-2</v>
      </c>
      <c r="BD131" s="294">
        <v>0</v>
      </c>
      <c r="BE131" s="51">
        <f t="shared" si="137"/>
        <v>0</v>
      </c>
      <c r="BF131" s="303">
        <v>4406</v>
      </c>
      <c r="BG131" s="303"/>
      <c r="BI131" s="246">
        <v>93604</v>
      </c>
      <c r="BJ131" s="78">
        <f t="shared" si="138"/>
        <v>4432.6000000000058</v>
      </c>
      <c r="BK131" s="78">
        <f t="shared" si="139"/>
        <v>93604</v>
      </c>
      <c r="BL131" s="581">
        <f>'FY 2013 by Agency'!AS131*Inflator!$E$13</f>
        <v>99516.391939798617</v>
      </c>
      <c r="BM131" s="62">
        <f t="shared" si="140"/>
        <v>117.44018541264813</v>
      </c>
      <c r="BN131" s="587">
        <f t="shared" si="130"/>
        <v>1.1815032587349805E-3</v>
      </c>
      <c r="BO131" s="52">
        <f>'FY 2013 by Agency'!AX131*Inflator!$E$13</f>
        <v>97060.235581324392</v>
      </c>
      <c r="BP131" s="52">
        <f t="shared" si="74"/>
        <v>-2338.7161730615771</v>
      </c>
      <c r="BQ131" s="51">
        <f t="shared" si="75"/>
        <v>-2.3528579847004086E-2</v>
      </c>
      <c r="BR131" s="52">
        <f>'FY 2013 by Agency'!BE131*Inflator!$E$14</f>
        <v>90058.668259181854</v>
      </c>
      <c r="BS131" s="52">
        <f t="shared" si="76"/>
        <v>-7001.5673221425386</v>
      </c>
      <c r="BT131" s="51">
        <f t="shared" si="77"/>
        <v>-7.2136310819852653E-2</v>
      </c>
      <c r="BU131" s="52">
        <f>'FY 2013 by Agency'!BL131*Inflator!$E$14</f>
        <v>90114.472977008074</v>
      </c>
      <c r="BV131" s="62">
        <f t="shared" si="141"/>
        <v>-9401.9189627905434</v>
      </c>
      <c r="BW131" s="39">
        <v>91190</v>
      </c>
      <c r="BX131" s="39">
        <f>'FY 2013 by Agency'!BV131*Inflator!E15</f>
        <v>91190</v>
      </c>
      <c r="BY131" s="39">
        <f t="shared" si="72"/>
        <v>1131.3317408181465</v>
      </c>
      <c r="BZ131" s="51">
        <f t="shared" si="73"/>
        <v>1.2562163783748852E-2</v>
      </c>
      <c r="CB131" s="39"/>
    </row>
    <row r="132" spans="1:81" s="130" customFormat="1" ht="18" customHeight="1" thickBot="1">
      <c r="A132" s="130" t="s">
        <v>184</v>
      </c>
      <c r="B132" s="335" t="s">
        <v>78</v>
      </c>
      <c r="C132" s="335" t="s">
        <v>78</v>
      </c>
      <c r="D132" s="335" t="s">
        <v>78</v>
      </c>
      <c r="E132" s="335" t="s">
        <v>78</v>
      </c>
      <c r="F132" s="335" t="s">
        <v>78</v>
      </c>
      <c r="G132" s="335" t="s">
        <v>78</v>
      </c>
      <c r="H132" s="335" t="s">
        <v>78</v>
      </c>
      <c r="I132" s="335" t="s">
        <v>78</v>
      </c>
      <c r="J132" s="335" t="s">
        <v>78</v>
      </c>
      <c r="K132" s="335" t="s">
        <v>78</v>
      </c>
      <c r="L132" s="335" t="s">
        <v>78</v>
      </c>
      <c r="M132" s="335" t="s">
        <v>78</v>
      </c>
      <c r="N132" s="335" t="s">
        <v>78</v>
      </c>
      <c r="O132" s="335" t="s">
        <v>78</v>
      </c>
      <c r="P132" s="335" t="s">
        <v>78</v>
      </c>
      <c r="Q132" s="335" t="s">
        <v>78</v>
      </c>
      <c r="R132" s="335" t="s">
        <v>78</v>
      </c>
      <c r="S132" s="335" t="s">
        <v>78</v>
      </c>
      <c r="T132" s="335" t="s">
        <v>78</v>
      </c>
      <c r="U132" s="75"/>
      <c r="X132" s="75">
        <f>'FY 2013 by Agency'!X132*Inflator!$E$10</f>
        <v>414.36392505557325</v>
      </c>
      <c r="AA132" s="75">
        <f>'FY 2013 by Agency'!AA132*Inflator!$E$11</f>
        <v>0</v>
      </c>
      <c r="AB132" s="102">
        <f t="shared" si="118"/>
        <v>-414.36392505557325</v>
      </c>
      <c r="AC132" s="77">
        <f>AB132/X132</f>
        <v>-1</v>
      </c>
      <c r="AD132" s="75" t="e">
        <f>'FY 2013 by Agency'!AD132*Inflator!#REF!</f>
        <v>#REF!</v>
      </c>
      <c r="AE132" s="75">
        <f>'FY 2013 by Agency'!AE132*Inflator!$B$8</f>
        <v>0</v>
      </c>
      <c r="AF132" s="75">
        <f>'FY 2013 by Agency'!AF132*Inflator!$E$12</f>
        <v>0</v>
      </c>
      <c r="AG132" s="75">
        <f t="shared" si="120"/>
        <v>0</v>
      </c>
      <c r="AH132" s="77" t="e">
        <f t="shared" si="121"/>
        <v>#DIV/0!</v>
      </c>
      <c r="AI132" s="75">
        <f>'FY 2013 by Agency'!AI132*Inflator!$B$8</f>
        <v>0</v>
      </c>
      <c r="AJ132" s="75">
        <f>'FY 2013 by Agency'!AJ132*Inflator!$B$8</f>
        <v>0</v>
      </c>
      <c r="AK132" s="75">
        <f>'FY 2013 by Agency'!AK132</f>
        <v>0</v>
      </c>
      <c r="AL132" s="75">
        <f>'FY 2013 by Agency'!AL132</f>
        <v>0</v>
      </c>
      <c r="AM132" s="75">
        <f>'FY 2013 by Agency'!AM132</f>
        <v>0</v>
      </c>
      <c r="AN132" s="75">
        <f>'FY 2013 by Agency'!AN132</f>
        <v>0</v>
      </c>
      <c r="AO132" s="75">
        <f>'FY 2013 by Agency'!AO132</f>
        <v>0</v>
      </c>
      <c r="AP132" s="75">
        <f>'FY 2013 by Agency'!AP132</f>
        <v>0</v>
      </c>
      <c r="AQ132" s="75">
        <f>'FY 2013 by Agency'!AQ132</f>
        <v>0</v>
      </c>
      <c r="AR132" s="75">
        <f>'FY 2013 by Agency'!AR132</f>
        <v>0</v>
      </c>
      <c r="AS132" s="75">
        <f>'FY 2013 by Agency'!AS132</f>
        <v>1380</v>
      </c>
      <c r="AT132" s="75" t="e">
        <f t="shared" si="122"/>
        <v>#REF!</v>
      </c>
      <c r="AU132" s="77" t="e">
        <f t="shared" si="123"/>
        <v>#REF!</v>
      </c>
      <c r="AV132" s="75">
        <f t="shared" si="124"/>
        <v>1380</v>
      </c>
      <c r="AW132" s="77" t="e">
        <f t="shared" si="125"/>
        <v>#DIV/0!</v>
      </c>
      <c r="AX132" s="249"/>
      <c r="AY132" s="249"/>
      <c r="AZ132" s="249"/>
      <c r="BA132" s="249"/>
      <c r="BB132" s="249"/>
      <c r="BC132" s="249"/>
      <c r="BD132" s="298"/>
      <c r="BE132" s="306"/>
      <c r="BF132" s="306"/>
      <c r="BG132" s="306"/>
      <c r="BI132" s="317"/>
      <c r="BJ132" s="317">
        <f t="shared" si="138"/>
        <v>0</v>
      </c>
      <c r="BK132" s="317">
        <f t="shared" si="139"/>
        <v>0</v>
      </c>
      <c r="BL132" s="586">
        <f>'FY 2013 by Agency'!AS132*Inflator!$E$13</f>
        <v>1430.9551418980777</v>
      </c>
      <c r="BM132" s="62">
        <f t="shared" si="140"/>
        <v>1430.9551418980777</v>
      </c>
      <c r="BN132" s="588" t="e">
        <f t="shared" si="130"/>
        <v>#DIV/0!</v>
      </c>
      <c r="BO132" s="75">
        <f>'FY 2013 by Agency'!AX132*Inflator!$E$13</f>
        <v>0</v>
      </c>
      <c r="BP132" s="75">
        <f t="shared" si="74"/>
        <v>0</v>
      </c>
      <c r="BQ132" s="55" t="e">
        <f t="shared" si="75"/>
        <v>#DIV/0!</v>
      </c>
      <c r="BR132" s="75">
        <f>'FY 2013 by Agency'!BE132*Inflator!$E$14</f>
        <v>0</v>
      </c>
      <c r="BS132" s="75">
        <f t="shared" si="76"/>
        <v>0</v>
      </c>
      <c r="BT132" s="55" t="e">
        <f t="shared" si="77"/>
        <v>#DIV/0!</v>
      </c>
      <c r="BU132" s="156">
        <f>'FY 2013 by Agency'!BL132*Inflator!$E$14</f>
        <v>0</v>
      </c>
      <c r="BV132" s="62">
        <f t="shared" si="141"/>
        <v>-1430.9551418980777</v>
      </c>
      <c r="BW132" s="102">
        <v>0</v>
      </c>
      <c r="BX132" s="39">
        <f>'FY 2013 by Agency'!BV132*Inflator!E15</f>
        <v>0</v>
      </c>
      <c r="BY132" s="39">
        <f t="shared" si="72"/>
        <v>0</v>
      </c>
      <c r="BZ132" s="51" t="e">
        <f t="shared" si="73"/>
        <v>#DIV/0!</v>
      </c>
      <c r="CB132" s="39"/>
    </row>
    <row r="133" spans="1:81" s="13" customFormat="1" ht="18" customHeight="1">
      <c r="A133" s="64" t="s">
        <v>59</v>
      </c>
      <c r="B133" s="326">
        <f>'FY 2013 by Agency'!B133*Inflator!$E$2</f>
        <v>1029210.5733652313</v>
      </c>
      <c r="C133" s="326">
        <f>'FY 2013 by Agency'!C133*Inflator!$E$3</f>
        <v>1286729.9034003092</v>
      </c>
      <c r="D133" s="47">
        <f t="shared" si="78"/>
        <v>257519.33003507787</v>
      </c>
      <c r="E133" s="360">
        <f t="shared" si="79"/>
        <v>0.25021053679332261</v>
      </c>
      <c r="F133" s="10">
        <f>'FY 2013 by Agency'!F133*Inflator!$E$4</f>
        <v>1235522.8892272555</v>
      </c>
      <c r="G133" s="12">
        <f t="shared" si="80"/>
        <v>-51207.014173053671</v>
      </c>
      <c r="H133" s="15">
        <f t="shared" si="81"/>
        <v>-3.9796241649264659E-2</v>
      </c>
      <c r="I133" s="10">
        <f>'FY 2013 by Agency'!I133*Inflator!$E$5</f>
        <v>1186092.813685385</v>
      </c>
      <c r="J133" s="12">
        <f t="shared" si="82"/>
        <v>-49430.075541870436</v>
      </c>
      <c r="K133" s="15">
        <f t="shared" si="83"/>
        <v>-4.0007413843045792E-2</v>
      </c>
      <c r="L133" s="10">
        <f>'FY 2013 by Agency'!L133*Inflator!$E$6</f>
        <v>1296981.1501272263</v>
      </c>
      <c r="M133" s="10">
        <f t="shared" si="84"/>
        <v>110888.33644184121</v>
      </c>
      <c r="N133" s="14">
        <f t="shared" si="85"/>
        <v>9.3490437815985872E-2</v>
      </c>
      <c r="O133" s="10">
        <f>'FY 2013 by Agency'!O133*Inflator!$E$7</f>
        <v>1370628.3315733895</v>
      </c>
      <c r="P133" s="12">
        <f>O133-L133</f>
        <v>73647.181446163217</v>
      </c>
      <c r="Q133" s="36">
        <f>P133/L133</f>
        <v>5.6783540330512021E-2</v>
      </c>
      <c r="R133" s="52">
        <f>'FY 2013 by Agency'!R133*Inflator!$E$8</f>
        <v>1413606.0631364561</v>
      </c>
      <c r="S133" s="12">
        <f t="shared" si="132"/>
        <v>42977.731563066598</v>
      </c>
      <c r="T133" s="36">
        <f>S133/O133</f>
        <v>3.1356225880528124E-2</v>
      </c>
      <c r="U133" s="52">
        <f>'FY 2013 by Agency'!U133*Inflator!$E$9</f>
        <v>1448416.6531830237</v>
      </c>
      <c r="V133" s="12">
        <f>SUM(V120:V132)</f>
        <v>33367.341372827592</v>
      </c>
      <c r="W133" s="45">
        <f t="shared" ref="W133" si="143">V133/R133</f>
        <v>2.3604413027766297E-2</v>
      </c>
      <c r="X133" s="52">
        <f>'FY 2013 by Agency'!X133*Inflator!$E$10</f>
        <v>1561917.8386789458</v>
      </c>
      <c r="Y133" s="12">
        <f>SUM(Y120:Y132)</f>
        <v>113086.82157086649</v>
      </c>
      <c r="Z133" s="36">
        <f>Y133/U133</f>
        <v>7.8076167739681956E-2</v>
      </c>
      <c r="AA133" s="52">
        <f>'FY 2013 by Agency'!AA133*Inflator!$E$11</f>
        <v>1549178.4020388662</v>
      </c>
      <c r="AB133" s="12">
        <f>SUM(AB120:AB132)</f>
        <v>-12739.436640079688</v>
      </c>
      <c r="AC133" s="36">
        <f>AB133/X133</f>
        <v>-8.1562783423067726E-3</v>
      </c>
      <c r="AD133" s="12" t="e">
        <f>'FY 2013 by Agency'!AD133*Inflator!#REF!</f>
        <v>#REF!</v>
      </c>
      <c r="AE133" s="12">
        <f>SUM(AE120:AE132)</f>
        <v>0</v>
      </c>
      <c r="AF133" s="52">
        <f>'FY 2013 by Agency'!AF133*Inflator!$E$12</f>
        <v>1497785.598997494</v>
      </c>
      <c r="AG133" s="12">
        <f t="shared" si="120"/>
        <v>-51392.803041372215</v>
      </c>
      <c r="AH133" s="36">
        <f t="shared" si="121"/>
        <v>-3.3174231562829948E-2</v>
      </c>
      <c r="AI133" s="12">
        <f t="shared" ref="AI133:AT133" si="144">SUM(AI120:AI132)</f>
        <v>0</v>
      </c>
      <c r="AJ133" s="12">
        <f t="shared" si="144"/>
        <v>0</v>
      </c>
      <c r="AK133" s="12">
        <f t="shared" si="144"/>
        <v>1520467</v>
      </c>
      <c r="AL133" s="12">
        <f t="shared" si="144"/>
        <v>0</v>
      </c>
      <c r="AM133" s="12">
        <f t="shared" si="144"/>
        <v>1520467</v>
      </c>
      <c r="AN133" s="12">
        <f t="shared" si="144"/>
        <v>1503960</v>
      </c>
      <c r="AO133" s="12">
        <f t="shared" si="144"/>
        <v>1523404</v>
      </c>
      <c r="AP133" s="12">
        <f t="shared" si="144"/>
        <v>4371</v>
      </c>
      <c r="AQ133" s="12">
        <f t="shared" si="144"/>
        <v>111</v>
      </c>
      <c r="AR133" s="12">
        <f t="shared" si="144"/>
        <v>4482</v>
      </c>
      <c r="AS133" s="12">
        <f t="shared" si="144"/>
        <v>1502121.8110200004</v>
      </c>
      <c r="AT133" s="12" t="e">
        <f t="shared" si="144"/>
        <v>#REF!</v>
      </c>
      <c r="AU133" s="36" t="e">
        <f t="shared" si="123"/>
        <v>#REF!</v>
      </c>
      <c r="AV133" s="12">
        <f t="shared" si="124"/>
        <v>4336.2120225063991</v>
      </c>
      <c r="AW133" s="36">
        <f t="shared" si="125"/>
        <v>2.8950819298895225E-3</v>
      </c>
      <c r="AX133" s="137"/>
      <c r="AY133" s="139">
        <f t="shared" ref="AY133:BA133" si="145">SUM(AY120:AY131)</f>
        <v>1534329.0955599998</v>
      </c>
      <c r="AZ133" s="139">
        <f t="shared" si="145"/>
        <v>10925.095559999983</v>
      </c>
      <c r="BA133" s="139">
        <f t="shared" si="145"/>
        <v>13881.307582506059</v>
      </c>
      <c r="BB133" s="139">
        <f>SUM(BB120:BB131)</f>
        <v>1511666.90658</v>
      </c>
      <c r="BC133" s="137">
        <f t="shared" ref="BC133" si="146">(BB133-AF133)/AF133</f>
        <v>9.2678869337487896E-3</v>
      </c>
      <c r="BD133" s="139">
        <f t="shared" ref="BD133" si="147">SUM(BD120:BD131)</f>
        <v>27751.602999999999</v>
      </c>
      <c r="BE133" s="15">
        <f>BD133/AY133</f>
        <v>1.8087125558856207E-2</v>
      </c>
      <c r="BF133" s="15">
        <f>(BB133-X133)/X133</f>
        <v>-3.2172583508904389E-2</v>
      </c>
      <c r="BI133" s="28">
        <f>SUM(BI120:BI132)</f>
        <v>1485842</v>
      </c>
      <c r="BJ133" s="139">
        <f t="shared" si="138"/>
        <v>-48487.095559999812</v>
      </c>
      <c r="BK133" s="28">
        <f>SUM(BK120:BK132)</f>
        <v>1490324</v>
      </c>
      <c r="BL133" s="572">
        <f>SUM(BL120:BL132)</f>
        <v>1557586.1806060302</v>
      </c>
      <c r="BM133" s="62">
        <f t="shared" si="140"/>
        <v>59800.581608536188</v>
      </c>
      <c r="BN133" s="15">
        <f>BM133/AF133</f>
        <v>3.992599584918044E-2</v>
      </c>
      <c r="BO133" s="12">
        <f>'FY 2013 by Agency'!AX133*Inflator!$E$13</f>
        <v>1579019.5959719259</v>
      </c>
      <c r="BP133" s="12">
        <f t="shared" si="74"/>
        <v>81233.99697443191</v>
      </c>
      <c r="BQ133" s="15">
        <f t="shared" si="75"/>
        <v>5.423606491396625E-2</v>
      </c>
      <c r="BR133" s="30">
        <f>SUM(BR120:BR132)</f>
        <v>1627026.1188414453</v>
      </c>
      <c r="BS133" s="12">
        <f t="shared" si="76"/>
        <v>48006.522869519424</v>
      </c>
      <c r="BT133" s="15">
        <f t="shared" si="77"/>
        <v>3.0402740404225453E-2</v>
      </c>
      <c r="BU133" s="12">
        <f>SUM(BU120:BU132)</f>
        <v>1630834.0298596597</v>
      </c>
      <c r="BV133" s="62">
        <f t="shared" si="141"/>
        <v>73247.849253629567</v>
      </c>
      <c r="BW133" s="30">
        <f>SUM(BW120:BW132)</f>
        <v>1661274</v>
      </c>
      <c r="BX133" s="12">
        <f>SUM(BX120:BX132)</f>
        <v>1714585.9500000002</v>
      </c>
      <c r="BY133" s="39">
        <f t="shared" si="72"/>
        <v>34247.881158554694</v>
      </c>
      <c r="BZ133" s="51">
        <f t="shared" si="73"/>
        <v>2.1049373923352592E-2</v>
      </c>
      <c r="CB133" s="39"/>
      <c r="CC133" s="13">
        <f>CB133/BR133</f>
        <v>0</v>
      </c>
    </row>
    <row r="134" spans="1:81" s="13" customFormat="1" ht="18" customHeight="1">
      <c r="A134" s="64"/>
      <c r="B134" s="326"/>
      <c r="C134" s="326"/>
      <c r="D134" s="326"/>
      <c r="E134" s="355"/>
      <c r="F134" s="10"/>
      <c r="G134" s="10"/>
      <c r="H134" s="14"/>
      <c r="I134" s="10"/>
      <c r="J134" s="10"/>
      <c r="K134" s="14"/>
      <c r="L134" s="10"/>
      <c r="M134" s="10"/>
      <c r="N134" s="14"/>
      <c r="O134" s="10"/>
      <c r="P134" s="12"/>
      <c r="Q134" s="36"/>
      <c r="R134" s="52"/>
      <c r="S134" s="12"/>
      <c r="T134" s="36"/>
      <c r="U134" s="52"/>
      <c r="V134" s="12"/>
      <c r="W134" s="45"/>
      <c r="X134" s="52"/>
      <c r="Y134" s="12"/>
      <c r="Z134" s="36"/>
      <c r="AA134" s="52"/>
      <c r="AB134" s="12"/>
      <c r="AC134" s="36"/>
      <c r="AD134" s="52" t="e">
        <f>'FY 2013 by Agency'!AD134*Inflator!#REF!</f>
        <v>#REF!</v>
      </c>
      <c r="AE134" s="12"/>
      <c r="AF134" s="52"/>
      <c r="AG134" s="52"/>
      <c r="AH134" s="58"/>
      <c r="AI134" s="12"/>
      <c r="AJ134" s="12"/>
      <c r="AK134" s="12"/>
      <c r="AL134" s="12"/>
      <c r="AM134" s="12"/>
      <c r="AN134" s="12"/>
      <c r="AO134" s="12"/>
      <c r="AP134" s="12"/>
      <c r="AQ134" s="12"/>
      <c r="AR134" s="12"/>
      <c r="AS134" s="12"/>
      <c r="AT134" s="12"/>
      <c r="AU134" s="36"/>
      <c r="AV134" s="12"/>
      <c r="AW134" s="36"/>
      <c r="AX134" s="241"/>
      <c r="AY134" s="241"/>
      <c r="AZ134" s="78">
        <f>+AZ133+AS133</f>
        <v>1513046.9065800004</v>
      </c>
      <c r="BA134" s="241"/>
      <c r="BB134" s="241"/>
      <c r="BC134" s="241"/>
      <c r="BD134" s="299"/>
      <c r="BE134" s="307"/>
      <c r="BI134" s="28"/>
      <c r="BK134" s="323"/>
      <c r="BL134" s="575"/>
      <c r="BM134" s="258"/>
      <c r="BN134" s="290"/>
      <c r="BP134" s="52"/>
      <c r="BQ134" s="50"/>
      <c r="BR134" s="52"/>
      <c r="BS134" s="52"/>
      <c r="BT134" s="50"/>
      <c r="BU134" s="258"/>
      <c r="BV134" s="258"/>
      <c r="BW134" s="39"/>
      <c r="BY134" s="39">
        <f t="shared" si="72"/>
        <v>0</v>
      </c>
      <c r="BZ134" s="51" t="e">
        <f t="shared" si="73"/>
        <v>#DIV/0!</v>
      </c>
      <c r="CB134" s="39"/>
    </row>
    <row r="135" spans="1:81" s="13" customFormat="1" ht="18" customHeight="1">
      <c r="A135" s="64"/>
      <c r="B135" s="326"/>
      <c r="C135" s="326"/>
      <c r="D135" s="326"/>
      <c r="E135" s="355"/>
      <c r="F135" s="10"/>
      <c r="G135" s="10"/>
      <c r="H135" s="14"/>
      <c r="I135" s="10"/>
      <c r="J135" s="10"/>
      <c r="K135" s="14"/>
      <c r="L135" s="10"/>
      <c r="M135" s="10"/>
      <c r="N135" s="14"/>
      <c r="O135" s="10"/>
      <c r="P135" s="12"/>
      <c r="Q135" s="36"/>
      <c r="R135" s="52"/>
      <c r="S135" s="12"/>
      <c r="T135" s="36"/>
      <c r="U135" s="52"/>
      <c r="V135" s="12"/>
      <c r="W135" s="45"/>
      <c r="X135" s="52"/>
      <c r="Y135" s="12"/>
      <c r="Z135" s="36"/>
      <c r="AA135" s="52"/>
      <c r="AB135" s="12"/>
      <c r="AC135" s="36"/>
      <c r="AD135" s="52" t="e">
        <f>'FY 2013 by Agency'!AD135*Inflator!#REF!</f>
        <v>#REF!</v>
      </c>
      <c r="AE135" s="12"/>
      <c r="AF135" s="52"/>
      <c r="AG135" s="52"/>
      <c r="AH135" s="58"/>
      <c r="AI135" s="12"/>
      <c r="AJ135" s="12"/>
      <c r="AK135" s="12"/>
      <c r="AL135" s="12"/>
      <c r="AM135" s="12"/>
      <c r="AN135" s="12"/>
      <c r="AO135" s="12"/>
      <c r="AP135" s="12"/>
      <c r="AQ135" s="12"/>
      <c r="AR135" s="12"/>
      <c r="AS135" s="12"/>
      <c r="AT135" s="12" t="e">
        <f>AR133-AD135</f>
        <v>#REF!</v>
      </c>
      <c r="AU135" s="36" t="e">
        <f>AT135/AD135</f>
        <v>#REF!</v>
      </c>
      <c r="AV135" s="12">
        <f>AS133-AF135</f>
        <v>1502121.8110200004</v>
      </c>
      <c r="AW135" s="97" t="e">
        <f>AV135/AF135</f>
        <v>#DIV/0!</v>
      </c>
      <c r="AX135" s="241"/>
      <c r="AY135" s="241"/>
      <c r="AZ135" s="78">
        <f>+AZ134-AF135</f>
        <v>1513046.9065800004</v>
      </c>
      <c r="BA135" s="241"/>
      <c r="BB135" s="241"/>
      <c r="BC135" s="241"/>
      <c r="BD135" s="299"/>
      <c r="BE135" s="307"/>
      <c r="BI135" s="28"/>
      <c r="BK135" s="323"/>
      <c r="BL135" s="575"/>
      <c r="BM135" s="258"/>
      <c r="BN135" s="290"/>
      <c r="BP135" s="52"/>
      <c r="BQ135" s="50"/>
      <c r="BR135" s="52"/>
      <c r="BS135" s="52"/>
      <c r="BT135" s="50"/>
      <c r="BU135" s="258"/>
      <c r="BV135" s="258"/>
      <c r="BW135" s="39"/>
      <c r="BY135" s="39">
        <f t="shared" si="72"/>
        <v>0</v>
      </c>
      <c r="BZ135" s="51" t="e">
        <f t="shared" si="73"/>
        <v>#DIV/0!</v>
      </c>
      <c r="CB135" s="39"/>
    </row>
    <row r="136" spans="1:81" s="13" customFormat="1" ht="19.5" customHeight="1">
      <c r="A136" s="64"/>
      <c r="B136" s="326"/>
      <c r="C136" s="326"/>
      <c r="D136" s="326"/>
      <c r="E136" s="355"/>
      <c r="F136" s="10"/>
      <c r="G136" s="10"/>
      <c r="H136" s="14"/>
      <c r="I136" s="10"/>
      <c r="J136" s="10"/>
      <c r="K136" s="14"/>
      <c r="L136" s="10"/>
      <c r="M136" s="10"/>
      <c r="N136" s="14"/>
      <c r="O136" s="10"/>
      <c r="P136" s="12"/>
      <c r="Q136" s="36"/>
      <c r="R136" s="52"/>
      <c r="S136" s="12"/>
      <c r="T136" s="36"/>
      <c r="U136" s="52"/>
      <c r="V136" s="12"/>
      <c r="W136" s="36"/>
      <c r="X136" s="52"/>
      <c r="Y136" s="58"/>
      <c r="Z136" s="58"/>
      <c r="AA136" s="52"/>
      <c r="AC136" s="28"/>
      <c r="AD136" s="52" t="e">
        <f>'FY 2013 by Agency'!AD136*Inflator!#REF!</f>
        <v>#REF!</v>
      </c>
      <c r="AE136" s="180"/>
      <c r="AF136" s="163"/>
      <c r="AG136" s="163"/>
      <c r="AH136" s="163"/>
      <c r="AI136" s="163"/>
      <c r="AM136" s="84"/>
      <c r="AN136" s="172"/>
      <c r="AO136" s="97"/>
      <c r="AP136" s="12"/>
      <c r="AQ136" s="12"/>
      <c r="AR136" s="12"/>
      <c r="AS136" s="52"/>
      <c r="AT136" s="52"/>
      <c r="AU136" s="30"/>
      <c r="AV136" s="97"/>
      <c r="AW136" s="136"/>
      <c r="AZ136" s="36" t="e">
        <f>+AZ135/AF135</f>
        <v>#DIV/0!</v>
      </c>
      <c r="BD136" s="295"/>
      <c r="BE136" s="304"/>
      <c r="BI136" s="28"/>
      <c r="BK136" s="323"/>
      <c r="BL136" s="575"/>
      <c r="BM136" s="258"/>
      <c r="BN136" s="290"/>
      <c r="BP136" s="52"/>
      <c r="BQ136" s="50"/>
      <c r="BR136" s="52"/>
      <c r="BS136" s="52"/>
      <c r="BT136" s="50"/>
      <c r="BU136" s="258"/>
      <c r="BV136" s="258"/>
      <c r="BW136" s="39"/>
      <c r="BX136" s="12"/>
      <c r="BY136" s="39">
        <f t="shared" ref="BY136:BY199" si="148">BW136-BR136</f>
        <v>0</v>
      </c>
      <c r="BZ136" s="51" t="e">
        <f t="shared" ref="BZ136:BZ199" si="149">BY136/BR136</f>
        <v>#DIV/0!</v>
      </c>
      <c r="CB136" s="39"/>
    </row>
    <row r="137" spans="1:81" ht="18" customHeight="1">
      <c r="A137" s="73" t="s">
        <v>122</v>
      </c>
      <c r="B137" s="326"/>
      <c r="C137" s="326"/>
      <c r="D137" s="326"/>
      <c r="E137" s="355"/>
      <c r="F137" s="10"/>
      <c r="G137" s="10"/>
      <c r="H137" s="14"/>
      <c r="I137" s="10"/>
      <c r="J137" s="10"/>
      <c r="K137" s="14"/>
      <c r="L137" s="10"/>
      <c r="M137" s="10"/>
      <c r="N137" s="14"/>
      <c r="O137" s="10"/>
      <c r="Q137" s="58"/>
      <c r="R137" s="52"/>
      <c r="S137" s="52"/>
      <c r="T137" s="58"/>
      <c r="U137" s="52"/>
      <c r="V137" s="52"/>
      <c r="W137" s="58"/>
      <c r="X137" s="52"/>
      <c r="Y137" s="52"/>
      <c r="Z137" s="52"/>
      <c r="AA137" s="52"/>
      <c r="AD137" s="52" t="e">
        <f>'FY 2013 by Agency'!AD137*Inflator!#REF!</f>
        <v>#REF!</v>
      </c>
      <c r="AI137" s="157"/>
      <c r="AM137" s="84"/>
      <c r="AN137" s="172"/>
      <c r="AZ137" s="65"/>
      <c r="BD137" s="292"/>
      <c r="BI137" s="65"/>
      <c r="BL137" s="576"/>
      <c r="BN137" s="51"/>
      <c r="BP137" s="52"/>
      <c r="BR137" s="52"/>
      <c r="BS137" s="52"/>
      <c r="BW137" s="39"/>
      <c r="BY137" s="39">
        <f t="shared" si="148"/>
        <v>0</v>
      </c>
      <c r="BZ137" s="51" t="e">
        <f t="shared" si="149"/>
        <v>#DIV/0!</v>
      </c>
      <c r="CB137" s="39"/>
    </row>
    <row r="138" spans="1:81" ht="18" customHeight="1">
      <c r="A138" s="73" t="s">
        <v>183</v>
      </c>
      <c r="B138" s="326"/>
      <c r="C138" s="326"/>
      <c r="D138" s="326"/>
      <c r="E138" s="355"/>
      <c r="F138" s="10"/>
      <c r="G138" s="10"/>
      <c r="H138" s="14"/>
      <c r="I138" s="10"/>
      <c r="J138" s="10"/>
      <c r="K138" s="14"/>
      <c r="L138" s="10"/>
      <c r="M138" s="10"/>
      <c r="N138" s="14"/>
      <c r="O138" s="10"/>
      <c r="Q138" s="58"/>
      <c r="R138" s="52"/>
      <c r="S138" s="52"/>
      <c r="T138" s="58"/>
      <c r="U138" s="52"/>
      <c r="V138" s="52"/>
      <c r="W138" s="58"/>
      <c r="X138" s="52"/>
      <c r="AA138" s="52"/>
      <c r="AD138" s="52"/>
      <c r="AI138" s="157"/>
      <c r="AM138" s="84"/>
      <c r="AN138" s="172"/>
      <c r="AZ138" s="65"/>
      <c r="BD138" s="292"/>
      <c r="BI138" s="65"/>
      <c r="BL138" s="576"/>
      <c r="BN138" s="51"/>
      <c r="BP138" s="52"/>
      <c r="BR138" s="52"/>
      <c r="BS138" s="52"/>
      <c r="BW138" s="39"/>
      <c r="BY138" s="39">
        <f t="shared" si="148"/>
        <v>0</v>
      </c>
      <c r="BZ138" s="51" t="e">
        <f t="shared" si="149"/>
        <v>#DIV/0!</v>
      </c>
      <c r="CB138" s="39"/>
    </row>
    <row r="139" spans="1:81" ht="18" customHeight="1">
      <c r="A139" s="73" t="s">
        <v>135</v>
      </c>
      <c r="B139" s="326"/>
      <c r="C139" s="326"/>
      <c r="D139" s="326"/>
      <c r="E139" s="355"/>
      <c r="F139" s="10"/>
      <c r="G139" s="10"/>
      <c r="H139" s="14"/>
      <c r="I139" s="10"/>
      <c r="J139" s="10"/>
      <c r="K139" s="14"/>
      <c r="L139" s="10"/>
      <c r="M139" s="10"/>
      <c r="N139" s="14"/>
      <c r="O139" s="10"/>
      <c r="P139" s="63"/>
      <c r="Q139" s="72"/>
      <c r="R139" s="52"/>
      <c r="S139" s="52"/>
      <c r="T139" s="58"/>
      <c r="U139" s="52"/>
      <c r="V139" s="52"/>
      <c r="W139" s="58"/>
      <c r="X139" s="52"/>
      <c r="AA139" s="52"/>
      <c r="AD139" s="52"/>
      <c r="AI139" s="157"/>
      <c r="AM139" s="84"/>
      <c r="AN139" s="172"/>
      <c r="AZ139" s="65"/>
      <c r="BD139" s="292"/>
      <c r="BI139" s="65"/>
      <c r="BL139" s="576"/>
      <c r="BN139" s="51"/>
      <c r="BP139" s="52"/>
      <c r="BR139" s="52"/>
      <c r="BS139" s="52"/>
      <c r="BW139" s="39"/>
      <c r="BY139" s="39">
        <f t="shared" si="148"/>
        <v>0</v>
      </c>
      <c r="BZ139" s="51" t="e">
        <f t="shared" si="149"/>
        <v>#DIV/0!</v>
      </c>
      <c r="CB139" s="39"/>
    </row>
    <row r="140" spans="1:81" ht="18" customHeight="1">
      <c r="A140" s="73" t="s">
        <v>179</v>
      </c>
      <c r="B140" s="326"/>
      <c r="C140" s="326"/>
      <c r="D140" s="326"/>
      <c r="E140" s="355"/>
      <c r="F140" s="10"/>
      <c r="G140" s="10"/>
      <c r="H140" s="14"/>
      <c r="I140" s="10"/>
      <c r="J140" s="10"/>
      <c r="K140" s="14"/>
      <c r="L140" s="10"/>
      <c r="M140" s="10"/>
      <c r="N140" s="14"/>
      <c r="O140" s="10"/>
      <c r="P140" s="63"/>
      <c r="Q140" s="72"/>
      <c r="R140" s="52"/>
      <c r="S140" s="52"/>
      <c r="T140" s="58"/>
      <c r="U140" s="52"/>
      <c r="V140" s="52"/>
      <c r="W140" s="58"/>
      <c r="X140" s="52"/>
      <c r="AA140" s="52"/>
      <c r="AD140" s="52"/>
      <c r="AI140" s="157"/>
      <c r="AM140" s="84"/>
      <c r="AN140" s="172"/>
      <c r="AZ140" s="65"/>
      <c r="BD140" s="292"/>
      <c r="BI140" s="65"/>
      <c r="BL140" s="576"/>
      <c r="BN140" s="51"/>
      <c r="BP140" s="52"/>
      <c r="BR140" s="52"/>
      <c r="BS140" s="52"/>
      <c r="BW140" s="39"/>
      <c r="BY140" s="39">
        <f t="shared" si="148"/>
        <v>0</v>
      </c>
      <c r="BZ140" s="51" t="e">
        <f t="shared" si="149"/>
        <v>#DIV/0!</v>
      </c>
      <c r="CB140" s="39"/>
    </row>
    <row r="141" spans="1:81" ht="18" customHeight="1">
      <c r="A141" s="73" t="s">
        <v>181</v>
      </c>
      <c r="B141" s="326"/>
      <c r="C141" s="326"/>
      <c r="D141" s="326"/>
      <c r="E141" s="355"/>
      <c r="F141" s="10"/>
      <c r="G141" s="10"/>
      <c r="H141" s="14"/>
      <c r="I141" s="10"/>
      <c r="J141" s="10"/>
      <c r="K141" s="14"/>
      <c r="L141" s="10"/>
      <c r="M141" s="10"/>
      <c r="N141" s="14"/>
      <c r="O141" s="10"/>
      <c r="P141" s="63"/>
      <c r="Q141" s="72"/>
      <c r="R141" s="52"/>
      <c r="S141" s="52"/>
      <c r="T141" s="58"/>
      <c r="U141" s="52"/>
      <c r="V141" s="52"/>
      <c r="W141" s="58"/>
      <c r="X141" s="52"/>
      <c r="AA141" s="52"/>
      <c r="AD141" s="52"/>
      <c r="AI141" s="157"/>
      <c r="AM141" s="84"/>
      <c r="AN141" s="172"/>
      <c r="AZ141" s="65"/>
      <c r="BD141" s="292"/>
      <c r="BI141" s="65"/>
      <c r="BL141" s="576"/>
      <c r="BN141" s="51"/>
      <c r="BP141" s="52"/>
      <c r="BR141" s="52"/>
      <c r="BS141" s="52"/>
      <c r="BW141" s="39"/>
      <c r="BY141" s="39">
        <f t="shared" si="148"/>
        <v>0</v>
      </c>
      <c r="BZ141" s="51" t="e">
        <f t="shared" si="149"/>
        <v>#DIV/0!</v>
      </c>
      <c r="CB141" s="39"/>
    </row>
    <row r="142" spans="1:81" ht="18" customHeight="1">
      <c r="A142" s="73" t="s">
        <v>136</v>
      </c>
      <c r="B142" s="326"/>
      <c r="C142" s="326"/>
      <c r="D142" s="326"/>
      <c r="E142" s="355"/>
      <c r="F142" s="10"/>
      <c r="G142" s="10"/>
      <c r="H142" s="14"/>
      <c r="I142" s="10"/>
      <c r="J142" s="10"/>
      <c r="K142" s="14"/>
      <c r="L142" s="10"/>
      <c r="M142" s="10"/>
      <c r="N142" s="14"/>
      <c r="O142" s="10"/>
      <c r="P142" s="63"/>
      <c r="Q142" s="72"/>
      <c r="R142" s="52"/>
      <c r="S142" s="52"/>
      <c r="T142" s="58"/>
      <c r="U142" s="52"/>
      <c r="V142" s="52"/>
      <c r="W142" s="58"/>
      <c r="X142" s="52"/>
      <c r="AA142" s="52"/>
      <c r="AD142" s="52"/>
      <c r="AI142" s="157"/>
      <c r="AM142" s="84"/>
      <c r="AN142" s="172"/>
      <c r="AZ142" s="65"/>
      <c r="BD142" s="292"/>
      <c r="BI142" s="65"/>
      <c r="BL142" s="576"/>
      <c r="BN142" s="51"/>
      <c r="BP142" s="52"/>
      <c r="BR142" s="52"/>
      <c r="BS142" s="52"/>
      <c r="BW142" s="39"/>
      <c r="BY142" s="39">
        <f t="shared" si="148"/>
        <v>0</v>
      </c>
      <c r="BZ142" s="51" t="e">
        <f t="shared" si="149"/>
        <v>#DIV/0!</v>
      </c>
      <c r="CB142" s="39"/>
    </row>
    <row r="143" spans="1:81" ht="18" customHeight="1">
      <c r="A143" s="73" t="s">
        <v>185</v>
      </c>
      <c r="B143" s="326"/>
      <c r="C143" s="326"/>
      <c r="D143" s="326"/>
      <c r="E143" s="355"/>
      <c r="F143" s="10"/>
      <c r="G143" s="10"/>
      <c r="H143" s="14"/>
      <c r="I143" s="10"/>
      <c r="J143" s="10"/>
      <c r="K143" s="14"/>
      <c r="L143" s="10"/>
      <c r="M143" s="10"/>
      <c r="N143" s="14"/>
      <c r="O143" s="10"/>
      <c r="P143" s="63"/>
      <c r="Q143" s="72"/>
      <c r="R143" s="52"/>
      <c r="S143" s="52"/>
      <c r="T143" s="58"/>
      <c r="U143" s="52"/>
      <c r="V143" s="52"/>
      <c r="W143" s="58"/>
      <c r="X143" s="52"/>
      <c r="AA143" s="52"/>
      <c r="AD143" s="52"/>
      <c r="AI143" s="157"/>
      <c r="AM143" s="84"/>
      <c r="AN143" s="172"/>
      <c r="AZ143" s="65"/>
      <c r="BD143" s="292"/>
      <c r="BI143" s="65"/>
      <c r="BL143" s="576"/>
      <c r="BN143" s="51"/>
      <c r="BP143" s="52"/>
      <c r="BR143" s="52"/>
      <c r="BS143" s="52"/>
      <c r="BW143" s="39"/>
      <c r="BY143" s="39">
        <f t="shared" si="148"/>
        <v>0</v>
      </c>
      <c r="BZ143" s="51" t="e">
        <f t="shared" si="149"/>
        <v>#DIV/0!</v>
      </c>
      <c r="CB143" s="39"/>
    </row>
    <row r="144" spans="1:81" ht="18" customHeight="1">
      <c r="A144" s="73"/>
      <c r="B144" s="326"/>
      <c r="C144" s="326"/>
      <c r="D144" s="326"/>
      <c r="E144" s="355"/>
      <c r="F144" s="10"/>
      <c r="G144" s="10"/>
      <c r="H144" s="14"/>
      <c r="I144" s="10"/>
      <c r="J144" s="10"/>
      <c r="K144" s="14"/>
      <c r="L144" s="10"/>
      <c r="M144" s="10"/>
      <c r="N144" s="14"/>
      <c r="O144" s="10"/>
      <c r="P144" s="63"/>
      <c r="Q144" s="72"/>
      <c r="R144" s="52"/>
      <c r="S144" s="52"/>
      <c r="T144" s="58"/>
      <c r="U144" s="52"/>
      <c r="V144" s="52"/>
      <c r="W144" s="58"/>
      <c r="X144" s="258">
        <f>618966/X163</f>
        <v>1.0000002832042367</v>
      </c>
      <c r="AA144" s="52"/>
      <c r="AD144" s="52"/>
      <c r="AI144" s="157"/>
      <c r="AM144" s="84"/>
      <c r="AN144" s="172"/>
      <c r="AZ144" s="65"/>
      <c r="BD144" s="292"/>
      <c r="BI144" s="65"/>
      <c r="BL144" s="576"/>
      <c r="BN144" s="51"/>
      <c r="BP144" s="52"/>
      <c r="BR144" s="52"/>
      <c r="BS144" s="52"/>
      <c r="BU144" s="365"/>
      <c r="BV144" s="258"/>
      <c r="BW144" s="39"/>
      <c r="BY144" s="39">
        <f t="shared" si="148"/>
        <v>0</v>
      </c>
      <c r="BZ144" s="51" t="e">
        <f t="shared" si="149"/>
        <v>#DIV/0!</v>
      </c>
      <c r="CB144" s="39"/>
    </row>
    <row r="145" spans="1:80" s="109" customFormat="1" ht="18" customHeight="1">
      <c r="A145" s="116" t="s">
        <v>68</v>
      </c>
      <c r="B145" s="358"/>
      <c r="C145" s="358"/>
      <c r="D145" s="358"/>
      <c r="E145" s="361"/>
      <c r="F145" s="362"/>
      <c r="G145" s="362"/>
      <c r="H145" s="364"/>
      <c r="I145" s="362"/>
      <c r="J145" s="362"/>
      <c r="K145" s="364"/>
      <c r="L145" s="362"/>
      <c r="M145" s="362"/>
      <c r="N145" s="364"/>
      <c r="O145" s="362"/>
      <c r="P145" s="105"/>
      <c r="Q145" s="117"/>
      <c r="R145" s="107"/>
      <c r="S145" s="107"/>
      <c r="T145" s="125"/>
      <c r="U145" s="107"/>
      <c r="V145" s="107"/>
      <c r="W145" s="125"/>
      <c r="X145" s="107"/>
      <c r="AA145" s="107"/>
      <c r="AC145" s="110"/>
      <c r="AD145" s="107"/>
      <c r="AE145" s="175"/>
      <c r="AF145" s="158"/>
      <c r="AG145" s="158"/>
      <c r="AH145" s="158"/>
      <c r="AI145" s="158"/>
      <c r="AM145" s="123"/>
      <c r="AN145" s="170"/>
      <c r="AO145" s="113"/>
      <c r="AP145" s="107"/>
      <c r="AQ145" s="107"/>
      <c r="AR145" s="107"/>
      <c r="AS145" s="107"/>
      <c r="AT145" s="107"/>
      <c r="AU145" s="200"/>
      <c r="AV145" s="114"/>
      <c r="AW145" s="107"/>
      <c r="AY145" s="248"/>
      <c r="AZ145" s="289"/>
      <c r="BA145" s="248"/>
      <c r="BB145" s="248"/>
      <c r="BC145" s="248"/>
      <c r="BD145" s="293"/>
      <c r="BE145" s="302"/>
      <c r="BI145" s="110"/>
      <c r="BK145" s="320"/>
      <c r="BL145" s="585"/>
      <c r="BM145" s="107"/>
      <c r="BN145" s="108"/>
      <c r="BP145" s="107"/>
      <c r="BR145" s="107"/>
      <c r="BS145" s="107"/>
      <c r="BU145" s="107"/>
      <c r="BV145" s="107"/>
      <c r="BW145" s="562"/>
      <c r="BY145" s="39">
        <f t="shared" si="148"/>
        <v>0</v>
      </c>
      <c r="BZ145" s="51" t="e">
        <f t="shared" si="149"/>
        <v>#DIV/0!</v>
      </c>
      <c r="CB145" s="39"/>
    </row>
    <row r="146" spans="1:80" ht="18" customHeight="1">
      <c r="A146" s="59" t="s">
        <v>70</v>
      </c>
      <c r="B146" s="326">
        <f>'FY 2013 by Agency'!B146*Inflator!$E$2</f>
        <v>138159.59090909091</v>
      </c>
      <c r="C146" s="326">
        <f>'FY 2013 by Agency'!C146*Inflator!$E$3</f>
        <v>134093.64064914992</v>
      </c>
      <c r="D146" s="326">
        <f t="shared" ref="D146:D203" si="150">C146-B146</f>
        <v>-4065.9502599409898</v>
      </c>
      <c r="E146" s="355">
        <f t="shared" ref="E146:E201" si="151">(C146-B146)/B146</f>
        <v>-2.9429373908731297E-2</v>
      </c>
      <c r="F146" s="10">
        <f>'FY 2013 by Agency'!F146*Inflator!$E$4</f>
        <v>131572.57784545107</v>
      </c>
      <c r="G146" s="10">
        <f t="shared" ref="G146:G203" si="152">F146-C146</f>
        <v>-2521.0628036988492</v>
      </c>
      <c r="H146" s="14">
        <f t="shared" ref="H146:H202" si="153">(F146-C146)/C146</f>
        <v>-1.8800763343394474E-2</v>
      </c>
      <c r="I146" s="10">
        <f>'FY 2013 by Agency'!I146*Inflator!$E$5</f>
        <v>187034.05801413168</v>
      </c>
      <c r="J146" s="10">
        <f t="shared" ref="J146:J203" si="154">I146-F146</f>
        <v>55461.480168680602</v>
      </c>
      <c r="K146" s="14">
        <f t="shared" ref="K146:K202" si="155">(I146-F146)/F146</f>
        <v>0.42152765475057613</v>
      </c>
      <c r="L146" s="10">
        <f>'FY 2013 by Agency'!L146*Inflator!$E$6</f>
        <v>188932.99963649581</v>
      </c>
      <c r="M146" s="10">
        <f t="shared" ref="M146:M203" si="156">L146-I146</f>
        <v>1898.941622364131</v>
      </c>
      <c r="N146" s="14">
        <f t="shared" ref="N146:N202" si="157">(L146-I146)/I146</f>
        <v>1.0152918898977497E-2</v>
      </c>
      <c r="O146" s="10">
        <f>'FY 2013 by Agency'!O146*Inflator!$E$7</f>
        <v>199636.38718760997</v>
      </c>
      <c r="P146" s="52">
        <f>O146-L146</f>
        <v>10703.387551114167</v>
      </c>
      <c r="Q146" s="58">
        <f>P146/L146</f>
        <v>5.6651763173756413E-2</v>
      </c>
      <c r="R146" s="52">
        <f>'FY 2013 by Agency'!R146*Inflator!$E$8</f>
        <v>73844.791581805839</v>
      </c>
      <c r="S146" s="52">
        <f t="shared" ref="S146:S166" si="158">R146-O146</f>
        <v>-125791.59560580413</v>
      </c>
      <c r="T146" s="58">
        <f>S146/O146</f>
        <v>-0.6301035466424787</v>
      </c>
      <c r="U146" s="52">
        <f>'FY 2013 by Agency'!U146*Inflator!$E$9</f>
        <v>166738.59814323607</v>
      </c>
      <c r="V146" s="52">
        <f>U146-R146</f>
        <v>92893.806561430232</v>
      </c>
      <c r="W146" s="58">
        <f>V146/R146</f>
        <v>1.2579601698587197</v>
      </c>
      <c r="X146" s="52">
        <f>'FY 2013 by Agency'!X146*Inflator!$E$10</f>
        <v>151770.49920609719</v>
      </c>
      <c r="Y146" s="39">
        <f>X146-U146</f>
        <v>-14968.098937138886</v>
      </c>
      <c r="Z146" s="58">
        <f>Y146/U146</f>
        <v>-8.9769849955680964E-2</v>
      </c>
      <c r="AA146" s="52">
        <f>'FY 2013 by Agency'!AA146*Inflator!$E$11</f>
        <v>185847.54252946802</v>
      </c>
      <c r="AB146" s="39">
        <f t="shared" ref="AB146:AB164" si="159">AA146-X146</f>
        <v>34077.043323370832</v>
      </c>
      <c r="AC146" s="58">
        <f t="shared" ref="AC146:AC162" si="160">AB146/X146</f>
        <v>0.22453008655585835</v>
      </c>
      <c r="AD146" s="52" t="e">
        <f>'FY 2013 by Agency'!AD146*Inflator!#REF!</f>
        <v>#REF!</v>
      </c>
      <c r="AE146" s="52">
        <f>'FY 2013 by Agency'!AE146*Inflator!$B$8</f>
        <v>0</v>
      </c>
      <c r="AF146" s="52">
        <f>'FY 2013 by Agency'!AF146*Inflator!$E$12</f>
        <v>150860.76754385966</v>
      </c>
      <c r="AG146" s="52">
        <f t="shared" ref="AG146:AG166" si="161">AF146-AA146</f>
        <v>-34986.774985608354</v>
      </c>
      <c r="AH146" s="58">
        <f t="shared" ref="AH146:AH166" si="162">AG146/AA146</f>
        <v>-0.18825524679757788</v>
      </c>
      <c r="AI146" s="52">
        <f>'FY 2013 by Agency'!AI146*Inflator!$B$8</f>
        <v>0</v>
      </c>
      <c r="AJ146" s="52">
        <f>'FY 2013 by Agency'!AJ146*Inflator!$B$8</f>
        <v>0</v>
      </c>
      <c r="AK146" s="52">
        <f>'FY 2013 by Agency'!AK146</f>
        <v>137301</v>
      </c>
      <c r="AL146" s="52">
        <f>'FY 2013 by Agency'!AL146</f>
        <v>11399</v>
      </c>
      <c r="AM146" s="52">
        <f>'FY 2013 by Agency'!AM146</f>
        <v>148700</v>
      </c>
      <c r="AN146" s="52">
        <f>'FY 2013 by Agency'!AN146</f>
        <v>143133</v>
      </c>
      <c r="AO146" s="52">
        <f>'FY 2013 by Agency'!AO146</f>
        <v>145083</v>
      </c>
      <c r="AP146" s="52">
        <f>'FY 2013 by Agency'!AP146</f>
        <v>0</v>
      </c>
      <c r="AQ146" s="52">
        <f>'FY 2013 by Agency'!AQ146</f>
        <v>425</v>
      </c>
      <c r="AR146" s="52">
        <f>'FY 2013 by Agency'!AR146</f>
        <v>425</v>
      </c>
      <c r="AS146" s="52">
        <f>'FY 2013 by Agency'!AS146</f>
        <v>138580.23599000002</v>
      </c>
      <c r="AT146" s="52" t="e">
        <f t="shared" ref="AT146:AT166" si="163">AR146-AD146</f>
        <v>#REF!</v>
      </c>
      <c r="AU146" s="58" t="e">
        <f t="shared" ref="AU146:AU166" si="164">AT146/AD146</f>
        <v>#REF!</v>
      </c>
      <c r="AV146" s="52">
        <f t="shared" ref="AV146:AV166" si="165">AS146-AF146</f>
        <v>-12280.531553859648</v>
      </c>
      <c r="AW146" s="58">
        <f t="shared" ref="AW146:AW166" si="166">AV146/AF146</f>
        <v>-8.1403082814684322E-2</v>
      </c>
      <c r="AX146" s="281" t="s">
        <v>318</v>
      </c>
      <c r="AY146" s="65">
        <v>145085</v>
      </c>
      <c r="AZ146" s="65">
        <f t="shared" ref="AZ146:AZ163" si="167">+AY146-AO146</f>
        <v>2</v>
      </c>
      <c r="BA146" s="65">
        <f t="shared" ref="BA146:BA163" si="168">+AZ146+AV146</f>
        <v>-12278.531553859648</v>
      </c>
      <c r="BB146" s="65">
        <f t="shared" ref="BB146:BB163" si="169">+AZ146+AS146</f>
        <v>138582.23599000002</v>
      </c>
      <c r="BC146" s="58">
        <f t="shared" ref="BC146:BC163" si="170">+BB146/AF146-1</f>
        <v>-8.1389825557462547E-2</v>
      </c>
      <c r="BD146" s="294">
        <v>11024.632</v>
      </c>
      <c r="BE146" s="51">
        <f>BD146/AY146</f>
        <v>7.5987400489368292E-2</v>
      </c>
      <c r="BF146" s="50">
        <v>5827</v>
      </c>
      <c r="BI146" s="65">
        <v>142325</v>
      </c>
      <c r="BJ146" s="65">
        <f>BI146-AY146</f>
        <v>-2760</v>
      </c>
      <c r="BK146" s="65">
        <f>BI146+AP146+AQ146</f>
        <v>142750</v>
      </c>
      <c r="BL146" s="576">
        <f>'FY 2013 by Agency'!AS146*Inflator!$E$13</f>
        <v>143697.17482270984</v>
      </c>
      <c r="BM146" s="52">
        <f>BL146-AF146</f>
        <v>-7163.5927211498201</v>
      </c>
      <c r="BN146" s="51">
        <f>BM146/AF146</f>
        <v>-4.7484795668079526E-2</v>
      </c>
      <c r="BO146" s="52">
        <f>'FY 2013 by Agency'!AX146*Inflator!$E$13</f>
        <v>162097.14678059204</v>
      </c>
      <c r="BP146" s="52">
        <f t="shared" ref="BP146:BP203" si="171">BO146-AF146</f>
        <v>11236.379236732377</v>
      </c>
      <c r="BQ146" s="58">
        <f t="shared" ref="BQ146:BQ203" si="172">BP146/AF146</f>
        <v>7.4481784891261615E-2</v>
      </c>
      <c r="BR146" s="52">
        <f>'FY 2013 by Agency'!BE146*Inflator!$E$14</f>
        <v>167465.89967154377</v>
      </c>
      <c r="BS146" s="52">
        <f t="shared" ref="BS146:BS203" si="173">BR146-BO146</f>
        <v>5368.7528909517277</v>
      </c>
      <c r="BT146" s="58">
        <f t="shared" ref="BT146:BT203" si="174">BS146/BO146</f>
        <v>3.3120588471669085E-2</v>
      </c>
      <c r="BU146" s="52">
        <f>'FY 2013 by Agency'!BL146*Inflator!$E$14</f>
        <v>167465.89967154377</v>
      </c>
      <c r="BV146" s="52">
        <f>BU146-BL146</f>
        <v>23768.724848833925</v>
      </c>
      <c r="BW146" s="39">
        <v>167135</v>
      </c>
      <c r="BX146" s="39">
        <f>'FY 2013 by Agency'!BV146*Inflator!E15</f>
        <v>189556</v>
      </c>
      <c r="BY146" s="39">
        <f t="shared" si="148"/>
        <v>-330.89967154376791</v>
      </c>
      <c r="BZ146" s="51">
        <f t="shared" si="149"/>
        <v>-1.9759226934723548E-3</v>
      </c>
      <c r="CB146" s="39"/>
    </row>
    <row r="147" spans="1:80" ht="18" customHeight="1">
      <c r="A147" s="59" t="s">
        <v>97</v>
      </c>
      <c r="B147" s="326">
        <f>'FY 2013 by Agency'!B147*Inflator!$E$2</f>
        <v>102866.72727272728</v>
      </c>
      <c r="C147" s="326">
        <f>'FY 2013 by Agency'!C147*Inflator!$E$3</f>
        <v>126777.69938176198</v>
      </c>
      <c r="D147" s="326">
        <f t="shared" si="150"/>
        <v>23910.972109034701</v>
      </c>
      <c r="E147" s="355">
        <f t="shared" si="151"/>
        <v>0.23244612464086956</v>
      </c>
      <c r="F147" s="10">
        <f>'FY 2013 by Agency'!F147*Inflator!$E$4</f>
        <v>197778.60449181576</v>
      </c>
      <c r="G147" s="10">
        <f t="shared" si="152"/>
        <v>71000.905110053776</v>
      </c>
      <c r="H147" s="14">
        <f t="shared" si="153"/>
        <v>0.56004254262613506</v>
      </c>
      <c r="I147" s="10">
        <f>'FY 2013 by Agency'!I147*Inflator!$E$5</f>
        <v>178508.09817776128</v>
      </c>
      <c r="J147" s="10">
        <f t="shared" si="154"/>
        <v>-19270.506314054481</v>
      </c>
      <c r="K147" s="14">
        <f t="shared" si="155"/>
        <v>-9.7434737005902522E-2</v>
      </c>
      <c r="L147" s="10">
        <f>'FY 2013 by Agency'!L147*Inflator!$E$6</f>
        <v>156933.00472555432</v>
      </c>
      <c r="M147" s="10">
        <f t="shared" si="156"/>
        <v>-21575.093452206958</v>
      </c>
      <c r="N147" s="14">
        <f t="shared" si="157"/>
        <v>-0.12086338755747725</v>
      </c>
      <c r="O147" s="10">
        <f>'FY 2013 by Agency'!O147*Inflator!$E$7</f>
        <v>190444.68356212598</v>
      </c>
      <c r="P147" s="52">
        <f t="shared" ref="P147:P164" si="175">O147-L147</f>
        <v>33511.678836571664</v>
      </c>
      <c r="Q147" s="58">
        <f>P147/L147</f>
        <v>0.21354130633754928</v>
      </c>
      <c r="R147" s="52">
        <f>'FY 2013 by Agency'!R147*Inflator!$E$8</f>
        <v>192188.84996605566</v>
      </c>
      <c r="S147" s="52">
        <f t="shared" si="158"/>
        <v>1744.1664039296738</v>
      </c>
      <c r="T147" s="58">
        <f>S147/O147</f>
        <v>9.1583885215714093E-3</v>
      </c>
      <c r="U147" s="52">
        <f>'FY 2013 by Agency'!U147*Inflator!$E$9</f>
        <v>205024.68435013262</v>
      </c>
      <c r="V147" s="52">
        <f t="shared" ref="V147:V164" si="176">U147-R147</f>
        <v>12835.834384076967</v>
      </c>
      <c r="W147" s="58">
        <f t="shared" ref="W147:W161" si="177">V147/R147</f>
        <v>6.6787612217587167E-2</v>
      </c>
      <c r="X147" s="52">
        <f>'FY 2013 by Agency'!X147*Inflator!$E$10</f>
        <v>297233.81835503341</v>
      </c>
      <c r="Y147" s="39">
        <f t="shared" ref="Y147:Y164" si="178">X147-U147</f>
        <v>92209.134004900785</v>
      </c>
      <c r="Z147" s="58">
        <f>Y147/U147</f>
        <v>0.44974649904803593</v>
      </c>
      <c r="AA147" s="52">
        <f>'FY 2013 by Agency'!AA147*Inflator!$E$11</f>
        <v>213876.98311564195</v>
      </c>
      <c r="AB147" s="39">
        <f t="shared" si="159"/>
        <v>-83356.835239391454</v>
      </c>
      <c r="AC147" s="58">
        <f t="shared" si="160"/>
        <v>-0.2804419621586437</v>
      </c>
      <c r="AD147" s="52" t="e">
        <f>'FY 2013 by Agency'!AD147*Inflator!#REF!</f>
        <v>#REF!</v>
      </c>
      <c r="AE147" s="52">
        <f>'FY 2013 by Agency'!AE147*Inflator!$B$8</f>
        <v>0</v>
      </c>
      <c r="AF147" s="52">
        <f>'FY 2013 by Agency'!AF147*Inflator!$E$12</f>
        <v>220750.77192982458</v>
      </c>
      <c r="AG147" s="52">
        <f t="shared" si="161"/>
        <v>6873.7888141826261</v>
      </c>
      <c r="AH147" s="58">
        <f t="shared" si="162"/>
        <v>3.2138983419576342E-2</v>
      </c>
      <c r="AI147" s="52">
        <f>'FY 2013 by Agency'!AI147*Inflator!$B$8</f>
        <v>0</v>
      </c>
      <c r="AJ147" s="52">
        <f>'FY 2013 by Agency'!AJ147*Inflator!$B$8</f>
        <v>0</v>
      </c>
      <c r="AK147" s="52">
        <f>'FY 2013 by Agency'!AK147</f>
        <v>195699</v>
      </c>
      <c r="AL147" s="52">
        <f>'FY 2013 by Agency'!AL147</f>
        <v>19805</v>
      </c>
      <c r="AM147" s="52">
        <f>'FY 2013 by Agency'!AM147</f>
        <v>215504</v>
      </c>
      <c r="AN147" s="52">
        <f>'FY 2013 by Agency'!AN147</f>
        <v>193830</v>
      </c>
      <c r="AO147" s="52">
        <f>'FY 2013 by Agency'!AO147</f>
        <v>194580</v>
      </c>
      <c r="AP147" s="52">
        <f>'FY 2013 by Agency'!AP147</f>
        <v>0</v>
      </c>
      <c r="AQ147" s="52">
        <f>'FY 2013 by Agency'!AQ147</f>
        <v>268</v>
      </c>
      <c r="AR147" s="52">
        <f>'FY 2013 by Agency'!AR147</f>
        <v>268</v>
      </c>
      <c r="AS147" s="52">
        <f>'FY 2013 by Agency'!AS147</f>
        <v>189655.9473</v>
      </c>
      <c r="AT147" s="52" t="e">
        <f t="shared" si="163"/>
        <v>#REF!</v>
      </c>
      <c r="AU147" s="58" t="e">
        <f t="shared" si="164"/>
        <v>#REF!</v>
      </c>
      <c r="AV147" s="52">
        <f t="shared" si="165"/>
        <v>-31094.824629824579</v>
      </c>
      <c r="AW147" s="58">
        <f t="shared" si="166"/>
        <v>-0.14085941515850939</v>
      </c>
      <c r="AX147" s="281" t="s">
        <v>319</v>
      </c>
      <c r="AY147" s="65">
        <v>196226</v>
      </c>
      <c r="AZ147" s="65">
        <f t="shared" si="167"/>
        <v>1646</v>
      </c>
      <c r="BA147" s="65">
        <f t="shared" si="168"/>
        <v>-29448.824629824579</v>
      </c>
      <c r="BB147" s="65">
        <f t="shared" si="169"/>
        <v>191301.9473</v>
      </c>
      <c r="BC147" s="58">
        <f t="shared" si="170"/>
        <v>-0.13340304259133551</v>
      </c>
      <c r="BD147" s="294">
        <v>13961.31</v>
      </c>
      <c r="BE147" s="51">
        <f>BD147/AY147</f>
        <v>7.1149134161629948E-2</v>
      </c>
      <c r="BI147" s="65">
        <v>192346</v>
      </c>
      <c r="BJ147" s="65">
        <f t="shared" ref="BJ147:BJ164" si="179">BI147-AY147</f>
        <v>-3880</v>
      </c>
      <c r="BK147" s="65">
        <f t="shared" ref="BK147:BK163" si="180">BI147+AP147+AQ147</f>
        <v>192614</v>
      </c>
      <c r="BL147" s="576">
        <f>'FY 2013 by Agency'!AS147*Inflator!$E$13</f>
        <v>196658.80650759843</v>
      </c>
      <c r="BM147" s="52">
        <f t="shared" ref="BM147:BM166" si="181">BL147-AF147</f>
        <v>-24091.965422226145</v>
      </c>
      <c r="BN147" s="51">
        <f t="shared" ref="BN147:BN166" si="182">BM147/AF147</f>
        <v>-0.10913649457083142</v>
      </c>
      <c r="BO147" s="52">
        <f>'FY 2013 by Agency'!AX147*Inflator!$E$13</f>
        <v>199448.18675617946</v>
      </c>
      <c r="BP147" s="52">
        <f t="shared" si="171"/>
        <v>-21302.585173645115</v>
      </c>
      <c r="BQ147" s="58">
        <f t="shared" si="172"/>
        <v>-9.6500614640736504E-2</v>
      </c>
      <c r="BR147" s="52">
        <f>'FY 2013 by Agency'!BE147*Inflator!$E$14</f>
        <v>195160.25918184535</v>
      </c>
      <c r="BS147" s="52">
        <f t="shared" si="173"/>
        <v>-4287.9275743341132</v>
      </c>
      <c r="BT147" s="58">
        <f t="shared" si="174"/>
        <v>-2.1498954911914038E-2</v>
      </c>
      <c r="BU147" s="52">
        <f>'FY 2013 by Agency'!BL147*Inflator!$E$14</f>
        <v>195160.25918184535</v>
      </c>
      <c r="BV147" s="52">
        <f t="shared" ref="BV147:BV166" si="183">BU147-BL147</f>
        <v>-1498.547325753083</v>
      </c>
      <c r="BW147" s="39">
        <v>192439</v>
      </c>
      <c r="BX147" s="39">
        <f>'FY 2013 by Agency'!BV147*Inflator!E15</f>
        <v>201082</v>
      </c>
      <c r="BY147" s="39">
        <f t="shared" si="148"/>
        <v>-2721.2591818453511</v>
      </c>
      <c r="BZ147" s="51">
        <f t="shared" si="149"/>
        <v>-1.3943715760849401E-2</v>
      </c>
      <c r="CB147" s="39"/>
    </row>
    <row r="148" spans="1:80" ht="19.5" customHeight="1">
      <c r="A148" s="59" t="s">
        <v>98</v>
      </c>
      <c r="B148" s="326">
        <f>'FY 2013 by Agency'!B148*Inflator!$E$2</f>
        <v>175039.00079744819</v>
      </c>
      <c r="C148" s="326">
        <f>'FY 2013 by Agency'!C148*Inflator!$E$3</f>
        <v>285841.65069551778</v>
      </c>
      <c r="D148" s="326">
        <f t="shared" si="150"/>
        <v>110802.64989806959</v>
      </c>
      <c r="E148" s="355">
        <f t="shared" si="151"/>
        <v>0.63301692418987421</v>
      </c>
      <c r="F148" s="10">
        <f>'FY 2013 by Agency'!F148*Inflator!$E$4</f>
        <v>230494.86410354017</v>
      </c>
      <c r="G148" s="10">
        <f t="shared" si="152"/>
        <v>-55346.786591977609</v>
      </c>
      <c r="H148" s="14">
        <f t="shared" si="153"/>
        <v>-0.19362743832925078</v>
      </c>
      <c r="I148" s="10">
        <f>'FY 2013 by Agency'!I148*Inflator!$E$5</f>
        <v>174565.4577910004</v>
      </c>
      <c r="J148" s="10">
        <f t="shared" si="154"/>
        <v>-55929.406312539766</v>
      </c>
      <c r="K148" s="14">
        <f t="shared" si="155"/>
        <v>-0.24264925177428606</v>
      </c>
      <c r="L148" s="10">
        <f>'FY 2013 by Agency'!L148*Inflator!$E$6</f>
        <v>170172.97637222827</v>
      </c>
      <c r="M148" s="10">
        <f t="shared" si="156"/>
        <v>-4392.4814187721349</v>
      </c>
      <c r="N148" s="14">
        <f t="shared" si="157"/>
        <v>-2.5162374471764403E-2</v>
      </c>
      <c r="O148" s="10">
        <f>'FY 2013 by Agency'!O148*Inflator!$E$7</f>
        <v>232200.25483984509</v>
      </c>
      <c r="P148" s="52">
        <f t="shared" si="175"/>
        <v>62027.278467616823</v>
      </c>
      <c r="Q148" s="58">
        <f>P148/L148</f>
        <v>0.36449546684745826</v>
      </c>
      <c r="R148" s="52">
        <f>'FY 2013 by Agency'!R148*Inflator!$E$8</f>
        <v>229617.60081466392</v>
      </c>
      <c r="S148" s="52">
        <f t="shared" si="158"/>
        <v>-2582.6540251811675</v>
      </c>
      <c r="T148" s="58">
        <f>S148/O148</f>
        <v>-1.1122528814460153E-2</v>
      </c>
      <c r="U148" s="52">
        <f>'FY 2013 by Agency'!U148*Inflator!$E$9</f>
        <v>221267.71021220158</v>
      </c>
      <c r="V148" s="52">
        <f t="shared" si="176"/>
        <v>-8349.8906024623429</v>
      </c>
      <c r="W148" s="58">
        <f t="shared" si="177"/>
        <v>-3.6364331709928303E-2</v>
      </c>
      <c r="X148" s="52">
        <f>'FY 2013 by Agency'!X148*Inflator!$E$10</f>
        <v>226838.35122261039</v>
      </c>
      <c r="Y148" s="39">
        <f t="shared" si="178"/>
        <v>5570.6410104088136</v>
      </c>
      <c r="Z148" s="58">
        <f>Y148/U148</f>
        <v>2.5176023221221124E-2</v>
      </c>
      <c r="AA148" s="52">
        <f>'FY 2013 by Agency'!AA148*Inflator!$E$11</f>
        <v>231267.51194647982</v>
      </c>
      <c r="AB148" s="39">
        <f t="shared" si="159"/>
        <v>4429.1607238694269</v>
      </c>
      <c r="AC148" s="58">
        <f t="shared" si="160"/>
        <v>1.9525625627223941E-2</v>
      </c>
      <c r="AD148" s="52" t="e">
        <f>'FY 2013 by Agency'!AD148*Inflator!#REF!</f>
        <v>#REF!</v>
      </c>
      <c r="AE148" s="52">
        <f>'FY 2013 by Agency'!AE148*Inflator!$B$8</f>
        <v>0</v>
      </c>
      <c r="AF148" s="52">
        <f>'FY 2013 by Agency'!AF148*Inflator!$E$12</f>
        <v>207786.84837092733</v>
      </c>
      <c r="AG148" s="52">
        <f t="shared" si="161"/>
        <v>-23480.663575552491</v>
      </c>
      <c r="AH148" s="58">
        <f t="shared" si="162"/>
        <v>-0.10153031603066846</v>
      </c>
      <c r="AI148" s="52">
        <f>'FY 2013 by Agency'!AI148*Inflator!$B$8</f>
        <v>0</v>
      </c>
      <c r="AJ148" s="52">
        <f>'FY 2013 by Agency'!AJ148*Inflator!$B$8</f>
        <v>0</v>
      </c>
      <c r="AK148" s="52">
        <f>'FY 2013 by Agency'!AK148</f>
        <v>189781</v>
      </c>
      <c r="AL148" s="52">
        <f>'FY 2013 by Agency'!AL148</f>
        <v>2420</v>
      </c>
      <c r="AM148" s="52">
        <f>'FY 2013 by Agency'!AM148</f>
        <v>192201</v>
      </c>
      <c r="AN148" s="52">
        <f>'FY 2013 by Agency'!AN148</f>
        <v>167805</v>
      </c>
      <c r="AO148" s="52">
        <f>'FY 2013 by Agency'!AO148</f>
        <v>172432</v>
      </c>
      <c r="AP148" s="52">
        <f>'FY 2013 by Agency'!AP148</f>
        <v>0</v>
      </c>
      <c r="AQ148" s="52">
        <f>'FY 2013 by Agency'!AQ148</f>
        <v>922</v>
      </c>
      <c r="AR148" s="52">
        <f>'FY 2013 by Agency'!AR148</f>
        <v>922</v>
      </c>
      <c r="AS148" s="52">
        <f>'FY 2013 by Agency'!AS148</f>
        <v>165964.76788000003</v>
      </c>
      <c r="AT148" s="52" t="e">
        <f t="shared" si="163"/>
        <v>#REF!</v>
      </c>
      <c r="AU148" s="58" t="e">
        <f t="shared" si="164"/>
        <v>#REF!</v>
      </c>
      <c r="AV148" s="52">
        <f t="shared" si="165"/>
        <v>-41822.080490927299</v>
      </c>
      <c r="AW148" s="58">
        <f t="shared" si="166"/>
        <v>-0.20127395366365675</v>
      </c>
      <c r="AX148" s="281" t="s">
        <v>320</v>
      </c>
      <c r="AY148" s="65">
        <v>173079</v>
      </c>
      <c r="AZ148" s="65">
        <f t="shared" si="167"/>
        <v>647</v>
      </c>
      <c r="BA148" s="65">
        <f t="shared" si="168"/>
        <v>-41175.080490927299</v>
      </c>
      <c r="BB148" s="65">
        <f t="shared" si="169"/>
        <v>166611.76788000003</v>
      </c>
      <c r="BC148" s="58">
        <f t="shared" si="170"/>
        <v>-0.19816018585268824</v>
      </c>
      <c r="BD148" s="294">
        <v>6205.1940000000004</v>
      </c>
      <c r="BE148" s="51">
        <f>BD148/AY148</f>
        <v>3.5851801778378663E-2</v>
      </c>
      <c r="BI148" s="65">
        <v>167274</v>
      </c>
      <c r="BJ148" s="65">
        <f t="shared" si="179"/>
        <v>-5805</v>
      </c>
      <c r="BK148" s="65">
        <f t="shared" si="180"/>
        <v>168196</v>
      </c>
      <c r="BL148" s="576">
        <f>'FY 2013 by Agency'!AS148*Inflator!$E$13</f>
        <v>172092.85360275867</v>
      </c>
      <c r="BM148" s="52">
        <f t="shared" si="181"/>
        <v>-35693.994768168661</v>
      </c>
      <c r="BN148" s="51">
        <f t="shared" si="182"/>
        <v>-0.17178178045441117</v>
      </c>
      <c r="BO148" s="52">
        <f>'FY 2013 by Agency'!AX148*Inflator!$E$13</f>
        <v>173450.42783033266</v>
      </c>
      <c r="BP148" s="52">
        <f t="shared" si="171"/>
        <v>-34336.42054059467</v>
      </c>
      <c r="BQ148" s="58">
        <f t="shared" si="172"/>
        <v>-0.16524828597091748</v>
      </c>
      <c r="BR148" s="52">
        <f>'FY 2013 by Agency'!BE148*Inflator!$E$14</f>
        <v>163962.37802329054</v>
      </c>
      <c r="BS148" s="52">
        <f t="shared" si="173"/>
        <v>-9488.0498070421163</v>
      </c>
      <c r="BT148" s="58">
        <f t="shared" si="174"/>
        <v>-5.4701795352867184E-2</v>
      </c>
      <c r="BU148" s="52">
        <f>'FY 2013 by Agency'!BL148*Inflator!$E$14</f>
        <v>163962.37802329054</v>
      </c>
      <c r="BV148" s="52">
        <f t="shared" si="183"/>
        <v>-8130.4755794681259</v>
      </c>
      <c r="BW148" s="39">
        <v>170917</v>
      </c>
      <c r="BX148" s="39">
        <f>'FY 2013 by Agency'!BV148*Inflator!E15</f>
        <v>179589</v>
      </c>
      <c r="BY148" s="39">
        <f t="shared" si="148"/>
        <v>6954.621976709459</v>
      </c>
      <c r="BZ148" s="51">
        <f t="shared" si="149"/>
        <v>4.2415961884387697E-2</v>
      </c>
      <c r="CB148" s="39"/>
    </row>
    <row r="149" spans="1:80" ht="16.5" customHeight="1">
      <c r="A149" s="353" t="s">
        <v>397</v>
      </c>
      <c r="B149" s="326">
        <f>'FY 2013 by Agency'!B149*Inflator!$E$2</f>
        <v>0</v>
      </c>
      <c r="C149" s="326">
        <f>'FY 2013 by Agency'!C149*Inflator!$E$3</f>
        <v>0</v>
      </c>
      <c r="D149" s="329" t="s">
        <v>78</v>
      </c>
      <c r="E149" s="329" t="s">
        <v>78</v>
      </c>
      <c r="F149" s="10">
        <f>'FY 2013 by Agency'!F149*Inflator!$E$4</f>
        <v>0</v>
      </c>
      <c r="G149" s="329" t="s">
        <v>78</v>
      </c>
      <c r="H149" s="329" t="s">
        <v>78</v>
      </c>
      <c r="I149" s="10">
        <f>'FY 2013 by Agency'!I149*Inflator!$E$5</f>
        <v>0</v>
      </c>
      <c r="J149" s="329" t="s">
        <v>78</v>
      </c>
      <c r="K149" s="329" t="s">
        <v>78</v>
      </c>
      <c r="L149" s="10">
        <f>'FY 2013 by Agency'!L149*Inflator!$E$6</f>
        <v>0</v>
      </c>
      <c r="M149" s="329" t="s">
        <v>78</v>
      </c>
      <c r="N149" s="329" t="s">
        <v>78</v>
      </c>
      <c r="O149" s="10">
        <f>'FY 2013 by Agency'!O149*Inflator!$E$7</f>
        <v>0</v>
      </c>
      <c r="P149" s="52">
        <f t="shared" si="175"/>
        <v>0</v>
      </c>
      <c r="Q149" s="60" t="s">
        <v>78</v>
      </c>
      <c r="R149" s="52">
        <f>'FY 2013 by Agency'!R149*Inflator!$E$8</f>
        <v>0</v>
      </c>
      <c r="S149" s="52">
        <f t="shared" si="158"/>
        <v>0</v>
      </c>
      <c r="T149" s="60" t="s">
        <v>78</v>
      </c>
      <c r="U149" s="52">
        <f>'FY 2013 by Agency'!U149*Inflator!$E$9</f>
        <v>0</v>
      </c>
      <c r="V149" s="52">
        <f t="shared" si="176"/>
        <v>0</v>
      </c>
      <c r="W149" s="60" t="s">
        <v>78</v>
      </c>
      <c r="X149" s="52">
        <f>'FY 2013 by Agency'!X149*Inflator!$E$10</f>
        <v>0</v>
      </c>
      <c r="Y149" s="39">
        <f t="shared" si="178"/>
        <v>0</v>
      </c>
      <c r="Z149" s="61" t="s">
        <v>127</v>
      </c>
      <c r="AA149" s="52">
        <f>'FY 2013 by Agency'!AA149*Inflator!$E$11</f>
        <v>0</v>
      </c>
      <c r="AB149" s="39">
        <f t="shared" si="159"/>
        <v>0</v>
      </c>
      <c r="AC149" s="58" t="e">
        <f t="shared" si="160"/>
        <v>#DIV/0!</v>
      </c>
      <c r="AD149" s="52" t="e">
        <f>'FY 2013 by Agency'!AD149*Inflator!#REF!</f>
        <v>#REF!</v>
      </c>
      <c r="AE149" s="52">
        <f>'FY 2013 by Agency'!AE149*Inflator!$B$8</f>
        <v>0</v>
      </c>
      <c r="AF149" s="52">
        <f>'FY 2013 by Agency'!AF149*Inflator!$E$12</f>
        <v>0</v>
      </c>
      <c r="AG149" s="52">
        <f t="shared" si="161"/>
        <v>0</v>
      </c>
      <c r="AH149" s="58" t="e">
        <f t="shared" si="162"/>
        <v>#DIV/0!</v>
      </c>
      <c r="AI149" s="52">
        <f>'FY 2013 by Agency'!AI149*Inflator!$B$8</f>
        <v>0</v>
      </c>
      <c r="AJ149" s="52">
        <f>'FY 2013 by Agency'!AJ149*Inflator!$B$8</f>
        <v>0</v>
      </c>
      <c r="AK149" s="52">
        <f>'FY 2013 by Agency'!AK149</f>
        <v>0</v>
      </c>
      <c r="AL149" s="52">
        <f>'FY 2013 by Agency'!AL149</f>
        <v>0</v>
      </c>
      <c r="AM149" s="52">
        <f>'FY 2013 by Agency'!AM149</f>
        <v>0</v>
      </c>
      <c r="AN149" s="52">
        <f>'FY 2013 by Agency'!AN149</f>
        <v>0</v>
      </c>
      <c r="AO149" s="52">
        <f>'FY 2013 by Agency'!AO149</f>
        <v>0</v>
      </c>
      <c r="AP149" s="52">
        <f>'FY 2013 by Agency'!AP149</f>
        <v>0</v>
      </c>
      <c r="AQ149" s="52">
        <f>'FY 2013 by Agency'!AQ149</f>
        <v>0</v>
      </c>
      <c r="AR149" s="52">
        <f>'FY 2013 by Agency'!AR149</f>
        <v>0</v>
      </c>
      <c r="AS149" s="52">
        <f>'FY 2013 by Agency'!AS149</f>
        <v>0</v>
      </c>
      <c r="AT149" s="52" t="e">
        <f t="shared" si="163"/>
        <v>#REF!</v>
      </c>
      <c r="AU149" s="58" t="e">
        <f t="shared" si="164"/>
        <v>#REF!</v>
      </c>
      <c r="AV149" s="52">
        <f t="shared" si="165"/>
        <v>0</v>
      </c>
      <c r="AW149" s="58" t="e">
        <f t="shared" si="166"/>
        <v>#DIV/0!</v>
      </c>
      <c r="AY149" s="65"/>
      <c r="AZ149" s="65">
        <f t="shared" si="167"/>
        <v>0</v>
      </c>
      <c r="BA149" s="65">
        <f t="shared" si="168"/>
        <v>0</v>
      </c>
      <c r="BB149" s="65">
        <f t="shared" si="169"/>
        <v>0</v>
      </c>
      <c r="BC149" s="58"/>
      <c r="BD149" s="294"/>
      <c r="BE149" s="303"/>
      <c r="BI149" s="65"/>
      <c r="BJ149" s="65">
        <f t="shared" si="179"/>
        <v>0</v>
      </c>
      <c r="BK149" s="65">
        <f t="shared" si="180"/>
        <v>0</v>
      </c>
      <c r="BL149" s="576">
        <f>'FY 2013 by Agency'!AS149*Inflator!$E$13</f>
        <v>0</v>
      </c>
      <c r="BM149" s="52">
        <f t="shared" si="181"/>
        <v>0</v>
      </c>
      <c r="BN149" s="51" t="e">
        <f t="shared" si="182"/>
        <v>#DIV/0!</v>
      </c>
      <c r="BO149" s="52">
        <f>'FY 2013 by Agency'!AX149*Inflator!$E$13</f>
        <v>0</v>
      </c>
      <c r="BP149" s="52">
        <f t="shared" si="171"/>
        <v>0</v>
      </c>
      <c r="BQ149" s="58" t="e">
        <f t="shared" si="172"/>
        <v>#DIV/0!</v>
      </c>
      <c r="BR149" s="52">
        <f>'FY 2013 by Agency'!BE149*Inflator!$E$14</f>
        <v>708.21260077635122</v>
      </c>
      <c r="BS149" s="52">
        <f t="shared" si="173"/>
        <v>708.21260077635122</v>
      </c>
      <c r="BT149" s="58" t="e">
        <f t="shared" si="174"/>
        <v>#DIV/0!</v>
      </c>
      <c r="BU149" s="52">
        <f>'FY 2013 by Agency'!BL149*Inflator!$E$14</f>
        <v>708.21260077635122</v>
      </c>
      <c r="BV149" s="52">
        <f t="shared" si="183"/>
        <v>708.21260077635122</v>
      </c>
      <c r="BW149" s="39">
        <v>700</v>
      </c>
      <c r="BX149" s="39">
        <f>'FY 2013 by Agency'!BV149*Inflator!E15</f>
        <v>700</v>
      </c>
      <c r="BY149" s="39">
        <f t="shared" si="148"/>
        <v>-8.2126007763512234</v>
      </c>
      <c r="BZ149" s="51">
        <f t="shared" si="149"/>
        <v>-1.1596236451241436E-2</v>
      </c>
      <c r="CB149" s="39"/>
    </row>
    <row r="150" spans="1:80" ht="18" customHeight="1">
      <c r="A150" s="59" t="s">
        <v>188</v>
      </c>
      <c r="B150" s="326">
        <f>'FY 2013 by Agency'!B150*Inflator!$E$2</f>
        <v>101841.09489633175</v>
      </c>
      <c r="C150" s="326">
        <f>'FY 2013 by Agency'!C150*Inflator!$E$3</f>
        <v>123450.60046367852</v>
      </c>
      <c r="D150" s="326">
        <f t="shared" si="150"/>
        <v>21609.505567346772</v>
      </c>
      <c r="E150" s="355">
        <f t="shared" si="151"/>
        <v>0.21218846467964605</v>
      </c>
      <c r="F150" s="10">
        <f>'FY 2013 by Agency'!F150*Inflator!$E$4</f>
        <v>97011.8005329273</v>
      </c>
      <c r="G150" s="10">
        <f t="shared" si="152"/>
        <v>-26438.799930751222</v>
      </c>
      <c r="H150" s="14">
        <f t="shared" si="153"/>
        <v>-0.21416501686867057</v>
      </c>
      <c r="I150" s="10">
        <f>'FY 2013 by Agency'!I150*Inflator!$E$5</f>
        <v>94978.459650427685</v>
      </c>
      <c r="J150" s="10">
        <f t="shared" si="154"/>
        <v>-2033.340882499615</v>
      </c>
      <c r="K150" s="14">
        <f t="shared" si="155"/>
        <v>-2.0959727283996421E-2</v>
      </c>
      <c r="L150" s="10">
        <f>'FY 2013 by Agency'!L150*Inflator!$E$6</f>
        <v>49245.678662304614</v>
      </c>
      <c r="M150" s="10">
        <f t="shared" si="156"/>
        <v>-45732.780988123071</v>
      </c>
      <c r="N150" s="14">
        <f t="shared" si="157"/>
        <v>-0.48150687173117507</v>
      </c>
      <c r="O150" s="10">
        <f>'FY 2013 by Agency'!O150*Inflator!$E$7</f>
        <v>102170.83914114747</v>
      </c>
      <c r="P150" s="52">
        <f t="shared" si="175"/>
        <v>52925.160478842859</v>
      </c>
      <c r="Q150" s="58">
        <f t="shared" ref="Q150:Q160" si="184">P150/L150</f>
        <v>1.0747168465637316</v>
      </c>
      <c r="R150" s="52">
        <f>'FY 2013 by Agency'!R150*Inflator!$E$8</f>
        <v>110032.45349626611</v>
      </c>
      <c r="S150" s="52">
        <f t="shared" si="158"/>
        <v>7861.6143551186397</v>
      </c>
      <c r="T150" s="58">
        <f t="shared" ref="T150:T161" si="185">S150/O150</f>
        <v>7.6945774559587773E-2</v>
      </c>
      <c r="U150" s="52">
        <f>'FY 2013 by Agency'!U150*Inflator!$E$9</f>
        <v>107029.11339522546</v>
      </c>
      <c r="V150" s="52">
        <f t="shared" si="176"/>
        <v>-3003.3401010406524</v>
      </c>
      <c r="W150" s="58">
        <f t="shared" si="177"/>
        <v>-2.7295038923607833E-2</v>
      </c>
      <c r="X150" s="52">
        <f>'FY 2013 by Agency'!X150*Inflator!$E$10</f>
        <v>111090.53667831059</v>
      </c>
      <c r="Y150" s="39">
        <f t="shared" si="178"/>
        <v>4061.4232830851251</v>
      </c>
      <c r="Z150" s="58">
        <f t="shared" ref="Z150:Z161" si="186">Y150/U150</f>
        <v>3.794690205540191E-2</v>
      </c>
      <c r="AA150" s="52">
        <f>'FY 2013 by Agency'!AA150*Inflator!$E$11</f>
        <v>118761.12838483596</v>
      </c>
      <c r="AB150" s="39">
        <f t="shared" si="159"/>
        <v>7670.5917065253743</v>
      </c>
      <c r="AC150" s="58">
        <f t="shared" si="160"/>
        <v>6.9048110990204511E-2</v>
      </c>
      <c r="AD150" s="52" t="e">
        <f>'FY 2013 by Agency'!AD150*Inflator!#REF!</f>
        <v>#REF!</v>
      </c>
      <c r="AE150" s="52">
        <f>'FY 2013 by Agency'!AE150*Inflator!$B$8</f>
        <v>0</v>
      </c>
      <c r="AF150" s="52">
        <f>'FY 2013 by Agency'!AF150*Inflator!$E$12</f>
        <v>102510.59147869675</v>
      </c>
      <c r="AG150" s="52">
        <f t="shared" si="161"/>
        <v>-16250.536906139212</v>
      </c>
      <c r="AH150" s="58">
        <f t="shared" si="162"/>
        <v>-0.13683380351086463</v>
      </c>
      <c r="AI150" s="52">
        <f>'FY 2013 by Agency'!AI150*Inflator!$B$8</f>
        <v>0</v>
      </c>
      <c r="AJ150" s="52">
        <f>'FY 2013 by Agency'!AJ150*Inflator!$B$8</f>
        <v>0</v>
      </c>
      <c r="AK150" s="52">
        <f>'FY 2013 by Agency'!AK150</f>
        <v>80559</v>
      </c>
      <c r="AL150" s="52">
        <f>'FY 2013 by Agency'!AL150</f>
        <v>0</v>
      </c>
      <c r="AM150" s="52">
        <f>'FY 2013 by Agency'!AM150</f>
        <v>80559</v>
      </c>
      <c r="AN150" s="52">
        <f>'FY 2013 by Agency'!AN150</f>
        <v>73448</v>
      </c>
      <c r="AO150" s="52">
        <f>'FY 2013 by Agency'!AO150</f>
        <v>88400</v>
      </c>
      <c r="AP150" s="52">
        <f>'FY 2013 by Agency'!AP150</f>
        <v>0</v>
      </c>
      <c r="AQ150" s="52">
        <f>'FY 2013 by Agency'!AQ150</f>
        <v>0</v>
      </c>
      <c r="AR150" s="52">
        <f>'FY 2013 by Agency'!AR150</f>
        <v>0</v>
      </c>
      <c r="AS150" s="52">
        <f>'FY 2013 by Agency'!AS150</f>
        <v>86601.127980000005</v>
      </c>
      <c r="AT150" s="52" t="e">
        <f t="shared" si="163"/>
        <v>#REF!</v>
      </c>
      <c r="AU150" s="58" t="e">
        <f t="shared" si="164"/>
        <v>#REF!</v>
      </c>
      <c r="AV150" s="52">
        <f t="shared" si="165"/>
        <v>-15909.463498696743</v>
      </c>
      <c r="AW150" s="58">
        <f t="shared" si="166"/>
        <v>-0.15519824116908906</v>
      </c>
      <c r="AX150" s="281" t="s">
        <v>321</v>
      </c>
      <c r="AY150" s="65">
        <v>89100</v>
      </c>
      <c r="AZ150" s="65">
        <f t="shared" si="167"/>
        <v>700</v>
      </c>
      <c r="BA150" s="65">
        <f t="shared" si="168"/>
        <v>-15209.463498696743</v>
      </c>
      <c r="BB150" s="65">
        <f t="shared" si="169"/>
        <v>87301.127980000005</v>
      </c>
      <c r="BC150" s="58">
        <f t="shared" si="170"/>
        <v>-0.14836967848202787</v>
      </c>
      <c r="BD150" s="294">
        <v>4393.7730000000001</v>
      </c>
      <c r="BE150" s="51">
        <f t="shared" ref="BE150:BE156" si="187">BD150/AY150</f>
        <v>4.9312828282828285E-2</v>
      </c>
      <c r="BF150" s="50">
        <v>2210</v>
      </c>
      <c r="BH150" s="50">
        <v>606</v>
      </c>
      <c r="BI150" s="219">
        <v>87102</v>
      </c>
      <c r="BJ150" s="65">
        <f t="shared" si="179"/>
        <v>-1998</v>
      </c>
      <c r="BK150" s="65">
        <f t="shared" si="180"/>
        <v>87102</v>
      </c>
      <c r="BL150" s="576">
        <f>'FY 2013 by Agency'!AS150*Inflator!$E$13</f>
        <v>89798.789403735151</v>
      </c>
      <c r="BM150" s="52">
        <f t="shared" si="181"/>
        <v>-12711.802074961597</v>
      </c>
      <c r="BN150" s="51">
        <f t="shared" si="182"/>
        <v>-0.12400476762055658</v>
      </c>
      <c r="BO150" s="52">
        <f>'FY 2013 by Agency'!AX150*Inflator!$E$13</f>
        <v>90318.155630149544</v>
      </c>
      <c r="BP150" s="52">
        <f t="shared" si="171"/>
        <v>-12192.435848547204</v>
      </c>
      <c r="BQ150" s="58">
        <f t="shared" si="172"/>
        <v>-0.11893830357110929</v>
      </c>
      <c r="BR150" s="52">
        <f>'FY 2013 by Agency'!BE150*Inflator!$E$14</f>
        <v>99873.196177963575</v>
      </c>
      <c r="BS150" s="52">
        <f t="shared" si="173"/>
        <v>9555.040547814031</v>
      </c>
      <c r="BT150" s="58">
        <f t="shared" si="174"/>
        <v>0.10579313185868928</v>
      </c>
      <c r="BU150" s="52">
        <f>'FY 2013 by Agency'!BL150*Inflator!$E$14</f>
        <v>99873.196177963575</v>
      </c>
      <c r="BV150" s="52">
        <f t="shared" si="183"/>
        <v>10074.406774228424</v>
      </c>
      <c r="BW150" s="39">
        <v>99377</v>
      </c>
      <c r="BX150" s="39">
        <f>'FY 2013 by Agency'!BV150*Inflator!E15</f>
        <v>117198</v>
      </c>
      <c r="BY150" s="39">
        <f t="shared" si="148"/>
        <v>-496.19617796357488</v>
      </c>
      <c r="BZ150" s="51">
        <f t="shared" si="149"/>
        <v>-4.968261725392319E-3</v>
      </c>
      <c r="CB150" s="39"/>
    </row>
    <row r="151" spans="1:80" ht="18" customHeight="1">
      <c r="A151" s="57" t="s">
        <v>86</v>
      </c>
      <c r="B151" s="326">
        <f>'FY 2013 by Agency'!B151*Inflator!$E$2</f>
        <v>36218.236044657096</v>
      </c>
      <c r="C151" s="326">
        <f>'FY 2013 by Agency'!C151*Inflator!$E$3</f>
        <v>35772.221792890268</v>
      </c>
      <c r="D151" s="326">
        <f t="shared" si="150"/>
        <v>-446.01425176682824</v>
      </c>
      <c r="E151" s="355">
        <f t="shared" si="151"/>
        <v>-1.2314632088014792E-2</v>
      </c>
      <c r="F151" s="10">
        <f>'FY 2013 by Agency'!F151*Inflator!$E$4</f>
        <v>39338.931861438905</v>
      </c>
      <c r="G151" s="10">
        <f t="shared" si="152"/>
        <v>3566.7100685486366</v>
      </c>
      <c r="H151" s="14">
        <f t="shared" si="153"/>
        <v>9.9706137605842543E-2</v>
      </c>
      <c r="I151" s="10">
        <f>'FY 2013 by Agency'!I151*Inflator!$E$5</f>
        <v>40568.758646336937</v>
      </c>
      <c r="J151" s="10">
        <f t="shared" si="154"/>
        <v>1229.8267848980322</v>
      </c>
      <c r="K151" s="14">
        <f t="shared" si="155"/>
        <v>3.1262332928351365E-2</v>
      </c>
      <c r="L151" s="10">
        <f>'FY 2013 by Agency'!L151*Inflator!$E$6</f>
        <v>40190.521264994546</v>
      </c>
      <c r="M151" s="10">
        <f t="shared" si="156"/>
        <v>-378.23738134239102</v>
      </c>
      <c r="N151" s="14">
        <f t="shared" si="157"/>
        <v>-9.3233659092140618E-3</v>
      </c>
      <c r="O151" s="10">
        <f>'FY 2013 by Agency'!O151*Inflator!$E$7</f>
        <v>42283.032734952474</v>
      </c>
      <c r="P151" s="52">
        <f t="shared" si="175"/>
        <v>2092.5114699579281</v>
      </c>
      <c r="Q151" s="58">
        <f t="shared" si="184"/>
        <v>5.2064800457825362E-2</v>
      </c>
      <c r="R151" s="52">
        <f>'FY 2013 by Agency'!R151*Inflator!$E$8</f>
        <v>50396.746096401897</v>
      </c>
      <c r="S151" s="52">
        <f t="shared" si="158"/>
        <v>8113.7133614494232</v>
      </c>
      <c r="T151" s="58">
        <f t="shared" si="185"/>
        <v>0.19189052526836314</v>
      </c>
      <c r="U151" s="52">
        <f>'FY 2013 by Agency'!U151*Inflator!$E$9</f>
        <v>53867.763925729443</v>
      </c>
      <c r="V151" s="52">
        <f t="shared" si="176"/>
        <v>3471.0178293275458</v>
      </c>
      <c r="W151" s="58">
        <f t="shared" si="177"/>
        <v>6.8873847979946487E-2</v>
      </c>
      <c r="X151" s="52">
        <f>'FY 2013 by Agency'!X151*Inflator!$E$10</f>
        <v>57216.751984757073</v>
      </c>
      <c r="Y151" s="39">
        <f t="shared" si="178"/>
        <v>3348.9880590276298</v>
      </c>
      <c r="Z151" s="58">
        <f t="shared" si="186"/>
        <v>6.2170541618268592E-2</v>
      </c>
      <c r="AA151" s="52">
        <f>'FY 2013 by Agency'!AA151*Inflator!$E$11</f>
        <v>51215.729850270793</v>
      </c>
      <c r="AB151" s="39">
        <f t="shared" si="159"/>
        <v>-6001.0221344862803</v>
      </c>
      <c r="AC151" s="58">
        <f t="shared" si="160"/>
        <v>-0.10488225784093778</v>
      </c>
      <c r="AD151" s="52" t="e">
        <f>'FY 2013 by Agency'!AD151*Inflator!#REF!</f>
        <v>#REF!</v>
      </c>
      <c r="AE151" s="52">
        <f>'FY 2013 by Agency'!AE151*Inflator!$B$8</f>
        <v>0</v>
      </c>
      <c r="AF151" s="52">
        <f>'FY 2013 by Agency'!AF151*Inflator!$E$12</f>
        <v>51640.657894736847</v>
      </c>
      <c r="AG151" s="52">
        <f t="shared" si="161"/>
        <v>424.92804446605442</v>
      </c>
      <c r="AH151" s="58">
        <f t="shared" si="162"/>
        <v>8.2968268871366612E-3</v>
      </c>
      <c r="AI151" s="52">
        <f>'FY 2013 by Agency'!AI151*Inflator!$B$8</f>
        <v>0</v>
      </c>
      <c r="AJ151" s="52">
        <f>'FY 2013 by Agency'!AJ151*Inflator!$B$8</f>
        <v>0</v>
      </c>
      <c r="AK151" s="52">
        <f>'FY 2013 by Agency'!AK151</f>
        <v>46325</v>
      </c>
      <c r="AL151" s="52">
        <f>'FY 2013 by Agency'!AL151</f>
        <v>350</v>
      </c>
      <c r="AM151" s="52">
        <f>'FY 2013 by Agency'!AM151</f>
        <v>46675</v>
      </c>
      <c r="AN151" s="52">
        <f>'FY 2013 by Agency'!AN151</f>
        <v>38666</v>
      </c>
      <c r="AO151" s="52">
        <f>'FY 2013 by Agency'!AO151</f>
        <v>40065</v>
      </c>
      <c r="AP151" s="52">
        <f>'FY 2013 by Agency'!AP151</f>
        <v>4663</v>
      </c>
      <c r="AQ151" s="52">
        <f>'FY 2013 by Agency'!AQ151</f>
        <v>603</v>
      </c>
      <c r="AR151" s="52">
        <f>'FY 2013 by Agency'!AR151</f>
        <v>5266</v>
      </c>
      <c r="AS151" s="52">
        <f>'FY 2013 by Agency'!AS151</f>
        <v>43667.288260000001</v>
      </c>
      <c r="AT151" s="52" t="e">
        <f t="shared" si="163"/>
        <v>#REF!</v>
      </c>
      <c r="AU151" s="58" t="e">
        <f t="shared" si="164"/>
        <v>#REF!</v>
      </c>
      <c r="AV151" s="52">
        <f t="shared" si="165"/>
        <v>-7973.3696347368459</v>
      </c>
      <c r="AW151" s="58">
        <f t="shared" si="166"/>
        <v>-0.15440100803885154</v>
      </c>
      <c r="AX151" s="284" t="s">
        <v>322</v>
      </c>
      <c r="AY151" s="65">
        <v>41182</v>
      </c>
      <c r="AZ151" s="65">
        <f t="shared" si="167"/>
        <v>1117</v>
      </c>
      <c r="BA151" s="65">
        <f t="shared" si="168"/>
        <v>-6856.3696347368459</v>
      </c>
      <c r="BB151" s="65">
        <f t="shared" si="169"/>
        <v>44784.288260000001</v>
      </c>
      <c r="BC151" s="58">
        <f t="shared" si="170"/>
        <v>-0.13277076463109194</v>
      </c>
      <c r="BD151" s="294">
        <v>602.85299999999995</v>
      </c>
      <c r="BE151" s="51">
        <f t="shared" si="187"/>
        <v>1.4638749939293864E-2</v>
      </c>
      <c r="BI151" s="219">
        <v>38972</v>
      </c>
      <c r="BJ151" s="65">
        <f t="shared" si="179"/>
        <v>-2210</v>
      </c>
      <c r="BK151" s="65">
        <f t="shared" si="180"/>
        <v>44238</v>
      </c>
      <c r="BL151" s="576">
        <f>'FY 2013 by Agency'!AS151*Inflator!$E$13</f>
        <v>45279.659904632295</v>
      </c>
      <c r="BM151" s="52">
        <f t="shared" si="181"/>
        <v>-6360.9979901045517</v>
      </c>
      <c r="BN151" s="51">
        <f t="shared" si="182"/>
        <v>-0.12317809744156759</v>
      </c>
      <c r="BO151" s="52">
        <f>'FY 2013 by Agency'!AX151*Inflator!$E$13</f>
        <v>41093.298748855668</v>
      </c>
      <c r="BP151" s="52">
        <f t="shared" si="171"/>
        <v>-10547.359145881179</v>
      </c>
      <c r="BQ151" s="58">
        <f t="shared" si="172"/>
        <v>-0.2042452512394532</v>
      </c>
      <c r="BR151" s="52">
        <f>'FY 2013 by Agency'!BE151*Inflator!$E$14</f>
        <v>44028.907733651838</v>
      </c>
      <c r="BS151" s="52">
        <f t="shared" si="173"/>
        <v>2935.6089847961703</v>
      </c>
      <c r="BT151" s="58">
        <f t="shared" si="174"/>
        <v>7.143765709191012E-2</v>
      </c>
      <c r="BU151" s="52">
        <f>'FY 2013 by Agency'!BL151*Inflator!$E$14</f>
        <v>57964.867721707975</v>
      </c>
      <c r="BV151" s="52">
        <f t="shared" si="183"/>
        <v>12685.207817075679</v>
      </c>
      <c r="BW151" s="495">
        <f>35866+9794</f>
        <v>45660</v>
      </c>
      <c r="BX151" s="39">
        <f>'FY 2013 by Agency'!BV151*Inflator!E15</f>
        <v>50679</v>
      </c>
      <c r="BY151" s="39">
        <f t="shared" si="148"/>
        <v>1631.0922663481615</v>
      </c>
      <c r="BZ151" s="51">
        <f t="shared" si="149"/>
        <v>3.7045939822429381E-2</v>
      </c>
      <c r="CB151" s="39"/>
    </row>
    <row r="152" spans="1:80" ht="18" customHeight="1">
      <c r="A152" s="57" t="s">
        <v>23</v>
      </c>
      <c r="B152" s="326">
        <f>'FY 2013 by Agency'!B152*Inflator!$E$2</f>
        <v>17847.629186602873</v>
      </c>
      <c r="C152" s="326">
        <f>'FY 2013 by Agency'!C152*Inflator!$E$3</f>
        <v>18998.863987635239</v>
      </c>
      <c r="D152" s="326">
        <f t="shared" si="150"/>
        <v>1151.2348010323658</v>
      </c>
      <c r="E152" s="355">
        <f t="shared" si="151"/>
        <v>6.4503514107998594E-2</v>
      </c>
      <c r="F152" s="10">
        <f>'FY 2013 by Agency'!F152*Inflator!$E$4</f>
        <v>18297.719071183859</v>
      </c>
      <c r="G152" s="10">
        <f t="shared" si="152"/>
        <v>-701.14491645137969</v>
      </c>
      <c r="H152" s="14">
        <f t="shared" si="153"/>
        <v>-3.6904570552623348E-2</v>
      </c>
      <c r="I152" s="10">
        <f>'FY 2013 by Agency'!I152*Inflator!$E$5</f>
        <v>17741.881740423953</v>
      </c>
      <c r="J152" s="10">
        <f t="shared" si="154"/>
        <v>-555.83733075990676</v>
      </c>
      <c r="K152" s="14">
        <f t="shared" si="155"/>
        <v>-3.0377410900097733E-2</v>
      </c>
      <c r="L152" s="10">
        <f>'FY 2013 by Agency'!L152*Inflator!$E$6</f>
        <v>18094.257360959647</v>
      </c>
      <c r="M152" s="10">
        <f t="shared" si="156"/>
        <v>352.37562053569491</v>
      </c>
      <c r="N152" s="14">
        <f t="shared" si="157"/>
        <v>1.9861231502452496E-2</v>
      </c>
      <c r="O152" s="10">
        <f>'FY 2013 by Agency'!O152*Inflator!$E$7</f>
        <v>16732.847588877154</v>
      </c>
      <c r="P152" s="52">
        <f t="shared" si="175"/>
        <v>-1361.4097720824939</v>
      </c>
      <c r="Q152" s="58">
        <f t="shared" si="184"/>
        <v>-7.5239881080717094E-2</v>
      </c>
      <c r="R152" s="52">
        <f>'FY 2013 by Agency'!R152*Inflator!$E$8</f>
        <v>16933.482009504412</v>
      </c>
      <c r="S152" s="52">
        <f t="shared" si="158"/>
        <v>200.63442062725881</v>
      </c>
      <c r="T152" s="58">
        <f t="shared" si="185"/>
        <v>1.1990452883861009E-2</v>
      </c>
      <c r="U152" s="52">
        <f>'FY 2013 by Agency'!U152*Inflator!$E$9</f>
        <v>18544.787798408488</v>
      </c>
      <c r="V152" s="52">
        <f t="shared" si="176"/>
        <v>1611.3057889040756</v>
      </c>
      <c r="W152" s="58">
        <f t="shared" si="177"/>
        <v>9.51550182059238E-2</v>
      </c>
      <c r="X152" s="52">
        <f>'FY 2013 by Agency'!X152*Inflator!$E$10</f>
        <v>18557.892664337887</v>
      </c>
      <c r="Y152" s="39">
        <f t="shared" si="178"/>
        <v>13.104865929399239</v>
      </c>
      <c r="Z152" s="58">
        <f t="shared" si="186"/>
        <v>7.0666033345088465E-4</v>
      </c>
      <c r="AA152" s="52">
        <f>'FY 2013 by Agency'!AA152*Inflator!$E$11</f>
        <v>18970.99394711692</v>
      </c>
      <c r="AB152" s="39">
        <f t="shared" si="159"/>
        <v>413.10128277903277</v>
      </c>
      <c r="AC152" s="58">
        <f t="shared" si="160"/>
        <v>2.2260139674849848E-2</v>
      </c>
      <c r="AD152" s="52" t="e">
        <f>'FY 2013 by Agency'!AD152*Inflator!#REF!</f>
        <v>#REF!</v>
      </c>
      <c r="AE152" s="52">
        <f>'FY 2013 by Agency'!AE152*Inflator!$B$8</f>
        <v>0</v>
      </c>
      <c r="AF152" s="52">
        <f>'FY 2013 by Agency'!AF152*Inflator!$E$12</f>
        <v>17711.755639097748</v>
      </c>
      <c r="AG152" s="52">
        <f t="shared" si="161"/>
        <v>-1259.2383080191721</v>
      </c>
      <c r="AH152" s="58">
        <f t="shared" si="162"/>
        <v>-6.637703388285264E-2</v>
      </c>
      <c r="AI152" s="52">
        <f>'FY 2013 by Agency'!AI152*Inflator!$B$8</f>
        <v>0</v>
      </c>
      <c r="AJ152" s="52">
        <f>'FY 2013 by Agency'!AJ152*Inflator!$B$8</f>
        <v>0</v>
      </c>
      <c r="AK152" s="52">
        <f>'FY 2013 by Agency'!AK152</f>
        <v>16184</v>
      </c>
      <c r="AL152" s="52">
        <f>'FY 2013 by Agency'!AL152</f>
        <v>155</v>
      </c>
      <c r="AM152" s="52">
        <f>'FY 2013 by Agency'!AM152</f>
        <v>16339</v>
      </c>
      <c r="AN152" s="52">
        <f>'FY 2013 by Agency'!AN152</f>
        <v>15758</v>
      </c>
      <c r="AO152" s="52">
        <f>'FY 2013 by Agency'!AO152</f>
        <v>15758</v>
      </c>
      <c r="AP152" s="52">
        <f>'FY 2013 by Agency'!AP152</f>
        <v>349</v>
      </c>
      <c r="AQ152" s="52">
        <f>'FY 2013 by Agency'!AQ152</f>
        <v>38</v>
      </c>
      <c r="AR152" s="52">
        <f>'FY 2013 by Agency'!AR152</f>
        <v>387</v>
      </c>
      <c r="AS152" s="52">
        <f>'FY 2013 by Agency'!AS152</f>
        <v>17010.1865</v>
      </c>
      <c r="AT152" s="52" t="e">
        <f t="shared" si="163"/>
        <v>#REF!</v>
      </c>
      <c r="AU152" s="58" t="e">
        <f t="shared" si="164"/>
        <v>#REF!</v>
      </c>
      <c r="AV152" s="52">
        <f t="shared" si="165"/>
        <v>-701.56913909774812</v>
      </c>
      <c r="AW152" s="58">
        <f t="shared" si="166"/>
        <v>-3.9610366888140215E-2</v>
      </c>
      <c r="AX152" s="284" t="s">
        <v>323</v>
      </c>
      <c r="AY152" s="65">
        <v>15944</v>
      </c>
      <c r="AZ152" s="65">
        <f t="shared" si="167"/>
        <v>186</v>
      </c>
      <c r="BA152" s="65">
        <f t="shared" si="168"/>
        <v>-515.56913909774812</v>
      </c>
      <c r="BB152" s="65">
        <f t="shared" si="169"/>
        <v>17196.1865</v>
      </c>
      <c r="BC152" s="58">
        <f t="shared" si="170"/>
        <v>-2.9108866992251015E-2</v>
      </c>
      <c r="BD152" s="294">
        <v>1407.7170000000001</v>
      </c>
      <c r="BE152" s="51">
        <f t="shared" si="187"/>
        <v>8.8291332162569E-2</v>
      </c>
      <c r="BI152" s="219">
        <v>16165</v>
      </c>
      <c r="BJ152" s="65">
        <f t="shared" si="179"/>
        <v>221</v>
      </c>
      <c r="BK152" s="65">
        <f t="shared" si="180"/>
        <v>16552</v>
      </c>
      <c r="BL152" s="576">
        <f>'FY 2013 by Agency'!AS152*Inflator!$E$13</f>
        <v>17638.270896246569</v>
      </c>
      <c r="BM152" s="52">
        <f t="shared" si="181"/>
        <v>-73.484742851178453</v>
      </c>
      <c r="BN152" s="51">
        <f t="shared" si="182"/>
        <v>-4.1489248354897599E-3</v>
      </c>
      <c r="BO152" s="52">
        <f>'FY 2013 by Agency'!AX152*Inflator!$E$13</f>
        <v>16761.876716509007</v>
      </c>
      <c r="BP152" s="52">
        <f t="shared" si="171"/>
        <v>-949.87892258874126</v>
      </c>
      <c r="BQ152" s="58">
        <f t="shared" si="172"/>
        <v>-5.3629857025123732E-2</v>
      </c>
      <c r="BR152" s="52">
        <f>'FY 2013 by Agency'!BE152*Inflator!$E$14</f>
        <v>16303.094655120933</v>
      </c>
      <c r="BS152" s="52">
        <f t="shared" si="173"/>
        <v>-458.782061388074</v>
      </c>
      <c r="BT152" s="58">
        <f t="shared" si="174"/>
        <v>-2.7370566503225328E-2</v>
      </c>
      <c r="BU152" s="52">
        <f>'FY 2013 by Agency'!BL152*Inflator!$E$14</f>
        <v>16704.888623469695</v>
      </c>
      <c r="BV152" s="52">
        <f t="shared" si="183"/>
        <v>-933.38227277687474</v>
      </c>
      <c r="BW152" s="495">
        <v>16153</v>
      </c>
      <c r="BX152" s="39">
        <f>'FY 2013 by Agency'!BV152*Inflator!E15</f>
        <v>18211</v>
      </c>
      <c r="BY152" s="39">
        <f t="shared" si="148"/>
        <v>-150.09465512093266</v>
      </c>
      <c r="BZ152" s="51">
        <f t="shared" si="149"/>
        <v>-9.2065131372948712E-3</v>
      </c>
      <c r="CB152" s="39"/>
    </row>
    <row r="153" spans="1:80" ht="18" customHeight="1">
      <c r="A153" s="57" t="s">
        <v>24</v>
      </c>
      <c r="B153" s="326">
        <f>'FY 2013 by Agency'!B153*Inflator!$E$2</f>
        <v>5599.6547049441788</v>
      </c>
      <c r="C153" s="326">
        <f>'FY 2013 by Agency'!C153*Inflator!$E$3</f>
        <v>5039.2287480680061</v>
      </c>
      <c r="D153" s="326">
        <f t="shared" si="150"/>
        <v>-560.42595687617268</v>
      </c>
      <c r="E153" s="355">
        <f t="shared" si="151"/>
        <v>-0.10008223478161041</v>
      </c>
      <c r="F153" s="10">
        <f>'FY 2013 by Agency'!F153*Inflator!$E$4</f>
        <v>11876.831366577846</v>
      </c>
      <c r="G153" s="10">
        <f t="shared" si="152"/>
        <v>6837.6026185098399</v>
      </c>
      <c r="H153" s="14">
        <f t="shared" si="153"/>
        <v>1.3568748235791666</v>
      </c>
      <c r="I153" s="10">
        <f>'FY 2013 by Agency'!I153*Inflator!$E$5</f>
        <v>11331.300111565639</v>
      </c>
      <c r="J153" s="10">
        <f t="shared" si="154"/>
        <v>-545.53125501220711</v>
      </c>
      <c r="K153" s="14">
        <f t="shared" si="155"/>
        <v>-4.593239039727099E-2</v>
      </c>
      <c r="L153" s="10">
        <f>'FY 2013 by Agency'!L153*Inflator!$E$6</f>
        <v>6791.0592511813875</v>
      </c>
      <c r="M153" s="10">
        <f t="shared" si="156"/>
        <v>-4540.2408603842514</v>
      </c>
      <c r="N153" s="14">
        <f t="shared" si="157"/>
        <v>-0.40068137068844512</v>
      </c>
      <c r="O153" s="10">
        <f>'FY 2013 by Agency'!O153*Inflator!$E$7</f>
        <v>6217.108060542062</v>
      </c>
      <c r="P153" s="52">
        <f t="shared" si="175"/>
        <v>-573.95119063932543</v>
      </c>
      <c r="Q153" s="58">
        <f t="shared" si="184"/>
        <v>-8.4515709466012931E-2</v>
      </c>
      <c r="R153" s="52">
        <f>'FY 2013 by Agency'!R153*Inflator!$E$8</f>
        <v>5831.733876442634</v>
      </c>
      <c r="S153" s="52">
        <f t="shared" si="158"/>
        <v>-385.37418409942802</v>
      </c>
      <c r="T153" s="58">
        <f t="shared" si="185"/>
        <v>-6.1986084260827169E-2</v>
      </c>
      <c r="U153" s="52">
        <f>'FY 2013 by Agency'!U153*Inflator!$E$9</f>
        <v>5914.9535809018562</v>
      </c>
      <c r="V153" s="52">
        <f t="shared" si="176"/>
        <v>83.219704459222157</v>
      </c>
      <c r="W153" s="58">
        <f t="shared" si="177"/>
        <v>1.4270147819225643E-2</v>
      </c>
      <c r="X153" s="52">
        <f>'FY 2013 by Agency'!X153*Inflator!$E$10</f>
        <v>6969.7307081613217</v>
      </c>
      <c r="Y153" s="39">
        <f t="shared" si="178"/>
        <v>1054.7771272594655</v>
      </c>
      <c r="Z153" s="58">
        <f t="shared" si="186"/>
        <v>0.17832382162137661</v>
      </c>
      <c r="AA153" s="52">
        <f>'FY 2013 by Agency'!AA153*Inflator!$E$11</f>
        <v>5953.8069448869073</v>
      </c>
      <c r="AB153" s="39">
        <f t="shared" si="159"/>
        <v>-1015.9237632744143</v>
      </c>
      <c r="AC153" s="58">
        <f t="shared" si="160"/>
        <v>-0.14576226913398557</v>
      </c>
      <c r="AD153" s="52" t="e">
        <f>'FY 2013 by Agency'!AD153*Inflator!#REF!</f>
        <v>#REF!</v>
      </c>
      <c r="AE153" s="52">
        <f>'FY 2013 by Agency'!AE153*Inflator!$B$8</f>
        <v>0</v>
      </c>
      <c r="AF153" s="52">
        <f>'FY 2013 by Agency'!AF153*Inflator!$E$12</f>
        <v>18343.025689223061</v>
      </c>
      <c r="AG153" s="52">
        <f t="shared" si="161"/>
        <v>12389.218744336154</v>
      </c>
      <c r="AH153" s="58">
        <f t="shared" si="162"/>
        <v>2.0808902369560269</v>
      </c>
      <c r="AI153" s="52">
        <f>'FY 2013 by Agency'!AI153*Inflator!$B$8</f>
        <v>0</v>
      </c>
      <c r="AJ153" s="52">
        <f>'FY 2013 by Agency'!AJ153*Inflator!$B$8</f>
        <v>0</v>
      </c>
      <c r="AK153" s="52">
        <f>'FY 2013 by Agency'!AK153</f>
        <v>11136</v>
      </c>
      <c r="AL153" s="52">
        <f>'FY 2013 by Agency'!AL153</f>
        <v>0</v>
      </c>
      <c r="AM153" s="52">
        <f>'FY 2013 by Agency'!AM153</f>
        <v>11136</v>
      </c>
      <c r="AN153" s="52">
        <f>'FY 2013 by Agency'!AN153</f>
        <v>18512</v>
      </c>
      <c r="AO153" s="52">
        <f>'FY 2013 by Agency'!AO153</f>
        <v>18512</v>
      </c>
      <c r="AP153" s="52">
        <f>'FY 2013 by Agency'!AP153</f>
        <v>0</v>
      </c>
      <c r="AQ153" s="52">
        <f>'FY 2013 by Agency'!AQ153</f>
        <v>0</v>
      </c>
      <c r="AR153" s="52">
        <f>'FY 2013 by Agency'!AR153</f>
        <v>0</v>
      </c>
      <c r="AS153" s="52">
        <f>'FY 2013 by Agency'!AS153</f>
        <v>16325.28104</v>
      </c>
      <c r="AT153" s="52" t="e">
        <f t="shared" si="163"/>
        <v>#REF!</v>
      </c>
      <c r="AU153" s="58" t="e">
        <f t="shared" si="164"/>
        <v>#REF!</v>
      </c>
      <c r="AV153" s="52">
        <f t="shared" si="165"/>
        <v>-2017.7446492230611</v>
      </c>
      <c r="AW153" s="58">
        <f t="shared" si="166"/>
        <v>-0.11000064457242359</v>
      </c>
      <c r="AX153" s="284" t="s">
        <v>324</v>
      </c>
      <c r="AY153" s="65">
        <v>18512</v>
      </c>
      <c r="AZ153" s="65">
        <f t="shared" si="167"/>
        <v>0</v>
      </c>
      <c r="BA153" s="65">
        <f t="shared" si="168"/>
        <v>-2017.7446492230611</v>
      </c>
      <c r="BB153" s="65">
        <f t="shared" si="169"/>
        <v>16325.28104</v>
      </c>
      <c r="BC153" s="58">
        <f t="shared" si="170"/>
        <v>-0.11000064457242353</v>
      </c>
      <c r="BD153" s="294">
        <v>0</v>
      </c>
      <c r="BE153" s="51">
        <f t="shared" si="187"/>
        <v>0</v>
      </c>
      <c r="BI153" s="219">
        <v>18512</v>
      </c>
      <c r="BJ153" s="65">
        <f t="shared" si="179"/>
        <v>0</v>
      </c>
      <c r="BK153" s="65">
        <f t="shared" si="180"/>
        <v>18512</v>
      </c>
      <c r="BL153" s="576">
        <f>'FY 2013 by Agency'!AS153*Inflator!$E$13</f>
        <v>16928.075976173332</v>
      </c>
      <c r="BM153" s="52">
        <f t="shared" si="181"/>
        <v>-1414.9497130497293</v>
      </c>
      <c r="BN153" s="51">
        <f t="shared" si="182"/>
        <v>-7.7138294249952666E-2</v>
      </c>
      <c r="BO153" s="52">
        <f>'FY 2013 by Agency'!AX153*Inflator!$E$13</f>
        <v>19195.537381751605</v>
      </c>
      <c r="BP153" s="52">
        <f t="shared" si="171"/>
        <v>852.51169252854379</v>
      </c>
      <c r="BQ153" s="58">
        <f t="shared" si="172"/>
        <v>4.6476067087962133E-2</v>
      </c>
      <c r="BR153" s="52">
        <f>'FY 2013 by Agency'!BE153*Inflator!$E$14</f>
        <v>6607.278590624067</v>
      </c>
      <c r="BS153" s="52">
        <f t="shared" si="173"/>
        <v>-12588.258791127537</v>
      </c>
      <c r="BT153" s="58">
        <f t="shared" si="174"/>
        <v>-0.65579090289468367</v>
      </c>
      <c r="BU153" s="52">
        <f>'FY 2013 by Agency'!BL153*Inflator!$E$14</f>
        <v>6607.278590624067</v>
      </c>
      <c r="BV153" s="52">
        <f t="shared" si="183"/>
        <v>-10320.797385549264</v>
      </c>
      <c r="BW153" s="39">
        <v>6512</v>
      </c>
      <c r="BX153" s="39">
        <f>'FY 2013 by Agency'!BV153*Inflator!E15</f>
        <v>6512</v>
      </c>
      <c r="BY153" s="39">
        <f t="shared" si="148"/>
        <v>-95.278590624066965</v>
      </c>
      <c r="BZ153" s="51">
        <f t="shared" si="149"/>
        <v>-1.4420247204237799E-2</v>
      </c>
      <c r="CB153" s="39"/>
    </row>
    <row r="154" spans="1:80" ht="18" customHeight="1">
      <c r="A154" s="57" t="s">
        <v>25</v>
      </c>
      <c r="B154" s="326">
        <f>'FY 2013 by Agency'!B154*Inflator!$E$2</f>
        <v>39281.584529505584</v>
      </c>
      <c r="C154" s="326">
        <f>'FY 2013 by Agency'!C154*Inflator!$E$3</f>
        <v>36507.492272024734</v>
      </c>
      <c r="D154" s="326">
        <f t="shared" si="150"/>
        <v>-2774.0922574808501</v>
      </c>
      <c r="E154" s="355">
        <f t="shared" si="151"/>
        <v>-7.0620681184516518E-2</v>
      </c>
      <c r="F154" s="10">
        <f>'FY 2013 by Agency'!F154*Inflator!$E$4</f>
        <v>35830.985154168251</v>
      </c>
      <c r="G154" s="10">
        <f t="shared" si="152"/>
        <v>-676.50711785648309</v>
      </c>
      <c r="H154" s="14">
        <f t="shared" si="153"/>
        <v>-1.8530637843204658E-2</v>
      </c>
      <c r="I154" s="10">
        <f>'FY 2013 by Agency'!I154*Inflator!$E$5</f>
        <v>37898.630717738946</v>
      </c>
      <c r="J154" s="10">
        <f t="shared" si="154"/>
        <v>2067.6455635706952</v>
      </c>
      <c r="K154" s="14">
        <f t="shared" si="155"/>
        <v>5.7705518133937331E-2</v>
      </c>
      <c r="L154" s="10">
        <f>'FY 2013 by Agency'!L154*Inflator!$E$6</f>
        <v>37810.315521628494</v>
      </c>
      <c r="M154" s="10">
        <f t="shared" si="156"/>
        <v>-88.315196110452234</v>
      </c>
      <c r="N154" s="14">
        <f t="shared" si="157"/>
        <v>-2.3303004472168213E-3</v>
      </c>
      <c r="O154" s="10">
        <f>'FY 2013 by Agency'!O154*Inflator!$E$7</f>
        <v>34701.222808870109</v>
      </c>
      <c r="P154" s="52">
        <f t="shared" si="175"/>
        <v>-3109.0927127583855</v>
      </c>
      <c r="Q154" s="58">
        <f t="shared" si="184"/>
        <v>-8.2228689971653446E-2</v>
      </c>
      <c r="R154" s="52">
        <f>'FY 2013 by Agency'!R154*Inflator!$E$8</f>
        <v>33162.219280380174</v>
      </c>
      <c r="S154" s="52">
        <f t="shared" si="158"/>
        <v>-1539.003528489935</v>
      </c>
      <c r="T154" s="58">
        <f t="shared" si="185"/>
        <v>-4.4350123826084442E-2</v>
      </c>
      <c r="U154" s="52">
        <f>'FY 2013 by Agency'!U154*Inflator!$E$9</f>
        <v>27998.573607427054</v>
      </c>
      <c r="V154" s="52">
        <f t="shared" si="176"/>
        <v>-5163.6456729531201</v>
      </c>
      <c r="W154" s="58">
        <f t="shared" si="177"/>
        <v>-0.1557086885318347</v>
      </c>
      <c r="X154" s="52">
        <f>'FY 2013 by Agency'!X154*Inflator!$E$10</f>
        <v>30451.432200698637</v>
      </c>
      <c r="Y154" s="39">
        <f t="shared" si="178"/>
        <v>2452.8585932715832</v>
      </c>
      <c r="Z154" s="58">
        <f t="shared" si="186"/>
        <v>8.7606555521847179E-2</v>
      </c>
      <c r="AA154" s="52">
        <f>'FY 2013 by Agency'!AA154*Inflator!$E$11</f>
        <v>16270.130614845495</v>
      </c>
      <c r="AB154" s="39">
        <f t="shared" si="159"/>
        <v>-14181.301585853142</v>
      </c>
      <c r="AC154" s="58">
        <f t="shared" si="160"/>
        <v>-0.46570228593477403</v>
      </c>
      <c r="AD154" s="52" t="e">
        <f>'FY 2013 by Agency'!AD154*Inflator!#REF!</f>
        <v>#REF!</v>
      </c>
      <c r="AE154" s="52">
        <f>'FY 2013 by Agency'!AE154*Inflator!$B$8</f>
        <v>0</v>
      </c>
      <c r="AF154" s="52">
        <f>'FY 2013 by Agency'!AF154*Inflator!$E$12</f>
        <v>40782.387218045114</v>
      </c>
      <c r="AG154" s="52">
        <f t="shared" si="161"/>
        <v>24512.256603199618</v>
      </c>
      <c r="AH154" s="58">
        <f t="shared" si="162"/>
        <v>1.5065801979999895</v>
      </c>
      <c r="AI154" s="52">
        <f>'FY 2013 by Agency'!AI154*Inflator!$B$8</f>
        <v>0</v>
      </c>
      <c r="AJ154" s="52">
        <f>'FY 2013 by Agency'!AJ154*Inflator!$B$8</f>
        <v>0</v>
      </c>
      <c r="AK154" s="52">
        <f>'FY 2013 by Agency'!AK154</f>
        <v>30163</v>
      </c>
      <c r="AL154" s="52">
        <f>'FY 2013 by Agency'!AL154</f>
        <v>0</v>
      </c>
      <c r="AM154" s="52">
        <f>'FY 2013 by Agency'!AM154</f>
        <v>30163</v>
      </c>
      <c r="AN154" s="52">
        <f>'FY 2013 by Agency'!AN154</f>
        <v>28169</v>
      </c>
      <c r="AO154" s="52">
        <f>'FY 2013 by Agency'!AO154</f>
        <v>28169</v>
      </c>
      <c r="AP154" s="52">
        <f>'FY 2013 by Agency'!AP154</f>
        <v>0</v>
      </c>
      <c r="AQ154" s="52">
        <f>'FY 2013 by Agency'!AQ154</f>
        <v>18</v>
      </c>
      <c r="AR154" s="52">
        <f>'FY 2013 by Agency'!AR154</f>
        <v>18</v>
      </c>
      <c r="AS154" s="52">
        <f>'FY 2013 by Agency'!AS154</f>
        <v>29318.698120000001</v>
      </c>
      <c r="AT154" s="52" t="e">
        <f t="shared" si="163"/>
        <v>#REF!</v>
      </c>
      <c r="AU154" s="58" t="e">
        <f t="shared" si="164"/>
        <v>#REF!</v>
      </c>
      <c r="AV154" s="52">
        <f t="shared" si="165"/>
        <v>-11463.689098045113</v>
      </c>
      <c r="AW154" s="58">
        <f t="shared" si="166"/>
        <v>-0.28109411635846415</v>
      </c>
      <c r="AX154" s="284" t="s">
        <v>325</v>
      </c>
      <c r="AY154" s="65">
        <v>28169</v>
      </c>
      <c r="AZ154" s="65">
        <f t="shared" si="167"/>
        <v>0</v>
      </c>
      <c r="BA154" s="65">
        <f t="shared" si="168"/>
        <v>-11463.689098045113</v>
      </c>
      <c r="BB154" s="65">
        <f t="shared" si="169"/>
        <v>29318.698120000001</v>
      </c>
      <c r="BC154" s="58">
        <f t="shared" si="170"/>
        <v>-0.28109411635846415</v>
      </c>
      <c r="BD154" s="294">
        <v>0</v>
      </c>
      <c r="BE154" s="51">
        <f t="shared" si="187"/>
        <v>0</v>
      </c>
      <c r="BI154" s="219">
        <v>38169</v>
      </c>
      <c r="BJ154" s="65">
        <f t="shared" si="179"/>
        <v>10000</v>
      </c>
      <c r="BK154" s="65">
        <f t="shared" si="180"/>
        <v>38187</v>
      </c>
      <c r="BL154" s="576">
        <f>'FY 2013 by Agency'!AS154*Inflator!$E$13</f>
        <v>30401.262194617033</v>
      </c>
      <c r="BM154" s="52">
        <f t="shared" si="181"/>
        <v>-10381.125023428081</v>
      </c>
      <c r="BN154" s="51">
        <f t="shared" si="182"/>
        <v>-0.25454922410316166</v>
      </c>
      <c r="BO154" s="52">
        <f>'FY 2013 by Agency'!AX154*Inflator!$E$13</f>
        <v>39578.352761672271</v>
      </c>
      <c r="BP154" s="52">
        <f t="shared" si="171"/>
        <v>-1204.0344563728431</v>
      </c>
      <c r="BQ154" s="58">
        <f t="shared" si="172"/>
        <v>-2.9523393271105279E-2</v>
      </c>
      <c r="BR154" s="52">
        <f>'FY 2013 by Agency'!BE154*Inflator!$E$14</f>
        <v>19945.620782323083</v>
      </c>
      <c r="BS154" s="52">
        <f t="shared" si="173"/>
        <v>-19632.731979349188</v>
      </c>
      <c r="BT154" s="58">
        <f t="shared" si="174"/>
        <v>-0.49604722302545018</v>
      </c>
      <c r="BU154" s="52">
        <f>'FY 2013 by Agency'!BL154*Inflator!$E$14</f>
        <v>19945.620782323083</v>
      </c>
      <c r="BV154" s="52">
        <f t="shared" si="183"/>
        <v>-10455.64141229395</v>
      </c>
      <c r="BW154" s="39">
        <v>19822</v>
      </c>
      <c r="BX154" s="39">
        <f>'FY 2013 by Agency'!BV154*Inflator!E15</f>
        <v>19822</v>
      </c>
      <c r="BY154" s="39">
        <f t="shared" si="148"/>
        <v>-123.6207823230834</v>
      </c>
      <c r="BZ154" s="51">
        <f t="shared" si="149"/>
        <v>-6.1978909391801435E-3</v>
      </c>
      <c r="CB154" s="39"/>
    </row>
    <row r="155" spans="1:80" ht="18" customHeight="1">
      <c r="A155" s="57" t="s">
        <v>26</v>
      </c>
      <c r="B155" s="326">
        <f>'FY 2013 by Agency'!B155*Inflator!$E$2</f>
        <v>994.47049441786294</v>
      </c>
      <c r="C155" s="326">
        <f>'FY 2013 by Agency'!C155*Inflator!$E$3</f>
        <v>1513.869397217929</v>
      </c>
      <c r="D155" s="326">
        <f t="shared" si="150"/>
        <v>519.39890280006603</v>
      </c>
      <c r="E155" s="355">
        <f t="shared" si="151"/>
        <v>0.52228689107976867</v>
      </c>
      <c r="F155" s="10">
        <f>'FY 2013 by Agency'!F155*Inflator!$E$4</f>
        <v>1985.5081842405787</v>
      </c>
      <c r="G155" s="10">
        <f t="shared" si="152"/>
        <v>471.63878702264969</v>
      </c>
      <c r="H155" s="14">
        <f t="shared" si="153"/>
        <v>0.31154522833303233</v>
      </c>
      <c r="I155" s="10">
        <f>'FY 2013 by Agency'!I155*Inflator!$E$5</f>
        <v>2011.7575306805506</v>
      </c>
      <c r="J155" s="10">
        <f t="shared" si="154"/>
        <v>26.249346439971987</v>
      </c>
      <c r="K155" s="14">
        <f t="shared" si="155"/>
        <v>1.3220467509687899E-2</v>
      </c>
      <c r="L155" s="10">
        <f>'FY 2013 by Agency'!L155*Inflator!$E$6</f>
        <v>2107.2293711377679</v>
      </c>
      <c r="M155" s="10">
        <f t="shared" si="156"/>
        <v>95.47184045721724</v>
      </c>
      <c r="N155" s="14">
        <f t="shared" si="157"/>
        <v>4.7456932061251136E-2</v>
      </c>
      <c r="O155" s="10">
        <f>'FY 2013 by Agency'!O155*Inflator!$E$7</f>
        <v>2649.2678634283698</v>
      </c>
      <c r="P155" s="52">
        <f t="shared" si="175"/>
        <v>542.03849229060188</v>
      </c>
      <c r="Q155" s="58">
        <f t="shared" si="184"/>
        <v>0.25722804537312238</v>
      </c>
      <c r="R155" s="52">
        <f>'FY 2013 by Agency'!R155*Inflator!$E$8</f>
        <v>2678.2606924643583</v>
      </c>
      <c r="S155" s="52">
        <f t="shared" si="158"/>
        <v>28.992829035988507</v>
      </c>
      <c r="T155" s="58">
        <f t="shared" si="185"/>
        <v>1.0943713709065798E-2</v>
      </c>
      <c r="U155" s="52">
        <f>'FY 2013 by Agency'!U155*Inflator!$E$9</f>
        <v>2657.7858090185673</v>
      </c>
      <c r="V155" s="52">
        <f t="shared" si="176"/>
        <v>-20.474883445790965</v>
      </c>
      <c r="W155" s="58">
        <f t="shared" si="177"/>
        <v>-7.6448433505370726E-3</v>
      </c>
      <c r="X155" s="52">
        <f>'FY 2013 by Agency'!X155*Inflator!$E$10</f>
        <v>2810.9844395046048</v>
      </c>
      <c r="Y155" s="39">
        <f t="shared" si="178"/>
        <v>153.19863048603747</v>
      </c>
      <c r="Z155" s="58">
        <f t="shared" si="186"/>
        <v>5.7641451002633154E-2</v>
      </c>
      <c r="AA155" s="52">
        <f>'FY 2013 by Agency'!AA155*Inflator!$E$11</f>
        <v>2984.4810449187644</v>
      </c>
      <c r="AB155" s="39">
        <f t="shared" si="159"/>
        <v>173.4966054141596</v>
      </c>
      <c r="AC155" s="58">
        <f t="shared" si="160"/>
        <v>6.1720941238911968E-2</v>
      </c>
      <c r="AD155" s="52" t="e">
        <f>'FY 2013 by Agency'!AD155*Inflator!#REF!</f>
        <v>#REF!</v>
      </c>
      <c r="AE155" s="52">
        <f>'FY 2013 by Agency'!AE155*Inflator!$B$8</f>
        <v>0</v>
      </c>
      <c r="AF155" s="52">
        <f>'FY 2013 by Agency'!AF155*Inflator!$E$12</f>
        <v>2365.3997493734337</v>
      </c>
      <c r="AG155" s="52">
        <f t="shared" si="161"/>
        <v>-619.0812955453307</v>
      </c>
      <c r="AH155" s="58">
        <f t="shared" si="162"/>
        <v>-0.20743348214569804</v>
      </c>
      <c r="AI155" s="52">
        <f>'FY 2013 by Agency'!AI155*Inflator!$B$8</f>
        <v>0</v>
      </c>
      <c r="AJ155" s="52">
        <f>'FY 2013 by Agency'!AJ155*Inflator!$B$8</f>
        <v>0</v>
      </c>
      <c r="AK155" s="52">
        <f>'FY 2013 by Agency'!AK155</f>
        <v>2673</v>
      </c>
      <c r="AL155" s="52">
        <f>'FY 2013 by Agency'!AL155</f>
        <v>5</v>
      </c>
      <c r="AM155" s="52">
        <f>'FY 2013 by Agency'!AM155</f>
        <v>2678</v>
      </c>
      <c r="AN155" s="52">
        <f>'FY 2013 by Agency'!AN155</f>
        <v>2200</v>
      </c>
      <c r="AO155" s="52">
        <f>'FY 2013 by Agency'!AO155</f>
        <v>2200</v>
      </c>
      <c r="AP155" s="52">
        <f>'FY 2013 by Agency'!AP155</f>
        <v>103</v>
      </c>
      <c r="AQ155" s="52">
        <f>'FY 2013 by Agency'!AQ155</f>
        <v>46</v>
      </c>
      <c r="AR155" s="52">
        <f>'FY 2013 by Agency'!AR155</f>
        <v>149</v>
      </c>
      <c r="AS155" s="52">
        <f>'FY 2013 by Agency'!AS155</f>
        <v>2299.1309999999999</v>
      </c>
      <c r="AT155" s="52" t="e">
        <f t="shared" si="163"/>
        <v>#REF!</v>
      </c>
      <c r="AU155" s="58" t="e">
        <f t="shared" si="164"/>
        <v>#REF!</v>
      </c>
      <c r="AV155" s="52">
        <f t="shared" si="165"/>
        <v>-66.26874937343382</v>
      </c>
      <c r="AW155" s="58">
        <f t="shared" si="166"/>
        <v>-2.8015877397039392E-2</v>
      </c>
      <c r="AX155" s="284" t="s">
        <v>326</v>
      </c>
      <c r="AY155" s="65">
        <v>2275.9595399999998</v>
      </c>
      <c r="AZ155" s="65">
        <f t="shared" si="167"/>
        <v>75.959539999999834</v>
      </c>
      <c r="BA155" s="65">
        <f t="shared" si="168"/>
        <v>9.6907906265660131</v>
      </c>
      <c r="BB155" s="65">
        <f t="shared" si="169"/>
        <v>2375.0905399999997</v>
      </c>
      <c r="BC155" s="58">
        <f t="shared" si="170"/>
        <v>4.0968934021121672E-3</v>
      </c>
      <c r="BD155" s="294">
        <v>11.824999999999999</v>
      </c>
      <c r="BE155" s="51">
        <f t="shared" si="187"/>
        <v>5.195610814768702E-3</v>
      </c>
      <c r="BF155" s="50">
        <v>77</v>
      </c>
      <c r="BI155" s="219">
        <v>2166</v>
      </c>
      <c r="BJ155" s="65">
        <f t="shared" si="179"/>
        <v>-109.95953999999983</v>
      </c>
      <c r="BK155" s="65">
        <f t="shared" si="180"/>
        <v>2315</v>
      </c>
      <c r="BL155" s="576">
        <f>'FY 2013 by Agency'!AS155*Inflator!$E$13</f>
        <v>2384.0241495270066</v>
      </c>
      <c r="BM155" s="52">
        <f t="shared" si="181"/>
        <v>18.624400153572878</v>
      </c>
      <c r="BN155" s="51">
        <f t="shared" si="182"/>
        <v>7.8736797695637961E-3</v>
      </c>
      <c r="BO155" s="52">
        <f>'FY 2013 by Agency'!AX155*Inflator!$E$13</f>
        <v>2245.9774183704612</v>
      </c>
      <c r="BP155" s="52">
        <f t="shared" si="171"/>
        <v>-119.42233100297244</v>
      </c>
      <c r="BQ155" s="58">
        <f t="shared" si="172"/>
        <v>-5.0487166507312768E-2</v>
      </c>
      <c r="BR155" s="52">
        <f>'FY 2013 by Agency'!BE155*Inflator!$E$14</f>
        <v>2179.4278889220664</v>
      </c>
      <c r="BS155" s="52">
        <f t="shared" si="173"/>
        <v>-66.549529448394878</v>
      </c>
      <c r="BT155" s="58">
        <f t="shared" si="174"/>
        <v>-2.963054254422513E-2</v>
      </c>
      <c r="BU155" s="52">
        <f>'FY 2013 by Agency'!BL155*Inflator!$E$14</f>
        <v>2278.8617497760529</v>
      </c>
      <c r="BV155" s="52">
        <f t="shared" si="183"/>
        <v>-105.16239975095368</v>
      </c>
      <c r="BW155" s="495">
        <v>2193</v>
      </c>
      <c r="BX155" s="39">
        <f>'FY 2013 by Agency'!BV155*Inflator!E15</f>
        <v>2293</v>
      </c>
      <c r="BY155" s="39">
        <f t="shared" si="148"/>
        <v>13.572111077933641</v>
      </c>
      <c r="BZ155" s="51">
        <f t="shared" si="149"/>
        <v>6.227373315226473E-3</v>
      </c>
      <c r="CB155" s="39"/>
    </row>
    <row r="156" spans="1:80" ht="18" customHeight="1">
      <c r="A156" s="57" t="s">
        <v>27</v>
      </c>
      <c r="B156" s="326">
        <f>'FY 2013 by Agency'!B156*Inflator!$E$2</f>
        <v>1204.4744816586922</v>
      </c>
      <c r="C156" s="326">
        <f>'FY 2013 by Agency'!C156*Inflator!$E$3</f>
        <v>3029.0517774343125</v>
      </c>
      <c r="D156" s="326">
        <f t="shared" si="150"/>
        <v>1824.5772957756203</v>
      </c>
      <c r="E156" s="355">
        <f t="shared" si="151"/>
        <v>1.5148326706456905</v>
      </c>
      <c r="F156" s="10">
        <f>'FY 2013 by Agency'!F156*Inflator!$E$4</f>
        <v>3632.121811952798</v>
      </c>
      <c r="G156" s="10">
        <f t="shared" si="152"/>
        <v>603.0700345184855</v>
      </c>
      <c r="H156" s="14">
        <f t="shared" si="153"/>
        <v>0.19909532052611589</v>
      </c>
      <c r="I156" s="10">
        <f>'FY 2013 by Agency'!I156*Inflator!$E$5</f>
        <v>3742.9810338415773</v>
      </c>
      <c r="J156" s="10">
        <f t="shared" si="154"/>
        <v>110.8592218887793</v>
      </c>
      <c r="K156" s="14">
        <f t="shared" si="155"/>
        <v>3.0521889856214988E-2</v>
      </c>
      <c r="L156" s="10">
        <f>'FY 2013 by Agency'!L156*Inflator!$E$6</f>
        <v>3754.9691021446743</v>
      </c>
      <c r="M156" s="10">
        <f t="shared" si="156"/>
        <v>11.988068303096952</v>
      </c>
      <c r="N156" s="14">
        <f t="shared" si="157"/>
        <v>3.202812997102766E-3</v>
      </c>
      <c r="O156" s="10">
        <f>'FY 2013 by Agency'!O156*Inflator!$E$7</f>
        <v>4633.5276311158041</v>
      </c>
      <c r="P156" s="52">
        <f t="shared" si="175"/>
        <v>878.55852897112982</v>
      </c>
      <c r="Q156" s="58">
        <f t="shared" si="184"/>
        <v>0.23397223920413501</v>
      </c>
      <c r="R156" s="52">
        <f>'FY 2013 by Agency'!R156*Inflator!$E$8</f>
        <v>4212.3204344874403</v>
      </c>
      <c r="S156" s="52">
        <f t="shared" si="158"/>
        <v>-421.20719662836382</v>
      </c>
      <c r="T156" s="58">
        <f t="shared" si="185"/>
        <v>-9.0904216001606641E-2</v>
      </c>
      <c r="U156" s="52">
        <f>'FY 2013 by Agency'!U156*Inflator!$E$9</f>
        <v>4653.0968169761272</v>
      </c>
      <c r="V156" s="52">
        <f t="shared" si="176"/>
        <v>440.77638248868698</v>
      </c>
      <c r="W156" s="58">
        <f t="shared" si="177"/>
        <v>0.10463980348691615</v>
      </c>
      <c r="X156" s="52">
        <f>'FY 2013 by Agency'!X156*Inflator!$E$10</f>
        <v>4445.7796125754212</v>
      </c>
      <c r="Y156" s="39">
        <f t="shared" si="178"/>
        <v>-207.31720440070603</v>
      </c>
      <c r="Z156" s="58">
        <f t="shared" si="186"/>
        <v>-4.4554672416086474E-2</v>
      </c>
      <c r="AA156" s="52">
        <f>'FY 2013 by Agency'!AA156*Inflator!$E$11</f>
        <v>4965.4749920356808</v>
      </c>
      <c r="AB156" s="39">
        <f t="shared" si="159"/>
        <v>519.69537946025957</v>
      </c>
      <c r="AC156" s="58">
        <f t="shared" si="160"/>
        <v>0.11689634321733781</v>
      </c>
      <c r="AD156" s="52" t="e">
        <f>'FY 2013 by Agency'!AD156*Inflator!#REF!</f>
        <v>#REF!</v>
      </c>
      <c r="AE156" s="52">
        <f>'FY 2013 by Agency'!AE156*Inflator!$B$8</f>
        <v>0</v>
      </c>
      <c r="AF156" s="52">
        <f>'FY 2013 by Agency'!AF156*Inflator!$E$12</f>
        <v>3951.5588972431083</v>
      </c>
      <c r="AG156" s="52">
        <f t="shared" si="161"/>
        <v>-1013.9160947925725</v>
      </c>
      <c r="AH156" s="58">
        <f t="shared" si="162"/>
        <v>-0.204193173144328</v>
      </c>
      <c r="AI156" s="52">
        <f>'FY 2013 by Agency'!AI156*Inflator!$B$8</f>
        <v>0</v>
      </c>
      <c r="AJ156" s="52">
        <f>'FY 2013 by Agency'!AJ156*Inflator!$B$8</f>
        <v>0</v>
      </c>
      <c r="AK156" s="52">
        <f>'FY 2013 by Agency'!AK156</f>
        <v>3867</v>
      </c>
      <c r="AL156" s="52">
        <f>'FY 2013 by Agency'!AL156</f>
        <v>0</v>
      </c>
      <c r="AM156" s="52">
        <f>'FY 2013 by Agency'!AM156</f>
        <v>3867</v>
      </c>
      <c r="AN156" s="52">
        <f>'FY 2013 by Agency'!AN156</f>
        <v>2100</v>
      </c>
      <c r="AO156" s="52">
        <f>'FY 2013 by Agency'!AO156</f>
        <v>2100</v>
      </c>
      <c r="AP156" s="52">
        <f>'FY 2013 by Agency'!AP156</f>
        <v>78</v>
      </c>
      <c r="AQ156" s="52">
        <f>'FY 2013 by Agency'!AQ156</f>
        <v>5</v>
      </c>
      <c r="AR156" s="52">
        <f>'FY 2013 by Agency'!AR156</f>
        <v>83</v>
      </c>
      <c r="AS156" s="52">
        <f>'FY 2013 by Agency'!AS156</f>
        <v>2614.3733400000001</v>
      </c>
      <c r="AT156" s="52" t="e">
        <f t="shared" si="163"/>
        <v>#REF!</v>
      </c>
      <c r="AU156" s="58" t="e">
        <f t="shared" si="164"/>
        <v>#REF!</v>
      </c>
      <c r="AV156" s="52">
        <f t="shared" si="165"/>
        <v>-1337.1855572431082</v>
      </c>
      <c r="AW156" s="58">
        <f t="shared" si="166"/>
        <v>-0.33839443926193913</v>
      </c>
      <c r="AX156" s="281" t="s">
        <v>327</v>
      </c>
      <c r="AY156" s="65">
        <v>2488.6309999999999</v>
      </c>
      <c r="AZ156" s="65">
        <f t="shared" si="167"/>
        <v>388.63099999999986</v>
      </c>
      <c r="BA156" s="65">
        <f t="shared" si="168"/>
        <v>-948.55455724310832</v>
      </c>
      <c r="BB156" s="65">
        <f t="shared" si="169"/>
        <v>3003.00434</v>
      </c>
      <c r="BC156" s="58">
        <f t="shared" si="170"/>
        <v>-0.2400456584121492</v>
      </c>
      <c r="BD156" s="294">
        <v>213.065</v>
      </c>
      <c r="BE156" s="51">
        <f t="shared" si="187"/>
        <v>8.5615344339920227E-2</v>
      </c>
      <c r="BF156" s="50">
        <v>213</v>
      </c>
      <c r="BI156" s="219">
        <v>2664</v>
      </c>
      <c r="BJ156" s="65">
        <f t="shared" si="179"/>
        <v>175.36900000000014</v>
      </c>
      <c r="BK156" s="65">
        <f t="shared" si="180"/>
        <v>2747</v>
      </c>
      <c r="BL156" s="576">
        <f>'FY 2013 by Agency'!AS156*Inflator!$E$13</f>
        <v>2710.9065026914868</v>
      </c>
      <c r="BM156" s="52">
        <f t="shared" si="181"/>
        <v>-1240.6523945516215</v>
      </c>
      <c r="BN156" s="51">
        <f t="shared" si="182"/>
        <v>-0.3139653050387759</v>
      </c>
      <c r="BO156" s="52">
        <f>'FY 2013 by Agency'!AX156*Inflator!$E$13</f>
        <v>2762.365578272811</v>
      </c>
      <c r="BP156" s="52">
        <f t="shared" si="171"/>
        <v>-1189.1933189702972</v>
      </c>
      <c r="BQ156" s="58">
        <f t="shared" si="172"/>
        <v>-0.30094283038523456</v>
      </c>
      <c r="BR156" s="52">
        <f>'FY 2013 by Agency'!BE156*Inflator!$E$14</f>
        <v>2705.0068677217082</v>
      </c>
      <c r="BS156" s="52">
        <f t="shared" si="173"/>
        <v>-57.358710551102831</v>
      </c>
      <c r="BT156" s="58">
        <f t="shared" si="174"/>
        <v>-2.0764344517703835E-2</v>
      </c>
      <c r="BU156" s="52">
        <f>'FY 2013 by Agency'!BL156*Inflator!$E$14</f>
        <v>2786.1773663780236</v>
      </c>
      <c r="BV156" s="52">
        <f t="shared" si="183"/>
        <v>75.270863686536813</v>
      </c>
      <c r="BW156" s="495">
        <v>2685</v>
      </c>
      <c r="BX156" s="39">
        <f>'FY 2013 by Agency'!BV156*Inflator!E15</f>
        <v>2759</v>
      </c>
      <c r="BY156" s="39">
        <f t="shared" si="148"/>
        <v>-20.006867721708204</v>
      </c>
      <c r="BZ156" s="51">
        <f t="shared" si="149"/>
        <v>-7.396235462632665E-3</v>
      </c>
      <c r="CB156" s="39"/>
    </row>
    <row r="157" spans="1:80" ht="18" customHeight="1">
      <c r="A157" s="59" t="s">
        <v>190</v>
      </c>
      <c r="B157" s="326">
        <f>'FY 2013 by Agency'!B157*Inflator!$E$2</f>
        <v>411.87878787878793</v>
      </c>
      <c r="C157" s="326">
        <f>'FY 2013 by Agency'!C157*Inflator!$E$3</f>
        <v>510.75038639876357</v>
      </c>
      <c r="D157" s="326">
        <f t="shared" si="150"/>
        <v>98.871598519975635</v>
      </c>
      <c r="E157" s="355">
        <f t="shared" si="151"/>
        <v>0.24005023183925805</v>
      </c>
      <c r="F157" s="10">
        <f>'FY 2013 by Agency'!F157*Inflator!$E$4</f>
        <v>3501.479253901789</v>
      </c>
      <c r="G157" s="10">
        <f t="shared" si="152"/>
        <v>2990.7288675030254</v>
      </c>
      <c r="H157" s="14">
        <f t="shared" si="153"/>
        <v>5.8555586978411833</v>
      </c>
      <c r="I157" s="10">
        <f>'FY 2013 by Agency'!I157*Inflator!$E$5</f>
        <v>3624.1963555224997</v>
      </c>
      <c r="J157" s="10">
        <f t="shared" si="154"/>
        <v>122.71710162071076</v>
      </c>
      <c r="K157" s="14">
        <f t="shared" si="155"/>
        <v>3.5047216539685025E-2</v>
      </c>
      <c r="L157" s="10">
        <f>'FY 2013 by Agency'!L157*Inflator!$E$6</f>
        <v>2441.9651035986913</v>
      </c>
      <c r="M157" s="10">
        <f t="shared" si="156"/>
        <v>-1182.2312519238085</v>
      </c>
      <c r="N157" s="14">
        <f t="shared" si="157"/>
        <v>-0.32620507719520797</v>
      </c>
      <c r="O157" s="10">
        <f>'FY 2013 by Agency'!O157*Inflator!$E$7</f>
        <v>5150.2245688137973</v>
      </c>
      <c r="P157" s="52">
        <f t="shared" si="175"/>
        <v>2708.259465215106</v>
      </c>
      <c r="Q157" s="58">
        <f t="shared" si="184"/>
        <v>1.1090492084526435</v>
      </c>
      <c r="R157" s="52">
        <f>'FY 2013 by Agency'!R157*Inflator!$E$8</f>
        <v>3464.8988458927356</v>
      </c>
      <c r="S157" s="52">
        <f t="shared" si="158"/>
        <v>-1685.3257229210617</v>
      </c>
      <c r="T157" s="58">
        <f t="shared" si="185"/>
        <v>-0.32723344397955578</v>
      </c>
      <c r="U157" s="52">
        <f>'FY 2013 by Agency'!U157*Inflator!$E$9</f>
        <v>-2.2533156498673739</v>
      </c>
      <c r="V157" s="52">
        <f t="shared" si="176"/>
        <v>-3467.1521615426032</v>
      </c>
      <c r="W157" s="58">
        <f t="shared" si="177"/>
        <v>-1.0006503265319098</v>
      </c>
      <c r="X157" s="52">
        <f>'FY 2013 by Agency'!X157*Inflator!$E$10</f>
        <v>-36.688472530962216</v>
      </c>
      <c r="Y157" s="39">
        <f t="shared" si="178"/>
        <v>-34.435156881094841</v>
      </c>
      <c r="Z157" s="58">
        <f t="shared" si="186"/>
        <v>15.281994283899653</v>
      </c>
      <c r="AA157" s="52">
        <f>'FY 2013 by Agency'!AA157*Inflator!$E$11</f>
        <v>0</v>
      </c>
      <c r="AB157" s="39">
        <f t="shared" si="159"/>
        <v>36.688472530962216</v>
      </c>
      <c r="AC157" s="58">
        <f t="shared" si="160"/>
        <v>-1</v>
      </c>
      <c r="AD157" s="52" t="e">
        <f>'FY 2013 by Agency'!AD157*Inflator!#REF!</f>
        <v>#REF!</v>
      </c>
      <c r="AE157" s="52">
        <f>'FY 2013 by Agency'!AE157*Inflator!$B$8</f>
        <v>0</v>
      </c>
      <c r="AF157" s="52">
        <f>'FY 2013 by Agency'!AF157*Inflator!$E$12</f>
        <v>0</v>
      </c>
      <c r="AG157" s="52">
        <f t="shared" si="161"/>
        <v>0</v>
      </c>
      <c r="AH157" s="58" t="e">
        <f t="shared" si="162"/>
        <v>#DIV/0!</v>
      </c>
      <c r="AI157" s="52">
        <f>'FY 2013 by Agency'!AI157*Inflator!$B$8</f>
        <v>0</v>
      </c>
      <c r="AJ157" s="52">
        <f>'FY 2013 by Agency'!AJ157*Inflator!$B$8</f>
        <v>0</v>
      </c>
      <c r="AK157" s="52">
        <f>'FY 2013 by Agency'!AK157</f>
        <v>0</v>
      </c>
      <c r="AL157" s="52">
        <f>'FY 2013 by Agency'!AL157</f>
        <v>0</v>
      </c>
      <c r="AM157" s="52">
        <f>'FY 2013 by Agency'!AM157</f>
        <v>0</v>
      </c>
      <c r="AN157" s="52">
        <f>'FY 2013 by Agency'!AN157</f>
        <v>0</v>
      </c>
      <c r="AO157" s="52">
        <f>'FY 2013 by Agency'!AO157</f>
        <v>0</v>
      </c>
      <c r="AP157" s="52">
        <f>'FY 2013 by Agency'!AP157</f>
        <v>0</v>
      </c>
      <c r="AQ157" s="52">
        <f>'FY 2013 by Agency'!AQ157</f>
        <v>0</v>
      </c>
      <c r="AR157" s="52">
        <f>'FY 2013 by Agency'!AR157</f>
        <v>0</v>
      </c>
      <c r="AS157" s="52">
        <f>'FY 2013 by Agency'!AS157</f>
        <v>0</v>
      </c>
      <c r="AT157" s="52" t="e">
        <f t="shared" si="163"/>
        <v>#REF!</v>
      </c>
      <c r="AU157" s="58" t="e">
        <f t="shared" si="164"/>
        <v>#REF!</v>
      </c>
      <c r="AV157" s="52">
        <f t="shared" si="165"/>
        <v>0</v>
      </c>
      <c r="AW157" s="58" t="e">
        <f t="shared" si="166"/>
        <v>#DIV/0!</v>
      </c>
      <c r="AY157" s="65"/>
      <c r="AZ157" s="65">
        <f t="shared" si="167"/>
        <v>0</v>
      </c>
      <c r="BA157" s="65">
        <f t="shared" si="168"/>
        <v>0</v>
      </c>
      <c r="BB157" s="65">
        <f t="shared" si="169"/>
        <v>0</v>
      </c>
      <c r="BC157" s="58"/>
      <c r="BD157" s="294"/>
      <c r="BE157" s="303"/>
      <c r="BI157" s="65"/>
      <c r="BJ157" s="65">
        <f t="shared" si="179"/>
        <v>0</v>
      </c>
      <c r="BK157" s="65">
        <f t="shared" si="180"/>
        <v>0</v>
      </c>
      <c r="BL157" s="576">
        <f>'FY 2013 by Agency'!AS157*Inflator!$E$13</f>
        <v>0</v>
      </c>
      <c r="BM157" s="52">
        <f t="shared" si="181"/>
        <v>0</v>
      </c>
      <c r="BN157" s="51" t="e">
        <f t="shared" si="182"/>
        <v>#DIV/0!</v>
      </c>
      <c r="BO157" s="52">
        <f>'FY 2013 by Agency'!AX157*Inflator!$E$13</f>
        <v>0</v>
      </c>
      <c r="BP157" s="52">
        <f t="shared" si="171"/>
        <v>0</v>
      </c>
      <c r="BQ157" s="58" t="e">
        <f t="shared" si="172"/>
        <v>#DIV/0!</v>
      </c>
      <c r="BR157" s="52">
        <f>'FY 2013 by Agency'!BE157*Inflator!$E$14</f>
        <v>0</v>
      </c>
      <c r="BS157" s="52">
        <f t="shared" si="173"/>
        <v>0</v>
      </c>
      <c r="BT157" s="58" t="e">
        <f t="shared" si="174"/>
        <v>#DIV/0!</v>
      </c>
      <c r="BU157" s="52">
        <f>'FY 2013 by Agency'!BL157*Inflator!$E$14</f>
        <v>0</v>
      </c>
      <c r="BV157" s="52">
        <f t="shared" si="183"/>
        <v>0</v>
      </c>
      <c r="BW157" s="39">
        <v>0</v>
      </c>
      <c r="BX157" s="39">
        <f>'FY 2013 by Agency'!BV156*Inflator!E26</f>
        <v>0</v>
      </c>
      <c r="BY157" s="39">
        <f t="shared" si="148"/>
        <v>0</v>
      </c>
      <c r="BZ157" s="51" t="e">
        <f t="shared" si="149"/>
        <v>#DIV/0!</v>
      </c>
      <c r="CB157" s="39"/>
    </row>
    <row r="158" spans="1:80" ht="18" customHeight="1">
      <c r="A158" s="57" t="s">
        <v>74</v>
      </c>
      <c r="B158" s="326">
        <f>'FY 2013 by Agency'!B158*Inflator!$E$2</f>
        <v>0</v>
      </c>
      <c r="C158" s="326">
        <f>'FY 2013 by Agency'!C158*Inflator!$E$3</f>
        <v>6564.9149922720253</v>
      </c>
      <c r="D158" s="326">
        <f t="shared" si="150"/>
        <v>6564.9149922720253</v>
      </c>
      <c r="E158" s="334" t="s">
        <v>78</v>
      </c>
      <c r="F158" s="10">
        <f>'FY 2013 by Agency'!F158*Inflator!$E$4</f>
        <v>7542.344118766654</v>
      </c>
      <c r="G158" s="10">
        <f t="shared" si="152"/>
        <v>977.42912649462869</v>
      </c>
      <c r="H158" s="14">
        <f t="shared" si="153"/>
        <v>0.14888679101636837</v>
      </c>
      <c r="I158" s="10">
        <f>'FY 2013 by Agency'!I158*Inflator!$E$5</f>
        <v>3624.1963555224997</v>
      </c>
      <c r="J158" s="10">
        <f t="shared" si="154"/>
        <v>-3918.1477632441542</v>
      </c>
      <c r="K158" s="14">
        <f t="shared" si="155"/>
        <v>-0.51948674066662193</v>
      </c>
      <c r="L158" s="10">
        <f>'FY 2013 by Agency'!L158*Inflator!$E$6</f>
        <v>6012.8913122500899</v>
      </c>
      <c r="M158" s="10">
        <f t="shared" si="156"/>
        <v>2388.6949567275901</v>
      </c>
      <c r="N158" s="14">
        <f t="shared" si="157"/>
        <v>0.65909645129677652</v>
      </c>
      <c r="O158" s="10">
        <f>'FY 2013 by Agency'!O158*Inflator!$E$7</f>
        <v>6061.620556142203</v>
      </c>
      <c r="P158" s="52">
        <f t="shared" si="175"/>
        <v>48.729243892113118</v>
      </c>
      <c r="Q158" s="58">
        <f t="shared" si="184"/>
        <v>8.1041285068361064E-3</v>
      </c>
      <c r="R158" s="52">
        <f>'FY 2013 by Agency'!R158*Inflator!$E$8</f>
        <v>10668.059063136456</v>
      </c>
      <c r="S158" s="52">
        <f t="shared" si="158"/>
        <v>4606.4385069942527</v>
      </c>
      <c r="T158" s="58">
        <f t="shared" si="185"/>
        <v>0.75993514676971607</v>
      </c>
      <c r="U158" s="52">
        <f>'FY 2013 by Agency'!U158*Inflator!$E$9</f>
        <v>14750.204244031829</v>
      </c>
      <c r="V158" s="52">
        <f t="shared" si="176"/>
        <v>4082.1451808953734</v>
      </c>
      <c r="W158" s="58">
        <f t="shared" si="177"/>
        <v>0.38265116050971743</v>
      </c>
      <c r="X158" s="52">
        <f>'FY 2013 by Agency'!X158*Inflator!$E$10</f>
        <v>22456.582407113372</v>
      </c>
      <c r="Y158" s="39">
        <f t="shared" si="178"/>
        <v>7706.3781630815429</v>
      </c>
      <c r="Z158" s="58">
        <f t="shared" si="186"/>
        <v>0.52245908162252519</v>
      </c>
      <c r="AA158" s="52">
        <f>'FY 2013 by Agency'!AA158*Inflator!$E$11</f>
        <v>19983.141127747695</v>
      </c>
      <c r="AB158" s="39">
        <f t="shared" si="159"/>
        <v>-2473.4412793656775</v>
      </c>
      <c r="AC158" s="58">
        <f t="shared" si="160"/>
        <v>-0.11014326376671579</v>
      </c>
      <c r="AD158" s="52" t="e">
        <f>'FY 2013 by Agency'!AD158*Inflator!#REF!</f>
        <v>#REF!</v>
      </c>
      <c r="AE158" s="52">
        <f>'FY 2013 by Agency'!AE158*Inflator!$B$8</f>
        <v>0</v>
      </c>
      <c r="AF158" s="52">
        <f>'FY 2013 by Agency'!AF158*Inflator!$E$12</f>
        <v>11286.214285714286</v>
      </c>
      <c r="AG158" s="52">
        <f t="shared" si="161"/>
        <v>-8696.9268420334083</v>
      </c>
      <c r="AH158" s="58">
        <f t="shared" si="162"/>
        <v>-0.43521320229066718</v>
      </c>
      <c r="AI158" s="52">
        <f>'FY 2013 by Agency'!AI158*Inflator!$B$8</f>
        <v>0</v>
      </c>
      <c r="AJ158" s="52">
        <f>'FY 2013 by Agency'!AJ158*Inflator!$B$8</f>
        <v>0</v>
      </c>
      <c r="AK158" s="52">
        <f>'FY 2013 by Agency'!AK158</f>
        <v>0</v>
      </c>
      <c r="AL158" s="52">
        <f>'FY 2013 by Agency'!AL158</f>
        <v>10602</v>
      </c>
      <c r="AM158" s="52">
        <f>'FY 2013 by Agency'!AM158</f>
        <v>10602</v>
      </c>
      <c r="AN158" s="52">
        <f>'FY 2013 by Agency'!AN158</f>
        <v>7200</v>
      </c>
      <c r="AO158" s="52">
        <f>'FY 2013 by Agency'!AO158</f>
        <v>7200</v>
      </c>
      <c r="AP158" s="52">
        <f>'FY 2013 by Agency'!AP158</f>
        <v>0</v>
      </c>
      <c r="AQ158" s="52">
        <f>'FY 2013 by Agency'!AQ158</f>
        <v>0</v>
      </c>
      <c r="AR158" s="52">
        <f>'FY 2013 by Agency'!AR158</f>
        <v>0</v>
      </c>
      <c r="AS158" s="52">
        <f>'FY 2013 by Agency'!AS158</f>
        <v>5120</v>
      </c>
      <c r="AT158" s="52" t="e">
        <f t="shared" si="163"/>
        <v>#REF!</v>
      </c>
      <c r="AU158" s="58" t="e">
        <f t="shared" si="164"/>
        <v>#REF!</v>
      </c>
      <c r="AV158" s="52">
        <f t="shared" si="165"/>
        <v>-6166.2142857142862</v>
      </c>
      <c r="AW158" s="58">
        <f t="shared" si="166"/>
        <v>-0.54634921237666689</v>
      </c>
      <c r="AX158" s="284" t="s">
        <v>328</v>
      </c>
      <c r="AY158" s="65">
        <v>7200</v>
      </c>
      <c r="AZ158" s="65">
        <f t="shared" si="167"/>
        <v>0</v>
      </c>
      <c r="BA158" s="65">
        <f t="shared" si="168"/>
        <v>-6166.2142857142862</v>
      </c>
      <c r="BB158" s="65">
        <f t="shared" si="169"/>
        <v>5120</v>
      </c>
      <c r="BC158" s="58">
        <f t="shared" si="170"/>
        <v>-0.54634921237666689</v>
      </c>
      <c r="BD158" s="294">
        <v>720</v>
      </c>
      <c r="BE158" s="51">
        <f t="shared" ref="BE158:BE163" si="188">BD158/AY158</f>
        <v>0.1</v>
      </c>
      <c r="BI158" s="219">
        <v>4625</v>
      </c>
      <c r="BJ158" s="65">
        <f t="shared" si="179"/>
        <v>-2575</v>
      </c>
      <c r="BK158" s="65">
        <f t="shared" si="180"/>
        <v>4625</v>
      </c>
      <c r="BL158" s="576">
        <f>'FY 2013 by Agency'!AS158*Inflator!$E$13</f>
        <v>5309.0509612450423</v>
      </c>
      <c r="BM158" s="52">
        <f t="shared" si="181"/>
        <v>-5977.1633244692439</v>
      </c>
      <c r="BN158" s="51">
        <f t="shared" si="182"/>
        <v>-0.52959860349585408</v>
      </c>
      <c r="BO158" s="52">
        <f>'FY 2013 by Agency'!AX158*Inflator!$E$13</f>
        <v>4795.7735733902964</v>
      </c>
      <c r="BP158" s="52">
        <f t="shared" si="171"/>
        <v>-6490.4407123239898</v>
      </c>
      <c r="BQ158" s="58">
        <f t="shared" si="172"/>
        <v>-0.57507686350943854</v>
      </c>
      <c r="BR158" s="52">
        <f>'FY 2013 by Agency'!BE158*Inflator!$E$14</f>
        <v>3043.8936996118246</v>
      </c>
      <c r="BS158" s="52">
        <f t="shared" si="173"/>
        <v>-1751.8798737784718</v>
      </c>
      <c r="BT158" s="58">
        <f t="shared" si="174"/>
        <v>-0.36529661940232261</v>
      </c>
      <c r="BU158" s="52">
        <f>'FY 2013 by Agency'!BL158*Inflator!$E$14</f>
        <v>3043.8936996118246</v>
      </c>
      <c r="BV158" s="52">
        <f t="shared" si="183"/>
        <v>-2265.1572616332178</v>
      </c>
      <c r="BW158" s="39">
        <v>3000</v>
      </c>
      <c r="BX158" s="39"/>
      <c r="BY158" s="39">
        <f t="shared" si="148"/>
        <v>-43.893699611824559</v>
      </c>
      <c r="BZ158" s="51">
        <f t="shared" si="149"/>
        <v>-1.442024720423783E-2</v>
      </c>
      <c r="CB158" s="39"/>
    </row>
    <row r="159" spans="1:80" ht="18" customHeight="1">
      <c r="A159" s="57" t="s">
        <v>28</v>
      </c>
      <c r="B159" s="326">
        <f>'FY 2013 by Agency'!B159*Inflator!$E$2</f>
        <v>0</v>
      </c>
      <c r="C159" s="326">
        <f>'FY 2013 by Agency'!C159*Inflator!$E$3</f>
        <v>0</v>
      </c>
      <c r="D159" s="326">
        <f t="shared" si="150"/>
        <v>0</v>
      </c>
      <c r="E159" s="334" t="s">
        <v>78</v>
      </c>
      <c r="F159" s="10">
        <f>'FY 2013 by Agency'!F159*Inflator!$E$4</f>
        <v>256.11115340692805</v>
      </c>
      <c r="G159" s="10">
        <f t="shared" si="152"/>
        <v>256.11115340692805</v>
      </c>
      <c r="H159" s="334" t="s">
        <v>78</v>
      </c>
      <c r="I159" s="10">
        <f>'FY 2013 by Agency'!I159*Inflator!$E$5</f>
        <v>256.5243584975828</v>
      </c>
      <c r="J159" s="10">
        <f t="shared" si="154"/>
        <v>0.41320509065474198</v>
      </c>
      <c r="K159" s="14">
        <f t="shared" si="155"/>
        <v>1.6133818662641827E-3</v>
      </c>
      <c r="L159" s="10">
        <f>'FY 2013 by Agency'!L159*Inflator!$E$6</f>
        <v>394.02471828426025</v>
      </c>
      <c r="M159" s="10">
        <f t="shared" si="156"/>
        <v>137.50035978667745</v>
      </c>
      <c r="N159" s="14">
        <f t="shared" si="157"/>
        <v>0.53601287843381584</v>
      </c>
      <c r="O159" s="10">
        <f>'FY 2013 by Agency'!O159*Inflator!$E$7</f>
        <v>419.81626187961979</v>
      </c>
      <c r="P159" s="52">
        <f t="shared" si="175"/>
        <v>25.791543595359542</v>
      </c>
      <c r="Q159" s="58">
        <f t="shared" si="184"/>
        <v>6.5456664007441323E-2</v>
      </c>
      <c r="R159" s="52">
        <f>'FY 2013 by Agency'!R159*Inflator!$E$8</f>
        <v>698.9775967413442</v>
      </c>
      <c r="S159" s="52">
        <f t="shared" si="158"/>
        <v>279.16133486172441</v>
      </c>
      <c r="T159" s="58">
        <f t="shared" si="185"/>
        <v>0.66496074642714176</v>
      </c>
      <c r="U159" s="52">
        <f>'FY 2013 by Agency'!U159*Inflator!$E$9</f>
        <v>917.09946949602113</v>
      </c>
      <c r="V159" s="52">
        <f t="shared" si="176"/>
        <v>218.12187275467693</v>
      </c>
      <c r="W159" s="58">
        <f t="shared" si="177"/>
        <v>0.31205846048795849</v>
      </c>
      <c r="X159" s="52">
        <f>'FY 2013 by Agency'!X159*Inflator!$E$10</f>
        <v>1003.5376309939664</v>
      </c>
      <c r="Y159" s="39">
        <f t="shared" si="178"/>
        <v>86.438161497945316</v>
      </c>
      <c r="Z159" s="58">
        <f t="shared" si="186"/>
        <v>9.4251675388544467E-2</v>
      </c>
      <c r="AA159" s="52">
        <f>'FY 2013 by Agency'!AA159*Inflator!$E$11</f>
        <v>1044.6224912392483</v>
      </c>
      <c r="AB159" s="39">
        <f t="shared" si="159"/>
        <v>41.084860245281902</v>
      </c>
      <c r="AC159" s="58">
        <f t="shared" si="160"/>
        <v>4.0940029527929994E-2</v>
      </c>
      <c r="AD159" s="52" t="e">
        <f>'FY 2013 by Agency'!AD159*Inflator!#REF!</f>
        <v>#REF!</v>
      </c>
      <c r="AE159" s="52">
        <f>'FY 2013 by Agency'!AE159*Inflator!$B$8</f>
        <v>0</v>
      </c>
      <c r="AF159" s="52">
        <f>'FY 2013 by Agency'!AF159*Inflator!$E$12</f>
        <v>925.08208020050131</v>
      </c>
      <c r="AG159" s="52">
        <f t="shared" si="161"/>
        <v>-119.54041103874704</v>
      </c>
      <c r="AH159" s="58">
        <f t="shared" si="162"/>
        <v>-0.11443407742153321</v>
      </c>
      <c r="AI159" s="52">
        <f>'FY 2013 by Agency'!AI159*Inflator!$B$8</f>
        <v>0</v>
      </c>
      <c r="AJ159" s="52">
        <f>'FY 2013 by Agency'!AJ159*Inflator!$B$8</f>
        <v>0</v>
      </c>
      <c r="AK159" s="52">
        <f>'FY 2013 by Agency'!AK159</f>
        <v>993</v>
      </c>
      <c r="AL159" s="52">
        <f>'FY 2013 by Agency'!AL159</f>
        <v>0</v>
      </c>
      <c r="AM159" s="52">
        <f>'FY 2013 by Agency'!AM159</f>
        <v>993</v>
      </c>
      <c r="AN159" s="52">
        <f>'FY 2013 by Agency'!AN159</f>
        <v>815</v>
      </c>
      <c r="AO159" s="52">
        <f>'FY 2013 by Agency'!AO159</f>
        <v>815</v>
      </c>
      <c r="AP159" s="52">
        <f>'FY 2013 by Agency'!AP159</f>
        <v>36</v>
      </c>
      <c r="AQ159" s="52">
        <f>'FY 2013 by Agency'!AQ159</f>
        <v>12</v>
      </c>
      <c r="AR159" s="52">
        <f>'FY 2013 by Agency'!AR159</f>
        <v>48</v>
      </c>
      <c r="AS159" s="52">
        <f>'FY 2013 by Agency'!AS159</f>
        <v>829.48931000000005</v>
      </c>
      <c r="AT159" s="52" t="e">
        <f t="shared" si="163"/>
        <v>#REF!</v>
      </c>
      <c r="AU159" s="58" t="e">
        <f t="shared" si="164"/>
        <v>#REF!</v>
      </c>
      <c r="AV159" s="52">
        <f t="shared" si="165"/>
        <v>-95.592770200501263</v>
      </c>
      <c r="AW159" s="58">
        <f t="shared" si="166"/>
        <v>-0.10333436594056886</v>
      </c>
      <c r="AX159" s="284" t="s">
        <v>329</v>
      </c>
      <c r="AY159" s="65">
        <v>815</v>
      </c>
      <c r="AZ159" s="65">
        <f t="shared" si="167"/>
        <v>0</v>
      </c>
      <c r="BA159" s="65">
        <f t="shared" si="168"/>
        <v>-95.592770200501263</v>
      </c>
      <c r="BB159" s="65">
        <f t="shared" si="169"/>
        <v>829.48931000000005</v>
      </c>
      <c r="BC159" s="58">
        <f t="shared" si="170"/>
        <v>-0.10333436594056888</v>
      </c>
      <c r="BD159" s="294">
        <v>31.093</v>
      </c>
      <c r="BE159" s="51">
        <f t="shared" si="188"/>
        <v>3.8150920245398776E-2</v>
      </c>
      <c r="BF159" s="50">
        <v>31</v>
      </c>
      <c r="BI159" s="219">
        <v>776</v>
      </c>
      <c r="BJ159" s="65">
        <f t="shared" si="179"/>
        <v>-39</v>
      </c>
      <c r="BK159" s="65">
        <f t="shared" si="180"/>
        <v>824</v>
      </c>
      <c r="BL159" s="576">
        <f>'FY 2013 by Agency'!AS159*Inflator!$E$13</f>
        <v>860.11738644491936</v>
      </c>
      <c r="BM159" s="52">
        <f t="shared" si="181"/>
        <v>-64.964693755581948</v>
      </c>
      <c r="BN159" s="51">
        <f t="shared" si="182"/>
        <v>-7.0225869840113614E-2</v>
      </c>
      <c r="BO159" s="52">
        <f>'FY 2013 by Agency'!AX159*Inflator!$E$13</f>
        <v>804.6530363137017</v>
      </c>
      <c r="BP159" s="52">
        <f t="shared" si="171"/>
        <v>-120.4290438867996</v>
      </c>
      <c r="BQ159" s="58">
        <f t="shared" si="172"/>
        <v>-0.13018200921230463</v>
      </c>
      <c r="BR159" s="52">
        <f>'FY 2013 by Agency'!BE159*Inflator!$E$14</f>
        <v>779.23678710062711</v>
      </c>
      <c r="BS159" s="52">
        <f t="shared" si="173"/>
        <v>-25.416249213074593</v>
      </c>
      <c r="BT159" s="58">
        <f t="shared" si="174"/>
        <v>-3.1586594551997471E-2</v>
      </c>
      <c r="BU159" s="52">
        <f>'FY 2013 by Agency'!BL159*Inflator!$E$14</f>
        <v>815.76351149596906</v>
      </c>
      <c r="BV159" s="52">
        <f t="shared" si="183"/>
        <v>-44.353874948950306</v>
      </c>
      <c r="BW159" s="495">
        <v>780</v>
      </c>
      <c r="BX159" s="39">
        <f>'FY 2013 by Agency'!BV159*Inflator!E15</f>
        <v>815</v>
      </c>
      <c r="BY159" s="39">
        <f t="shared" si="148"/>
        <v>0.76321289937288839</v>
      </c>
      <c r="BZ159" s="51">
        <f t="shared" si="149"/>
        <v>9.7943643319592225E-4</v>
      </c>
      <c r="CB159" s="39"/>
    </row>
    <row r="160" spans="1:80" ht="18" customHeight="1">
      <c r="A160" s="57" t="s">
        <v>29</v>
      </c>
      <c r="B160" s="326">
        <f>'FY 2013 by Agency'!B160*Inflator!$E$2</f>
        <v>0</v>
      </c>
      <c r="C160" s="326">
        <f>'FY 2013 by Agency'!C160*Inflator!$E$3</f>
        <v>0</v>
      </c>
      <c r="D160" s="326">
        <f t="shared" si="150"/>
        <v>0</v>
      </c>
      <c r="E160" s="334" t="s">
        <v>78</v>
      </c>
      <c r="F160" s="10">
        <f>'FY 2013 by Agency'!F160*Inflator!$E$4</f>
        <v>222.4803958888466</v>
      </c>
      <c r="G160" s="10">
        <f t="shared" si="152"/>
        <v>222.4803958888466</v>
      </c>
      <c r="H160" s="334" t="s">
        <v>78</v>
      </c>
      <c r="I160" s="10">
        <f>'FY 2013 by Agency'!I160*Inflator!$E$5</f>
        <v>295.69802900706588</v>
      </c>
      <c r="J160" s="10">
        <f t="shared" si="154"/>
        <v>73.217633118219283</v>
      </c>
      <c r="K160" s="14">
        <f t="shared" si="155"/>
        <v>0.32909701021387761</v>
      </c>
      <c r="L160" s="10">
        <f>'FY 2013 by Agency'!L160*Inflator!$E$6</f>
        <v>286.563431479462</v>
      </c>
      <c r="M160" s="10">
        <f t="shared" si="156"/>
        <v>-9.1345975276038871</v>
      </c>
      <c r="N160" s="14">
        <f t="shared" si="157"/>
        <v>-3.0891641578664735E-2</v>
      </c>
      <c r="O160" s="10">
        <f>'FY 2013 by Agency'!O160*Inflator!$E$7</f>
        <v>278.68145019359378</v>
      </c>
      <c r="P160" s="52">
        <f t="shared" si="175"/>
        <v>-7.8819812858682212</v>
      </c>
      <c r="Q160" s="58">
        <f t="shared" si="184"/>
        <v>-2.7505188799475704E-2</v>
      </c>
      <c r="R160" s="52">
        <f>'FY 2013 by Agency'!R160*Inflator!$E$8</f>
        <v>306.81194840461643</v>
      </c>
      <c r="S160" s="52">
        <f t="shared" si="158"/>
        <v>28.130498211022655</v>
      </c>
      <c r="T160" s="58">
        <f t="shared" si="185"/>
        <v>0.10094140887913791</v>
      </c>
      <c r="U160" s="52">
        <f>'FY 2013 by Agency'!U160*Inflator!$E$9</f>
        <v>344.75729442970822</v>
      </c>
      <c r="V160" s="52">
        <f t="shared" si="176"/>
        <v>37.945346025091794</v>
      </c>
      <c r="W160" s="58">
        <f t="shared" si="177"/>
        <v>0.12367623302287549</v>
      </c>
      <c r="X160" s="52">
        <f>'FY 2013 by Agency'!X160*Inflator!$E$10</f>
        <v>318.32645284217216</v>
      </c>
      <c r="Y160" s="39">
        <f t="shared" si="178"/>
        <v>-26.430841587536065</v>
      </c>
      <c r="Z160" s="58">
        <f t="shared" si="186"/>
        <v>-7.6665068483199247E-2</v>
      </c>
      <c r="AA160" s="52">
        <f>'FY 2013 by Agency'!AA160*Inflator!$E$11</f>
        <v>500.11978337050022</v>
      </c>
      <c r="AB160" s="39">
        <f t="shared" si="159"/>
        <v>181.79333052832806</v>
      </c>
      <c r="AC160" s="58">
        <f t="shared" si="160"/>
        <v>0.57109086883980109</v>
      </c>
      <c r="AD160" s="52" t="e">
        <f>'FY 2013 by Agency'!AD160*Inflator!#REF!</f>
        <v>#REF!</v>
      </c>
      <c r="AE160" s="52">
        <f>'FY 2013 by Agency'!AE160*Inflator!$B$8</f>
        <v>0</v>
      </c>
      <c r="AF160" s="52">
        <f>'FY 2013 by Agency'!AF160*Inflator!$E$12</f>
        <v>450.29887218045116</v>
      </c>
      <c r="AG160" s="52">
        <f t="shared" si="161"/>
        <v>-49.82091119004906</v>
      </c>
      <c r="AH160" s="58">
        <f t="shared" si="162"/>
        <v>-9.9617957230739226E-2</v>
      </c>
      <c r="AI160" s="52">
        <f>'FY 2013 by Agency'!AI160*Inflator!$B$8</f>
        <v>0</v>
      </c>
      <c r="AJ160" s="52">
        <f>'FY 2013 by Agency'!AJ160*Inflator!$B$8</f>
        <v>0</v>
      </c>
      <c r="AK160" s="52">
        <f>'FY 2013 by Agency'!AK160</f>
        <v>480</v>
      </c>
      <c r="AL160" s="52">
        <f>'FY 2013 by Agency'!AL160</f>
        <v>0</v>
      </c>
      <c r="AM160" s="52">
        <f>'FY 2013 by Agency'!AM160</f>
        <v>480</v>
      </c>
      <c r="AN160" s="52">
        <f>'FY 2013 by Agency'!AN160</f>
        <v>392</v>
      </c>
      <c r="AO160" s="52">
        <f>'FY 2013 by Agency'!AO160</f>
        <v>392</v>
      </c>
      <c r="AP160" s="52">
        <f>'FY 2013 by Agency'!AP160</f>
        <v>20</v>
      </c>
      <c r="AQ160" s="52">
        <f>'FY 2013 by Agency'!AQ160</f>
        <v>9</v>
      </c>
      <c r="AR160" s="52">
        <f>'FY 2013 by Agency'!AR160</f>
        <v>29</v>
      </c>
      <c r="AS160" s="52">
        <f>'FY 2013 by Agency'!AS160</f>
        <v>395.33764000000002</v>
      </c>
      <c r="AT160" s="52" t="e">
        <f t="shared" si="163"/>
        <v>#REF!</v>
      </c>
      <c r="AU160" s="58" t="e">
        <f t="shared" si="164"/>
        <v>#REF!</v>
      </c>
      <c r="AV160" s="52">
        <f t="shared" si="165"/>
        <v>-54.961232180451134</v>
      </c>
      <c r="AW160" s="58">
        <f t="shared" si="166"/>
        <v>-0.1220550074094482</v>
      </c>
      <c r="AX160" s="284" t="s">
        <v>330</v>
      </c>
      <c r="AY160" s="65">
        <v>392</v>
      </c>
      <c r="AZ160" s="65">
        <f t="shared" si="167"/>
        <v>0</v>
      </c>
      <c r="BA160" s="65">
        <f t="shared" si="168"/>
        <v>-54.961232180451134</v>
      </c>
      <c r="BB160" s="65">
        <f t="shared" si="169"/>
        <v>395.33764000000002</v>
      </c>
      <c r="BC160" s="58">
        <f t="shared" si="170"/>
        <v>-0.12205500740944819</v>
      </c>
      <c r="BD160" s="294">
        <v>7.3860000000000001</v>
      </c>
      <c r="BE160" s="51">
        <f t="shared" si="188"/>
        <v>1.8841836734693879E-2</v>
      </c>
      <c r="BI160" s="219">
        <v>379</v>
      </c>
      <c r="BJ160" s="65">
        <f t="shared" si="179"/>
        <v>-13</v>
      </c>
      <c r="BK160" s="65">
        <f t="shared" si="180"/>
        <v>408</v>
      </c>
      <c r="BL160" s="576">
        <f>'FY 2013 by Agency'!AS160*Inflator!$E$13</f>
        <v>409.93509329264583</v>
      </c>
      <c r="BM160" s="52">
        <f t="shared" si="181"/>
        <v>-40.363778887805324</v>
      </c>
      <c r="BN160" s="51">
        <f t="shared" si="182"/>
        <v>-8.9637752571652213E-2</v>
      </c>
      <c r="BO160" s="52">
        <f>'FY 2013 by Agency'!AX160*Inflator!$E$13</f>
        <v>392.99420201403728</v>
      </c>
      <c r="BP160" s="52">
        <f t="shared" si="171"/>
        <v>-57.304670166413871</v>
      </c>
      <c r="BQ160" s="58">
        <f t="shared" si="172"/>
        <v>-0.12725919096561672</v>
      </c>
      <c r="BR160" s="52">
        <f>'FY 2013 by Agency'!BE160*Inflator!$E$14</f>
        <v>378.45744998507018</v>
      </c>
      <c r="BS160" s="52">
        <f t="shared" si="173"/>
        <v>-14.536752028967101</v>
      </c>
      <c r="BT160" s="58">
        <f t="shared" si="174"/>
        <v>-3.6989736628348181E-2</v>
      </c>
      <c r="BU160" s="52">
        <f>'FY 2013 by Agency'!BL160*Inflator!$E$14</f>
        <v>400.77933711555693</v>
      </c>
      <c r="BV160" s="52">
        <f t="shared" si="183"/>
        <v>-9.1557561770889038</v>
      </c>
      <c r="BW160" s="495">
        <v>394</v>
      </c>
      <c r="BX160" s="39">
        <f>'FY 2013 by Agency'!BV199*Inflator!E15</f>
        <v>5000</v>
      </c>
      <c r="BY160" s="39">
        <f t="shared" si="148"/>
        <v>15.542550014929816</v>
      </c>
      <c r="BZ160" s="51">
        <f t="shared" si="149"/>
        <v>4.1068157108660318E-2</v>
      </c>
      <c r="CB160" s="39"/>
    </row>
    <row r="161" spans="1:80" ht="18" customHeight="1">
      <c r="A161" s="63" t="s">
        <v>191</v>
      </c>
      <c r="B161" s="334" t="s">
        <v>78</v>
      </c>
      <c r="C161" s="334" t="s">
        <v>78</v>
      </c>
      <c r="D161" s="334" t="s">
        <v>78</v>
      </c>
      <c r="E161" s="334" t="s">
        <v>78</v>
      </c>
      <c r="F161" s="334" t="s">
        <v>78</v>
      </c>
      <c r="G161" s="334" t="s">
        <v>78</v>
      </c>
      <c r="H161" s="334" t="s">
        <v>78</v>
      </c>
      <c r="I161" s="334" t="s">
        <v>78</v>
      </c>
      <c r="J161" s="334" t="s">
        <v>78</v>
      </c>
      <c r="K161" s="334" t="s">
        <v>78</v>
      </c>
      <c r="L161" s="10">
        <f>'FY 2013 by Agency'!L161*Inflator!$E$6</f>
        <v>47507.770265358049</v>
      </c>
      <c r="M161" s="329" t="s">
        <v>78</v>
      </c>
      <c r="N161" s="329" t="s">
        <v>78</v>
      </c>
      <c r="O161" s="10">
        <f>'FY 2013 by Agency'!O161*Inflator!$E$7</f>
        <v>60631.754311862016</v>
      </c>
      <c r="P161" s="52">
        <f t="shared" si="175"/>
        <v>13123.984046503967</v>
      </c>
      <c r="Q161" s="60" t="s">
        <v>78</v>
      </c>
      <c r="R161" s="52">
        <f>'FY 2013 by Agency'!R161*Inflator!$E$8</f>
        <v>78614.217922606913</v>
      </c>
      <c r="S161" s="69">
        <f t="shared" si="158"/>
        <v>17982.463610744897</v>
      </c>
      <c r="T161" s="58">
        <f t="shared" si="185"/>
        <v>0.29658491354631317</v>
      </c>
      <c r="U161" s="52">
        <f>'FY 2013 by Agency'!U161*Inflator!$E$9</f>
        <v>83300.572944297077</v>
      </c>
      <c r="V161" s="52">
        <f t="shared" si="176"/>
        <v>4686.355021690164</v>
      </c>
      <c r="W161" s="58">
        <f t="shared" si="177"/>
        <v>5.9612054225403922E-2</v>
      </c>
      <c r="X161" s="52">
        <f>'FY 2013 by Agency'!X161*Inflator!$E$10</f>
        <v>91141.719275960641</v>
      </c>
      <c r="Y161" s="39">
        <f t="shared" si="178"/>
        <v>7841.1463316635636</v>
      </c>
      <c r="Z161" s="58">
        <f t="shared" si="186"/>
        <v>9.4130761104211397E-2</v>
      </c>
      <c r="AA161" s="52">
        <f>'FY 2013 by Agency'!AA161*Inflator!$E$11</f>
        <v>87838.137623446979</v>
      </c>
      <c r="AB161" s="39">
        <f t="shared" si="159"/>
        <v>-3303.5816525136615</v>
      </c>
      <c r="AC161" s="58">
        <f t="shared" si="160"/>
        <v>-3.6246646198444137E-2</v>
      </c>
      <c r="AD161" s="52" t="e">
        <f>'FY 2013 by Agency'!AD161*Inflator!#REF!</f>
        <v>#REF!</v>
      </c>
      <c r="AE161" s="52">
        <f>'FY 2013 by Agency'!AE161*Inflator!$B$8</f>
        <v>0</v>
      </c>
      <c r="AF161" s="52">
        <f>'FY 2013 by Agency'!AF161*Inflator!$E$12</f>
        <v>103277.05764411029</v>
      </c>
      <c r="AG161" s="52">
        <f t="shared" si="161"/>
        <v>15438.92002066331</v>
      </c>
      <c r="AH161" s="58">
        <f t="shared" si="162"/>
        <v>0.17576556651107933</v>
      </c>
      <c r="AI161" s="52">
        <f>'FY 2013 by Agency'!AI161*Inflator!$B$8</f>
        <v>0</v>
      </c>
      <c r="AJ161" s="52">
        <f>'FY 2013 by Agency'!AJ161*Inflator!$B$8</f>
        <v>0</v>
      </c>
      <c r="AK161" s="52">
        <f>'FY 2013 by Agency'!AK161</f>
        <v>97865</v>
      </c>
      <c r="AL161" s="52">
        <f>'FY 2013 by Agency'!AL161</f>
        <v>0</v>
      </c>
      <c r="AM161" s="52">
        <f>'FY 2013 by Agency'!AM161</f>
        <v>97865</v>
      </c>
      <c r="AN161" s="52">
        <f>'FY 2013 by Agency'!AN161</f>
        <v>90553</v>
      </c>
      <c r="AO161" s="52">
        <f>'FY 2013 by Agency'!AO161</f>
        <v>90553</v>
      </c>
      <c r="AP161" s="52">
        <f>'FY 2013 by Agency'!AP161</f>
        <v>2402</v>
      </c>
      <c r="AQ161" s="52">
        <f>'FY 2013 by Agency'!AQ161</f>
        <v>460</v>
      </c>
      <c r="AR161" s="52">
        <f>'FY 2013 by Agency'!AR161</f>
        <v>2862</v>
      </c>
      <c r="AS161" s="52">
        <f>'FY 2013 by Agency'!AS161</f>
        <v>99926.359840000005</v>
      </c>
      <c r="AT161" s="52" t="e">
        <f t="shared" si="163"/>
        <v>#REF!</v>
      </c>
      <c r="AU161" s="58" t="e">
        <f t="shared" si="164"/>
        <v>#REF!</v>
      </c>
      <c r="AV161" s="52">
        <f t="shared" si="165"/>
        <v>-3350.6978041102848</v>
      </c>
      <c r="AW161" s="58">
        <f t="shared" si="166"/>
        <v>-3.2443776774283124E-2</v>
      </c>
      <c r="AX161" s="281" t="s">
        <v>331</v>
      </c>
      <c r="AY161" s="65">
        <v>90553</v>
      </c>
      <c r="AZ161" s="65">
        <f t="shared" si="167"/>
        <v>0</v>
      </c>
      <c r="BA161" s="65">
        <f t="shared" si="168"/>
        <v>-3350.6978041102848</v>
      </c>
      <c r="BB161" s="65">
        <f t="shared" si="169"/>
        <v>99926.359840000005</v>
      </c>
      <c r="BC161" s="58">
        <f t="shared" si="170"/>
        <v>-3.2443776774283117E-2</v>
      </c>
      <c r="BD161" s="294">
        <v>4622.8180000000002</v>
      </c>
      <c r="BE161" s="51">
        <f t="shared" si="188"/>
        <v>5.1050964628449637E-2</v>
      </c>
      <c r="BI161" s="219">
        <v>90311</v>
      </c>
      <c r="BJ161" s="65">
        <f t="shared" si="179"/>
        <v>-242</v>
      </c>
      <c r="BK161" s="65">
        <f t="shared" si="180"/>
        <v>93173</v>
      </c>
      <c r="BL161" s="576">
        <f>'FY 2013 by Agency'!AS161*Inflator!$E$13</f>
        <v>103616.04233638087</v>
      </c>
      <c r="BM161" s="52">
        <f t="shared" si="181"/>
        <v>338.98469227057649</v>
      </c>
      <c r="BN161" s="51">
        <f t="shared" si="182"/>
        <v>3.2822845654521624E-3</v>
      </c>
      <c r="BO161" s="52">
        <f>'FY 2013 by Agency'!AX161*Inflator!$E$13</f>
        <v>102355.80653036316</v>
      </c>
      <c r="BP161" s="52">
        <f t="shared" si="171"/>
        <v>-921.25111374713015</v>
      </c>
      <c r="BQ161" s="58">
        <f t="shared" si="172"/>
        <v>-8.9201913257611811E-3</v>
      </c>
      <c r="BR161" s="52">
        <f>'FY 2013 by Agency'!BE161*Inflator!$E$14</f>
        <v>108463.06419826814</v>
      </c>
      <c r="BS161" s="52">
        <f t="shared" si="173"/>
        <v>6107.2576679049816</v>
      </c>
      <c r="BT161" s="58">
        <f t="shared" si="174"/>
        <v>5.9666939032846221E-2</v>
      </c>
      <c r="BU161" s="52">
        <f>'FY 2013 by Agency'!BL161*Inflator!$E$14</f>
        <v>110836.28665273216</v>
      </c>
      <c r="BV161" s="52">
        <f t="shared" si="183"/>
        <v>7220.2443163512944</v>
      </c>
      <c r="BW161" s="495">
        <v>106384</v>
      </c>
      <c r="BX161" s="39">
        <f>'FY 2013 by Agency'!BV161*Inflator!E15</f>
        <v>108969</v>
      </c>
      <c r="BY161" s="39">
        <f t="shared" si="148"/>
        <v>-2079.0641982681409</v>
      </c>
      <c r="BZ161" s="51">
        <f t="shared" si="149"/>
        <v>-1.9168407361861511E-2</v>
      </c>
      <c r="CB161" s="39"/>
    </row>
    <row r="162" spans="1:80" ht="18" customHeight="1">
      <c r="A162" s="63" t="s">
        <v>192</v>
      </c>
      <c r="B162" s="334" t="s">
        <v>78</v>
      </c>
      <c r="C162" s="334" t="s">
        <v>78</v>
      </c>
      <c r="D162" s="334" t="s">
        <v>78</v>
      </c>
      <c r="E162" s="334" t="s">
        <v>78</v>
      </c>
      <c r="F162" s="334" t="s">
        <v>78</v>
      </c>
      <c r="G162" s="334" t="s">
        <v>78</v>
      </c>
      <c r="H162" s="334" t="s">
        <v>78</v>
      </c>
      <c r="I162" s="334" t="s">
        <v>78</v>
      </c>
      <c r="J162" s="334" t="s">
        <v>78</v>
      </c>
      <c r="K162" s="334" t="s">
        <v>78</v>
      </c>
      <c r="L162" s="10">
        <f>'FY 2013 by Agency'!L162*Inflator!$E$6</f>
        <v>29283.818247909847</v>
      </c>
      <c r="M162" s="329" t="s">
        <v>78</v>
      </c>
      <c r="N162" s="329" t="s">
        <v>78</v>
      </c>
      <c r="O162" s="10">
        <f>'FY 2013 by Agency'!O162*Inflator!$E$7</f>
        <v>25014.351284758883</v>
      </c>
      <c r="P162" s="52">
        <f t="shared" si="175"/>
        <v>-4269.4669631509641</v>
      </c>
      <c r="Q162" s="60" t="s">
        <v>78</v>
      </c>
      <c r="R162" s="52">
        <f>'FY 2013 by Agency'!R162*Inflator!$E$8</f>
        <v>83374.416836388322</v>
      </c>
      <c r="S162" s="69">
        <f t="shared" si="158"/>
        <v>58360.065551629436</v>
      </c>
      <c r="T162" s="60" t="s">
        <v>78</v>
      </c>
      <c r="U162" s="52">
        <f>'FY 2013 by Agency'!U162*Inflator!$E$9</f>
        <v>93576.818965517232</v>
      </c>
      <c r="V162" s="52">
        <f t="shared" si="176"/>
        <v>10202.40212912891</v>
      </c>
      <c r="W162" s="60" t="s">
        <v>78</v>
      </c>
      <c r="X162" s="52">
        <f>'FY 2013 by Agency'!X162*Inflator!$E$10</f>
        <v>92811.044776119408</v>
      </c>
      <c r="Y162" s="39">
        <f t="shared" si="178"/>
        <v>-765.77418939782365</v>
      </c>
      <c r="Z162" s="61" t="s">
        <v>127</v>
      </c>
      <c r="AA162" s="52">
        <f>'FY 2013 by Agency'!AA162*Inflator!$E$11</f>
        <v>102698.83975788469</v>
      </c>
      <c r="AB162" s="39">
        <f t="shared" si="159"/>
        <v>9887.7949817652843</v>
      </c>
      <c r="AC162" s="58">
        <f t="shared" si="160"/>
        <v>0.10653683519689724</v>
      </c>
      <c r="AD162" s="52" t="e">
        <f>'FY 2013 by Agency'!AD162*Inflator!#REF!</f>
        <v>#REF!</v>
      </c>
      <c r="AE162" s="52">
        <f>'FY 2013 by Agency'!AE162*Inflator!$B$8</f>
        <v>0</v>
      </c>
      <c r="AF162" s="52">
        <f>'FY 2013 by Agency'!AF162*Inflator!$E$12</f>
        <v>69090.537593984976</v>
      </c>
      <c r="AG162" s="52">
        <f t="shared" si="161"/>
        <v>-33608.302163899716</v>
      </c>
      <c r="AH162" s="58">
        <f t="shared" si="162"/>
        <v>-0.32725104045120862</v>
      </c>
      <c r="AI162" s="52">
        <f>'FY 2013 by Agency'!AI162*Inflator!$B$8</f>
        <v>0</v>
      </c>
      <c r="AJ162" s="52">
        <f>'FY 2013 by Agency'!AJ162*Inflator!$B$8</f>
        <v>0</v>
      </c>
      <c r="AK162" s="52">
        <f>'FY 2013 by Agency'!AK162</f>
        <v>64937</v>
      </c>
      <c r="AL162" s="52">
        <f>'FY 2013 by Agency'!AL162</f>
        <v>100</v>
      </c>
      <c r="AM162" s="52">
        <f>'FY 2013 by Agency'!AM162</f>
        <v>65037</v>
      </c>
      <c r="AN162" s="52">
        <f>'FY 2013 by Agency'!AN162</f>
        <v>56715</v>
      </c>
      <c r="AO162" s="52">
        <f>'FY 2013 by Agency'!AO162</f>
        <v>62915</v>
      </c>
      <c r="AP162" s="52">
        <f>'FY 2013 by Agency'!AP162</f>
        <v>0</v>
      </c>
      <c r="AQ162" s="52">
        <f>'FY 2013 by Agency'!AQ162</f>
        <v>179</v>
      </c>
      <c r="AR162" s="52">
        <f>'FY 2013 by Agency'!AR162</f>
        <v>179</v>
      </c>
      <c r="AS162" s="52">
        <f>'FY 2013 by Agency'!AS162</f>
        <v>58890.613149999997</v>
      </c>
      <c r="AT162" s="52" t="e">
        <f t="shared" si="163"/>
        <v>#REF!</v>
      </c>
      <c r="AU162" s="58" t="e">
        <f t="shared" si="164"/>
        <v>#REF!</v>
      </c>
      <c r="AV162" s="52">
        <f t="shared" si="165"/>
        <v>-10199.924443984979</v>
      </c>
      <c r="AW162" s="58">
        <f t="shared" si="166"/>
        <v>-0.14763127917639746</v>
      </c>
      <c r="AX162" s="281" t="s">
        <v>332</v>
      </c>
      <c r="AY162" s="65">
        <v>62913</v>
      </c>
      <c r="AZ162" s="65">
        <f t="shared" si="167"/>
        <v>-2</v>
      </c>
      <c r="BA162" s="65">
        <f t="shared" si="168"/>
        <v>-10201.924443984979</v>
      </c>
      <c r="BB162" s="65">
        <f t="shared" si="169"/>
        <v>58888.613149999997</v>
      </c>
      <c r="BC162" s="58">
        <f t="shared" si="170"/>
        <v>-0.1476602267004673</v>
      </c>
      <c r="BD162" s="294">
        <v>3597.6959999999999</v>
      </c>
      <c r="BE162" s="51">
        <f t="shared" si="188"/>
        <v>5.7185255829478802E-2</v>
      </c>
      <c r="BF162" s="50">
        <v>3195</v>
      </c>
      <c r="BI162" s="219">
        <v>59544</v>
      </c>
      <c r="BJ162" s="65">
        <f t="shared" si="179"/>
        <v>-3369</v>
      </c>
      <c r="BK162" s="65">
        <f t="shared" si="180"/>
        <v>59723</v>
      </c>
      <c r="BL162" s="576">
        <f>'FY 2013 by Agency'!AS162*Inflator!$E$13</f>
        <v>61065.091084436994</v>
      </c>
      <c r="BM162" s="52">
        <f t="shared" si="181"/>
        <v>-8025.4465095479827</v>
      </c>
      <c r="BN162" s="51">
        <f t="shared" si="182"/>
        <v>-0.11615840300317301</v>
      </c>
      <c r="BO162" s="52">
        <f>'FY 2013 by Agency'!AX162*Inflator!$E$13</f>
        <v>61742.603600854454</v>
      </c>
      <c r="BP162" s="52">
        <f t="shared" si="171"/>
        <v>-7347.9339931305221</v>
      </c>
      <c r="BQ162" s="58">
        <f t="shared" si="172"/>
        <v>-0.10635224806486718</v>
      </c>
      <c r="BR162" s="52">
        <f>'FY 2013 by Agency'!BE162*Inflator!$E$14</f>
        <v>61125.444013138258</v>
      </c>
      <c r="BS162" s="52">
        <f t="shared" si="173"/>
        <v>-617.15958771619626</v>
      </c>
      <c r="BT162" s="58">
        <f t="shared" si="174"/>
        <v>-9.9956845309914239E-3</v>
      </c>
      <c r="BU162" s="52">
        <f>'FY 2013 by Agency'!BL162*Inflator!$E$14</f>
        <v>61125.444013138258</v>
      </c>
      <c r="BV162" s="52">
        <f t="shared" si="183"/>
        <v>60.352928701264318</v>
      </c>
      <c r="BW162" s="39">
        <v>61276</v>
      </c>
      <c r="BX162" s="39">
        <f>'FY 2013 by Agency'!BV162*Inflator!E15</f>
        <v>67680</v>
      </c>
      <c r="BY162" s="39">
        <f t="shared" si="148"/>
        <v>150.55598686174199</v>
      </c>
      <c r="BZ162" s="51">
        <f t="shared" si="149"/>
        <v>2.4630657378845637E-3</v>
      </c>
      <c r="CB162" s="39"/>
    </row>
    <row r="163" spans="1:80" s="54" customFormat="1" ht="18" customHeight="1" thickBot="1">
      <c r="A163" s="54" t="s">
        <v>194</v>
      </c>
      <c r="B163" s="333" t="s">
        <v>78</v>
      </c>
      <c r="C163" s="333" t="s">
        <v>78</v>
      </c>
      <c r="D163" s="333" t="s">
        <v>78</v>
      </c>
      <c r="E163" s="333" t="s">
        <v>78</v>
      </c>
      <c r="F163" s="333" t="s">
        <v>78</v>
      </c>
      <c r="G163" s="333" t="s">
        <v>78</v>
      </c>
      <c r="H163" s="333" t="s">
        <v>78</v>
      </c>
      <c r="I163" s="333" t="s">
        <v>78</v>
      </c>
      <c r="J163" s="333" t="s">
        <v>78</v>
      </c>
      <c r="K163" s="333" t="s">
        <v>78</v>
      </c>
      <c r="L163" s="354">
        <f>'FY 2013 by Agency'!L163*Inflator!$E$6</f>
        <v>534234.52344601962</v>
      </c>
      <c r="M163" s="398" t="s">
        <v>78</v>
      </c>
      <c r="N163" s="398" t="s">
        <v>78</v>
      </c>
      <c r="O163" s="354"/>
      <c r="P163" s="75"/>
      <c r="Q163" s="76"/>
      <c r="R163" s="75"/>
      <c r="S163" s="75"/>
      <c r="T163" s="76"/>
      <c r="U163" s="75">
        <f>'FY 2013 by Agency'!U163*Inflator!$E$9</f>
        <v>616774.17970822274</v>
      </c>
      <c r="V163" s="75"/>
      <c r="W163" s="76"/>
      <c r="X163" s="75">
        <f>'FY 2013 by Agency'!X163*Inflator!$E$10</f>
        <v>618965.82470625604</v>
      </c>
      <c r="Y163" s="102">
        <f t="shared" si="178"/>
        <v>2191.6449980332982</v>
      </c>
      <c r="Z163" s="388" t="s">
        <v>127</v>
      </c>
      <c r="AA163" s="75">
        <f>'FY 2013 by Agency'!AA163*Inflator!$E$11</f>
        <v>502456.92322395678</v>
      </c>
      <c r="AB163" s="102">
        <f t="shared" si="159"/>
        <v>-116508.90148229926</v>
      </c>
      <c r="AC163" s="77"/>
      <c r="AD163" s="75" t="e">
        <f>'FY 2013 by Agency'!AD163*Inflator!#REF!</f>
        <v>#REF!</v>
      </c>
      <c r="AE163" s="75">
        <f>'FY 2013 by Agency'!AE163*Inflator!$B$8</f>
        <v>0</v>
      </c>
      <c r="AF163" s="75">
        <f>'FY 2013 by Agency'!AF163*Inflator!$E$12</f>
        <v>564336.26315789483</v>
      </c>
      <c r="AG163" s="75">
        <f t="shared" si="161"/>
        <v>61879.339933938056</v>
      </c>
      <c r="AH163" s="77">
        <f t="shared" si="162"/>
        <v>0.12315352236943303</v>
      </c>
      <c r="AI163" s="75">
        <f>'FY 2013 by Agency'!AI163*Inflator!$B$8</f>
        <v>0</v>
      </c>
      <c r="AJ163" s="75">
        <f>'FY 2013 by Agency'!AJ163*Inflator!$B$8</f>
        <v>0</v>
      </c>
      <c r="AK163" s="75">
        <f>'FY 2013 by Agency'!AK163</f>
        <v>700069</v>
      </c>
      <c r="AL163" s="75">
        <f>'FY 2013 by Agency'!AL163</f>
        <v>0</v>
      </c>
      <c r="AM163" s="75">
        <f>'FY 2013 by Agency'!AM163</f>
        <v>700069</v>
      </c>
      <c r="AN163" s="75">
        <f>'FY 2013 by Agency'!AN163</f>
        <v>509039</v>
      </c>
      <c r="AO163" s="75">
        <f>'FY 2013 by Agency'!AO163</f>
        <v>580186</v>
      </c>
      <c r="AP163" s="75">
        <f>'FY 2013 by Agency'!AP163</f>
        <v>0</v>
      </c>
      <c r="AQ163" s="75">
        <f>'FY 2013 by Agency'!AQ163</f>
        <v>10</v>
      </c>
      <c r="AR163" s="75">
        <f>'FY 2013 by Agency'!AR163</f>
        <v>10</v>
      </c>
      <c r="AS163" s="75">
        <f>'FY 2013 by Agency'!AS163</f>
        <v>608886.04353999998</v>
      </c>
      <c r="AT163" s="75" t="e">
        <f t="shared" si="163"/>
        <v>#REF!</v>
      </c>
      <c r="AU163" s="77" t="e">
        <f t="shared" si="164"/>
        <v>#REF!</v>
      </c>
      <c r="AV163" s="75">
        <f t="shared" si="165"/>
        <v>44549.780382105149</v>
      </c>
      <c r="AW163" s="77">
        <f t="shared" si="166"/>
        <v>7.8941906254286959E-2</v>
      </c>
      <c r="AX163" s="389" t="s">
        <v>333</v>
      </c>
      <c r="AY163" s="94">
        <v>559510</v>
      </c>
      <c r="AZ163" s="94">
        <f t="shared" si="167"/>
        <v>-20676</v>
      </c>
      <c r="BA163" s="94">
        <f t="shared" si="168"/>
        <v>23873.780382105149</v>
      </c>
      <c r="BB163" s="94">
        <f t="shared" si="169"/>
        <v>588210.04353999998</v>
      </c>
      <c r="BC163" s="77">
        <f t="shared" si="170"/>
        <v>4.2304175614221506E-2</v>
      </c>
      <c r="BD163" s="390">
        <v>1425.357</v>
      </c>
      <c r="BE163" s="55">
        <f t="shared" si="188"/>
        <v>2.5475094278922627E-3</v>
      </c>
      <c r="BF163" s="54">
        <v>7925</v>
      </c>
      <c r="BI163" s="391">
        <v>591800</v>
      </c>
      <c r="BJ163" s="94">
        <f t="shared" si="179"/>
        <v>32290</v>
      </c>
      <c r="BK163" s="94">
        <f t="shared" si="180"/>
        <v>591810</v>
      </c>
      <c r="BL163" s="578">
        <f>'FY 2013 by Agency'!AS163*Inflator!$E$13</f>
        <v>631368.56147357961</v>
      </c>
      <c r="BM163" s="52">
        <f t="shared" si="181"/>
        <v>67032.298315684777</v>
      </c>
      <c r="BN163" s="313">
        <f t="shared" si="182"/>
        <v>0.11878077432165635</v>
      </c>
      <c r="BO163" s="69">
        <f>'FY 2013 by Agency'!AX163*Inflator!$E$13</f>
        <v>724703.08391821804</v>
      </c>
      <c r="BP163" s="69">
        <f t="shared" si="171"/>
        <v>160366.8207603232</v>
      </c>
      <c r="BQ163" s="72">
        <f t="shared" si="172"/>
        <v>0.28416890997390043</v>
      </c>
      <c r="BR163" s="69">
        <f>'FY 2013 by Agency'!BE163*Inflator!$E$14</f>
        <v>716999.30725589732</v>
      </c>
      <c r="BS163" s="69">
        <f t="shared" si="173"/>
        <v>-7703.7766623207135</v>
      </c>
      <c r="BT163" s="72">
        <f t="shared" si="174"/>
        <v>-1.0630252351996444E-2</v>
      </c>
      <c r="BU163" s="69">
        <f>'FY 2013 by Agency'!BL163*Inflator!$E$14</f>
        <v>716999.30725589732</v>
      </c>
      <c r="BV163" s="69">
        <f>BU163-BL163</f>
        <v>85630.74578231771</v>
      </c>
      <c r="BW163" s="39">
        <v>750612</v>
      </c>
      <c r="BX163" s="39">
        <f>'FY 2013 by Agency'!BV163*Inflator!E15</f>
        <v>751775</v>
      </c>
      <c r="BY163" s="39">
        <f t="shared" si="148"/>
        <v>33612.692744102678</v>
      </c>
      <c r="BZ163" s="51">
        <f t="shared" si="149"/>
        <v>4.6879672551909869E-2</v>
      </c>
      <c r="CB163" s="39"/>
    </row>
    <row r="164" spans="1:80" s="63" customFormat="1" ht="18" customHeight="1">
      <c r="A164" s="63" t="s">
        <v>80</v>
      </c>
      <c r="B164" s="326" t="e">
        <f>'FY 2013 by Agency'!B165*Inflator!#REF!</f>
        <v>#VALUE!</v>
      </c>
      <c r="C164" s="326" t="e">
        <f>'FY 2013 by Agency'!C165*Inflator!#REF!</f>
        <v>#VALUE!</v>
      </c>
      <c r="D164" s="326" t="e">
        <f t="shared" si="150"/>
        <v>#VALUE!</v>
      </c>
      <c r="E164" s="355" t="e">
        <f t="shared" si="151"/>
        <v>#VALUE!</v>
      </c>
      <c r="F164" s="10" t="e">
        <f>'FY 2013 by Agency'!F165*Inflator!#REF!</f>
        <v>#VALUE!</v>
      </c>
      <c r="G164" s="10" t="e">
        <f t="shared" si="152"/>
        <v>#VALUE!</v>
      </c>
      <c r="H164" s="14" t="e">
        <f t="shared" si="153"/>
        <v>#VALUE!</v>
      </c>
      <c r="I164" s="10" t="e">
        <f>'FY 2013 by Agency'!I165*Inflator!#REF!</f>
        <v>#VALUE!</v>
      </c>
      <c r="J164" s="10" t="e">
        <f t="shared" si="154"/>
        <v>#VALUE!</v>
      </c>
      <c r="K164" s="14" t="e">
        <f t="shared" si="155"/>
        <v>#VALUE!</v>
      </c>
      <c r="L164" s="10">
        <f>'FY 2013 by Agency'!L165*Inflator!$E$6</f>
        <v>54466.814976372225</v>
      </c>
      <c r="M164" s="329" t="s">
        <v>78</v>
      </c>
      <c r="N164" s="329" t="s">
        <v>78</v>
      </c>
      <c r="O164" s="10" t="e">
        <f>'FY 2013 by Agency'!O165*Inflator!#REF!</f>
        <v>#REF!</v>
      </c>
      <c r="P164" s="69" t="e">
        <f t="shared" si="175"/>
        <v>#REF!</v>
      </c>
      <c r="Q164" s="72" t="e">
        <f>P164/L164</f>
        <v>#REF!</v>
      </c>
      <c r="R164" s="52" t="e">
        <f>'FY 2013 by Agency'!R165*Inflator!#REF!</f>
        <v>#REF!</v>
      </c>
      <c r="S164" s="69" t="e">
        <f t="shared" si="158"/>
        <v>#REF!</v>
      </c>
      <c r="T164" s="70" t="s">
        <v>78</v>
      </c>
      <c r="U164" s="52">
        <f>'FY 2013 by Agency'!U165*Inflator!$E$9</f>
        <v>30337.515251989389</v>
      </c>
      <c r="V164" s="69" t="e">
        <f t="shared" si="176"/>
        <v>#REF!</v>
      </c>
      <c r="W164" s="70" t="s">
        <v>78</v>
      </c>
      <c r="X164" s="52">
        <f>'FY 2013 by Agency'!X165*Inflator!$E$10</f>
        <v>0</v>
      </c>
      <c r="Y164" s="39">
        <f t="shared" si="178"/>
        <v>-30337.515251989389</v>
      </c>
      <c r="Z164" s="72">
        <f>Y164/U164</f>
        <v>-1</v>
      </c>
      <c r="AA164" s="52">
        <f>'FY 2013 by Agency'!AA165*Inflator!$E$11</f>
        <v>0</v>
      </c>
      <c r="AB164" s="39">
        <f t="shared" si="159"/>
        <v>0</v>
      </c>
      <c r="AC164" s="58"/>
      <c r="AD164" s="52" t="e">
        <f>'FY 2013 by Agency'!AD165*Inflator!#REF!</f>
        <v>#REF!</v>
      </c>
      <c r="AE164" s="52">
        <f>'FY 2013 by Agency'!AE165*Inflator!$B$8</f>
        <v>0</v>
      </c>
      <c r="AF164" s="52">
        <f>'FY 2013 by Agency'!AF165*Inflator!$E$12</f>
        <v>0</v>
      </c>
      <c r="AG164" s="52">
        <f t="shared" si="161"/>
        <v>0</v>
      </c>
      <c r="AH164" s="58" t="e">
        <f t="shared" si="162"/>
        <v>#DIV/0!</v>
      </c>
      <c r="AI164" s="52">
        <f>'FY 2013 by Agency'!AI165*Inflator!$B$8</f>
        <v>0</v>
      </c>
      <c r="AJ164" s="52">
        <f>'FY 2013 by Agency'!AJ165*Inflator!$B$8</f>
        <v>0</v>
      </c>
      <c r="AK164" s="52">
        <f>'FY 2013 by Agency'!AK165</f>
        <v>0</v>
      </c>
      <c r="AL164" s="52">
        <f>'FY 2013 by Agency'!AL165</f>
        <v>0</v>
      </c>
      <c r="AM164" s="52">
        <f>'FY 2013 by Agency'!AM165</f>
        <v>0</v>
      </c>
      <c r="AN164" s="52">
        <f>'FY 2013 by Agency'!AN165</f>
        <v>0</v>
      </c>
      <c r="AO164" s="52">
        <f>'FY 2013 by Agency'!AO165</f>
        <v>0</v>
      </c>
      <c r="AP164" s="52">
        <f>'FY 2013 by Agency'!AP165</f>
        <v>0</v>
      </c>
      <c r="AQ164" s="52">
        <f>'FY 2013 by Agency'!AQ165</f>
        <v>0</v>
      </c>
      <c r="AR164" s="52">
        <f>'FY 2013 by Agency'!AR165</f>
        <v>0</v>
      </c>
      <c r="AS164" s="52">
        <f>'FY 2013 by Agency'!AS165</f>
        <v>0</v>
      </c>
      <c r="AT164" s="52" t="e">
        <f t="shared" si="163"/>
        <v>#REF!</v>
      </c>
      <c r="AU164" s="58" t="e">
        <f t="shared" si="164"/>
        <v>#REF!</v>
      </c>
      <c r="AV164" s="52">
        <f t="shared" si="165"/>
        <v>0</v>
      </c>
      <c r="AW164" s="58" t="e">
        <f t="shared" si="166"/>
        <v>#DIV/0!</v>
      </c>
      <c r="AX164" s="72"/>
      <c r="AY164" s="72"/>
      <c r="AZ164" s="72"/>
      <c r="BA164" s="72"/>
      <c r="BB164" s="72"/>
      <c r="BC164" s="72"/>
      <c r="BD164" s="338"/>
      <c r="BE164" s="308"/>
      <c r="BI164" s="80"/>
      <c r="BJ164" s="65">
        <f t="shared" si="179"/>
        <v>0</v>
      </c>
      <c r="BK164" s="80"/>
      <c r="BL164" s="577">
        <f>'FY 2013 by Agency'!AS165*Inflator!$E$13</f>
        <v>0</v>
      </c>
      <c r="BM164" s="52">
        <f t="shared" si="181"/>
        <v>0</v>
      </c>
      <c r="BN164" s="313" t="e">
        <f t="shared" si="182"/>
        <v>#DIV/0!</v>
      </c>
      <c r="BO164" s="52">
        <f>'FY 2013 by Agency'!AX165*Inflator!$E$13</f>
        <v>0</v>
      </c>
      <c r="BP164" s="52">
        <f t="shared" si="171"/>
        <v>0</v>
      </c>
      <c r="BQ164" s="58" t="e">
        <f t="shared" si="172"/>
        <v>#DIV/0!</v>
      </c>
      <c r="BR164" s="52">
        <f>'FY 2013 by Agency'!BE165*Inflator!$E$14</f>
        <v>0</v>
      </c>
      <c r="BS164" s="52">
        <f t="shared" si="173"/>
        <v>0</v>
      </c>
      <c r="BT164" s="58" t="e">
        <f t="shared" si="174"/>
        <v>#DIV/0!</v>
      </c>
      <c r="BU164" s="52">
        <f>'FY 2013 by Agency'!BL165*Inflator!$E$14</f>
        <v>0</v>
      </c>
      <c r="BV164" s="52">
        <f t="shared" si="183"/>
        <v>0</v>
      </c>
      <c r="BW164" s="39"/>
      <c r="BX164" s="39">
        <f>'FY 2013 by Agency'!BV163*Inflator!E33</f>
        <v>0</v>
      </c>
      <c r="BY164" s="39">
        <f t="shared" si="148"/>
        <v>0</v>
      </c>
      <c r="BZ164" s="51" t="e">
        <f t="shared" si="149"/>
        <v>#DIV/0!</v>
      </c>
      <c r="CB164" s="39"/>
    </row>
    <row r="165" spans="1:80" s="63" customFormat="1" ht="18" customHeight="1" thickBot="1">
      <c r="A165" s="627" t="s">
        <v>419</v>
      </c>
      <c r="B165" s="326"/>
      <c r="C165" s="326"/>
      <c r="D165" s="326"/>
      <c r="E165" s="355"/>
      <c r="F165" s="10"/>
      <c r="G165" s="10"/>
      <c r="H165" s="14"/>
      <c r="I165" s="10"/>
      <c r="J165" s="10"/>
      <c r="K165" s="14"/>
      <c r="L165" s="10"/>
      <c r="M165" s="329"/>
      <c r="N165" s="329"/>
      <c r="O165" s="10"/>
      <c r="P165" s="69"/>
      <c r="Q165" s="72"/>
      <c r="R165" s="52"/>
      <c r="S165" s="69"/>
      <c r="T165" s="70"/>
      <c r="U165" s="52"/>
      <c r="V165" s="69"/>
      <c r="W165" s="70"/>
      <c r="X165" s="52"/>
      <c r="Y165" s="39"/>
      <c r="Z165" s="72"/>
      <c r="AA165" s="52"/>
      <c r="AB165" s="39"/>
      <c r="AC165" s="58"/>
      <c r="AD165" s="52"/>
      <c r="AE165" s="52"/>
      <c r="AF165" s="52"/>
      <c r="AG165" s="52"/>
      <c r="AH165" s="58"/>
      <c r="AI165" s="52"/>
      <c r="AJ165" s="52"/>
      <c r="AK165" s="52"/>
      <c r="AL165" s="52"/>
      <c r="AM165" s="52"/>
      <c r="AN165" s="52"/>
      <c r="AO165" s="52"/>
      <c r="AP165" s="52"/>
      <c r="AQ165" s="52"/>
      <c r="AR165" s="52"/>
      <c r="AS165" s="52"/>
      <c r="AT165" s="52"/>
      <c r="AU165" s="58"/>
      <c r="AV165" s="52"/>
      <c r="AW165" s="58"/>
      <c r="AX165" s="72"/>
      <c r="AY165" s="72"/>
      <c r="AZ165" s="72"/>
      <c r="BA165" s="72"/>
      <c r="BB165" s="72"/>
      <c r="BC165" s="72"/>
      <c r="BD165" s="338"/>
      <c r="BE165" s="308"/>
      <c r="BI165" s="80"/>
      <c r="BJ165" s="65"/>
      <c r="BK165" s="80"/>
      <c r="BL165" s="577"/>
      <c r="BM165" s="52"/>
      <c r="BN165" s="649"/>
      <c r="BO165" s="650"/>
      <c r="BP165" s="650"/>
      <c r="BQ165" s="651"/>
      <c r="BR165" s="650"/>
      <c r="BS165" s="650"/>
      <c r="BT165" s="651"/>
      <c r="BU165" s="650"/>
      <c r="BV165" s="650"/>
      <c r="BW165" s="102"/>
      <c r="BX165" s="39">
        <f>'FY 2013 by Agency'!BV165*Inflator!E$15</f>
        <v>0</v>
      </c>
      <c r="BY165" s="39">
        <f t="shared" si="148"/>
        <v>0</v>
      </c>
      <c r="BZ165" s="51" t="e">
        <f t="shared" si="149"/>
        <v>#DIV/0!</v>
      </c>
      <c r="CB165" s="39"/>
    </row>
    <row r="166" spans="1:80" s="339" customFormat="1" ht="18" customHeight="1">
      <c r="A166" s="339" t="s">
        <v>60</v>
      </c>
      <c r="B166" s="326">
        <f>'FY 2013 by Agency'!B166*Inflator!$E$2</f>
        <v>1071684.2185007976</v>
      </c>
      <c r="C166" s="326">
        <f>'FY 2013 by Agency'!C166*Inflator!$E$3</f>
        <v>1225865.2635239568</v>
      </c>
      <c r="D166" s="47">
        <f t="shared" si="150"/>
        <v>154181.04502315912</v>
      </c>
      <c r="E166" s="360">
        <f t="shared" si="151"/>
        <v>0.14386798122197444</v>
      </c>
      <c r="F166" s="10">
        <f>'FY 2013 by Agency'!F166*Inflator!$E$4</f>
        <v>1350305.9581271412</v>
      </c>
      <c r="G166" s="12">
        <f t="shared" si="152"/>
        <v>124440.69460318447</v>
      </c>
      <c r="H166" s="15">
        <f t="shared" si="153"/>
        <v>0.10151253837265824</v>
      </c>
      <c r="I166" s="10">
        <f>'FY 2013 by Agency'!I166*Inflator!$E$5</f>
        <v>1345479.105987356</v>
      </c>
      <c r="J166" s="12">
        <f t="shared" si="154"/>
        <v>-4826.8521397851873</v>
      </c>
      <c r="K166" s="15">
        <f t="shared" si="155"/>
        <v>-3.5746358895431193E-3</v>
      </c>
      <c r="L166" s="10">
        <f>'FY 2013 by Agency'!L166*Inflator!$E$6</f>
        <v>1348661.3827699018</v>
      </c>
      <c r="M166" s="10">
        <f t="shared" si="156"/>
        <v>3182.2767825457267</v>
      </c>
      <c r="N166" s="14">
        <f t="shared" si="157"/>
        <v>2.3651625420154474E-3</v>
      </c>
      <c r="O166" s="10">
        <f>'FY 2013 by Agency'!O166*Inflator!$E$7</f>
        <v>1415632.3956353394</v>
      </c>
      <c r="P166" s="340">
        <f>O166-L166</f>
        <v>66971.01286543766</v>
      </c>
      <c r="Q166" s="337">
        <f>P166/L166</f>
        <v>4.965739637913525E-2</v>
      </c>
      <c r="R166" s="52">
        <f>'FY 2013 by Agency'!R166*Inflator!$E$8</f>
        <v>1457412.119484046</v>
      </c>
      <c r="S166" s="340">
        <f t="shared" si="158"/>
        <v>41779.723848706577</v>
      </c>
      <c r="T166" s="337">
        <f>S166/O166</f>
        <v>2.9513116524827569E-2</v>
      </c>
      <c r="U166" s="52">
        <f>'FY 2013 by Agency'!U166*Inflator!$E$9</f>
        <v>1653695.9622015913</v>
      </c>
      <c r="V166" s="340" t="e">
        <f t="shared" ref="V166:AB166" si="189">SUM(V146:V164)</f>
        <v>#REF!</v>
      </c>
      <c r="W166" s="340">
        <f t="shared" si="189"/>
        <v>1.2580212787664569</v>
      </c>
      <c r="X166" s="52">
        <f>'FY 2013 by Agency'!X166*Inflator!$E$10</f>
        <v>1734046.1238488411</v>
      </c>
      <c r="Y166" s="340">
        <f t="shared" si="189"/>
        <v>80350.161647249741</v>
      </c>
      <c r="Z166" s="337">
        <f>Y166/U166</f>
        <v>4.858823114031089E-2</v>
      </c>
      <c r="AA166" s="52">
        <f>'FY 2013 by Agency'!AA166*Inflator!$E$11</f>
        <v>1564635.5673781461</v>
      </c>
      <c r="AB166" s="340">
        <f t="shared" si="189"/>
        <v>-169410.55647069495</v>
      </c>
      <c r="AC166" s="337">
        <f>AB166/X166</f>
        <v>-9.7696684154326849E-2</v>
      </c>
      <c r="AD166" s="12" t="e">
        <f>'FY 2013 by Agency'!AD166*Inflator!#REF!</f>
        <v>#REF!</v>
      </c>
      <c r="AE166" s="341">
        <f>SUM(AE146:AE164)</f>
        <v>0</v>
      </c>
      <c r="AF166" s="52">
        <f>'FY 2013 by Agency'!AF166*Inflator!$E$12</f>
        <v>1566069.2180451129</v>
      </c>
      <c r="AG166" s="340">
        <f t="shared" si="161"/>
        <v>1433.6506669668015</v>
      </c>
      <c r="AH166" s="337">
        <f t="shared" si="162"/>
        <v>9.1628408356404963E-4</v>
      </c>
      <c r="AI166" s="340">
        <f>SUM(AI146:AI164)</f>
        <v>0</v>
      </c>
      <c r="AJ166" s="342">
        <f>SUM(AJ146:AJ164)</f>
        <v>0</v>
      </c>
      <c r="AK166" s="342">
        <f t="shared" ref="AK166:AS166" si="190">SUM(AK146:AK164)</f>
        <v>1578032</v>
      </c>
      <c r="AL166" s="342">
        <f t="shared" si="190"/>
        <v>44836</v>
      </c>
      <c r="AM166" s="342">
        <f t="shared" si="190"/>
        <v>1622868</v>
      </c>
      <c r="AN166" s="342">
        <f t="shared" si="190"/>
        <v>1348335</v>
      </c>
      <c r="AO166" s="342">
        <f t="shared" si="190"/>
        <v>1449360</v>
      </c>
      <c r="AP166" s="342">
        <f t="shared" si="190"/>
        <v>7651</v>
      </c>
      <c r="AQ166" s="342">
        <f t="shared" si="190"/>
        <v>2995</v>
      </c>
      <c r="AR166" s="342">
        <f t="shared" si="190"/>
        <v>10646</v>
      </c>
      <c r="AS166" s="342">
        <f t="shared" si="190"/>
        <v>1466084.8808900001</v>
      </c>
      <c r="AT166" s="340" t="e">
        <f t="shared" si="163"/>
        <v>#REF!</v>
      </c>
      <c r="AU166" s="337" t="e">
        <f t="shared" si="164"/>
        <v>#REF!</v>
      </c>
      <c r="AV166" s="340">
        <f t="shared" si="165"/>
        <v>-99984.337155112764</v>
      </c>
      <c r="AW166" s="337">
        <f t="shared" si="166"/>
        <v>-6.38441366467319E-2</v>
      </c>
      <c r="AX166" s="337"/>
      <c r="AY166" s="342">
        <f t="shared" ref="AY166:BA166" si="191">SUM(AY146:AY163)</f>
        <v>1433444.59054</v>
      </c>
      <c r="AZ166" s="342">
        <f t="shared" si="191"/>
        <v>-15915.409460000001</v>
      </c>
      <c r="BA166" s="342">
        <f t="shared" si="191"/>
        <v>-115899.74661511293</v>
      </c>
      <c r="BB166" s="342">
        <f>SUM(BB146:BB163)</f>
        <v>1450169.4714299999</v>
      </c>
      <c r="BC166" s="337">
        <f t="shared" ref="BC166" si="192">(BB166-AF166)/AF166</f>
        <v>-7.4006784169979342E-2</v>
      </c>
      <c r="BD166" s="342">
        <f t="shared" ref="BD166" si="193">SUM(BD146:BD163)</f>
        <v>48224.718999999997</v>
      </c>
      <c r="BE166" s="343">
        <f>BD166/AY166</f>
        <v>3.36425414126632E-2</v>
      </c>
      <c r="BF166" s="343">
        <f>(BB166-X166)/X166</f>
        <v>-0.16370767104438741</v>
      </c>
      <c r="BI166" s="342">
        <f>SUM(BI146:BI164)</f>
        <v>1453130</v>
      </c>
      <c r="BJ166" s="342">
        <f>SUM(BJ146:BJ164)</f>
        <v>19685.409460000003</v>
      </c>
      <c r="BK166" s="342">
        <f>SUM(BK146:BK164)</f>
        <v>1463776</v>
      </c>
      <c r="BL166" s="583">
        <f>SUM(BL146:BL164)</f>
        <v>1520218.6222960697</v>
      </c>
      <c r="BM166" s="52">
        <f t="shared" si="181"/>
        <v>-45850.595749043161</v>
      </c>
      <c r="BN166" s="392">
        <f t="shared" si="182"/>
        <v>-2.9277502693193454E-2</v>
      </c>
      <c r="BO166" s="12">
        <f>'FY 2013 by Agency'!AX166*Inflator!$E$13</f>
        <v>1641746.2404638391</v>
      </c>
      <c r="BP166" s="12">
        <f t="shared" si="171"/>
        <v>75677.022418726236</v>
      </c>
      <c r="BQ166" s="36">
        <f t="shared" si="172"/>
        <v>4.8322910345681952E-2</v>
      </c>
      <c r="BR166" s="12">
        <f>SUM(BR146:BR164)</f>
        <v>1609728.6855777844</v>
      </c>
      <c r="BS166" s="12">
        <f t="shared" si="173"/>
        <v>-32017.554886054713</v>
      </c>
      <c r="BT166" s="36">
        <f t="shared" si="174"/>
        <v>-1.9502133823683286E-2</v>
      </c>
      <c r="BU166" s="12">
        <f>SUM(BU146:BU164)</f>
        <v>1626679.1149596898</v>
      </c>
      <c r="BV166" s="52">
        <f t="shared" si="183"/>
        <v>106460.49266362004</v>
      </c>
      <c r="BW166" s="30">
        <f>SUM(BW146:BW165)</f>
        <v>1646039</v>
      </c>
      <c r="BX166" s="12">
        <f>SUM(BX146:BX164)</f>
        <v>1722640</v>
      </c>
      <c r="BY166" s="39">
        <f t="shared" si="148"/>
        <v>36310.314422215568</v>
      </c>
      <c r="BZ166" s="51">
        <f t="shared" si="149"/>
        <v>2.2556791555952551E-2</v>
      </c>
      <c r="CB166" s="39"/>
    </row>
    <row r="167" spans="1:80" s="13" customFormat="1" ht="18" customHeight="1">
      <c r="A167" s="64" t="s">
        <v>456</v>
      </c>
      <c r="B167" s="326"/>
      <c r="C167" s="326"/>
      <c r="D167" s="326"/>
      <c r="E167" s="355"/>
      <c r="F167" s="10"/>
      <c r="G167" s="10"/>
      <c r="H167" s="14"/>
      <c r="I167" s="10"/>
      <c r="J167" s="10"/>
      <c r="K167" s="14"/>
      <c r="L167" s="10"/>
      <c r="M167" s="10"/>
      <c r="N167" s="14"/>
      <c r="O167" s="10"/>
      <c r="P167" s="12"/>
      <c r="Q167" s="36"/>
      <c r="R167" s="52"/>
      <c r="S167" s="12"/>
      <c r="T167" s="36"/>
      <c r="U167" s="52"/>
      <c r="V167" s="12"/>
      <c r="W167" s="12"/>
      <c r="X167" s="52"/>
      <c r="Y167" s="12"/>
      <c r="Z167" s="45"/>
      <c r="AA167" s="52"/>
      <c r="AB167" s="12"/>
      <c r="AC167" s="36"/>
      <c r="AD167" s="52" t="e">
        <f>'FY 2013 by Agency'!AD167*Inflator!#REF!</f>
        <v>#REF!</v>
      </c>
      <c r="AE167" s="178"/>
      <c r="AF167" s="52"/>
      <c r="AG167" s="52"/>
      <c r="AH167" s="58"/>
      <c r="AI167" s="12"/>
      <c r="AJ167" s="28"/>
      <c r="AK167" s="28"/>
      <c r="AL167" s="28"/>
      <c r="AM167" s="28"/>
      <c r="AN167" s="28"/>
      <c r="AO167" s="28"/>
      <c r="AP167" s="28"/>
      <c r="AQ167" s="28"/>
      <c r="AR167" s="28"/>
      <c r="AS167" s="28"/>
      <c r="AT167" s="12"/>
      <c r="AU167" s="36"/>
      <c r="AV167" s="52"/>
      <c r="AW167" s="36"/>
      <c r="AX167" s="58"/>
      <c r="AY167" s="65">
        <f>+AS166+AZ166</f>
        <v>1450169.4714300002</v>
      </c>
      <c r="AZ167" s="58"/>
      <c r="BA167" s="58"/>
      <c r="BB167" s="58"/>
      <c r="BC167" s="58"/>
      <c r="BD167" s="292"/>
      <c r="BE167" s="282"/>
      <c r="BI167" s="28"/>
      <c r="BK167" s="323"/>
      <c r="BL167" s="575"/>
      <c r="BM167" s="258"/>
      <c r="BN167" s="290"/>
      <c r="BP167" s="52"/>
      <c r="BQ167" s="50"/>
      <c r="BR167" s="52"/>
      <c r="BS167" s="52"/>
      <c r="BT167" s="50"/>
      <c r="BU167" s="258"/>
      <c r="BV167" s="258"/>
      <c r="BW167" s="39">
        <f>+BW166+920</f>
        <v>1646959</v>
      </c>
      <c r="BX167" s="542">
        <f>'FY 2013 by Agency'!BV167*Inflator!E$15</f>
        <v>1646959</v>
      </c>
      <c r="BY167" s="39">
        <f t="shared" si="148"/>
        <v>1646959</v>
      </c>
      <c r="BZ167" s="51" t="e">
        <f t="shared" si="149"/>
        <v>#DIV/0!</v>
      </c>
      <c r="CB167" s="39"/>
    </row>
    <row r="168" spans="1:80" s="13" customFormat="1" ht="18" customHeight="1">
      <c r="A168" s="64" t="s">
        <v>457</v>
      </c>
      <c r="B168" s="326"/>
      <c r="C168" s="326"/>
      <c r="D168" s="326"/>
      <c r="E168" s="355"/>
      <c r="F168" s="10"/>
      <c r="G168" s="10"/>
      <c r="H168" s="14"/>
      <c r="I168" s="10"/>
      <c r="J168" s="10"/>
      <c r="K168" s="14"/>
      <c r="L168" s="10"/>
      <c r="M168" s="10"/>
      <c r="N168" s="14"/>
      <c r="O168" s="10"/>
      <c r="P168" s="12"/>
      <c r="Q168" s="36"/>
      <c r="R168" s="52"/>
      <c r="S168" s="12"/>
      <c r="T168" s="36"/>
      <c r="U168" s="52"/>
      <c r="V168" s="12"/>
      <c r="W168" s="12"/>
      <c r="X168" s="39">
        <f>X166+(X56+X57+X58+X71)</f>
        <v>1985472.2261035251</v>
      </c>
      <c r="Y168" s="12"/>
      <c r="Z168" s="45"/>
      <c r="AA168" s="52"/>
      <c r="AB168" s="12"/>
      <c r="AC168" s="36"/>
      <c r="AD168" s="52" t="e">
        <f>'FY 2013 by Agency'!AD168*Inflator!#REF!</f>
        <v>#REF!</v>
      </c>
      <c r="AE168" s="178"/>
      <c r="AF168" s="52"/>
      <c r="AG168" s="52"/>
      <c r="AH168" s="58"/>
      <c r="AI168" s="12"/>
      <c r="AJ168" s="28"/>
      <c r="AK168" s="28"/>
      <c r="AL168" s="28"/>
      <c r="AM168" s="28"/>
      <c r="AN168" s="28"/>
      <c r="AO168" s="28"/>
      <c r="AP168" s="28"/>
      <c r="AQ168" s="28"/>
      <c r="AR168" s="28"/>
      <c r="AS168" s="28"/>
      <c r="AT168" s="12" t="e">
        <f>AR166-AD168</f>
        <v>#REF!</v>
      </c>
      <c r="AU168" s="36" t="e">
        <f>AT168/AD168</f>
        <v>#REF!</v>
      </c>
      <c r="AV168" s="52">
        <f>AS166-AF168</f>
        <v>1466084.8808900001</v>
      </c>
      <c r="AW168" s="36" t="e">
        <f>AV168/AF168</f>
        <v>#DIV/0!</v>
      </c>
      <c r="AX168" s="58"/>
      <c r="AY168" s="58" t="e">
        <f>+AY167/AF168-1</f>
        <v>#DIV/0!</v>
      </c>
      <c r="AZ168" s="58"/>
      <c r="BA168" s="58"/>
      <c r="BB168" s="58"/>
      <c r="BC168" s="58"/>
      <c r="BD168" s="292"/>
      <c r="BE168" s="282"/>
      <c r="BI168" s="28"/>
      <c r="BK168" s="323"/>
      <c r="BL168" s="575"/>
      <c r="BM168" s="258"/>
      <c r="BN168" s="290"/>
      <c r="BO168" s="97"/>
      <c r="BP168" s="52"/>
      <c r="BQ168" s="50"/>
      <c r="BR168" s="52"/>
      <c r="BT168" s="99"/>
      <c r="BU168" s="258"/>
      <c r="BV168" s="258"/>
      <c r="BW168" s="39">
        <f>+BW166+920</f>
        <v>1646959</v>
      </c>
      <c r="BX168" s="542">
        <f>'FY 2013 by Agency'!BV168*Inflator!E$15</f>
        <v>1646959</v>
      </c>
      <c r="BY168" s="39">
        <f t="shared" si="148"/>
        <v>1646959</v>
      </c>
      <c r="BZ168" s="51" t="e">
        <f t="shared" si="149"/>
        <v>#DIV/0!</v>
      </c>
      <c r="CB168" s="39"/>
    </row>
    <row r="169" spans="1:80" s="13" customFormat="1" ht="18" customHeight="1">
      <c r="A169" s="64"/>
      <c r="B169" s="326"/>
      <c r="C169" s="326"/>
      <c r="D169" s="326"/>
      <c r="E169" s="355"/>
      <c r="F169" s="10"/>
      <c r="G169" s="10"/>
      <c r="H169" s="14"/>
      <c r="I169" s="10"/>
      <c r="J169" s="10"/>
      <c r="K169" s="14"/>
      <c r="L169" s="10"/>
      <c r="M169" s="10"/>
      <c r="N169" s="14"/>
      <c r="O169" s="10"/>
      <c r="P169" s="12"/>
      <c r="Q169" s="36"/>
      <c r="R169" s="52"/>
      <c r="S169" s="52"/>
      <c r="T169" s="58"/>
      <c r="U169" s="52"/>
      <c r="V169" s="52"/>
      <c r="W169" s="58"/>
      <c r="X169" s="52"/>
      <c r="AA169" s="52"/>
      <c r="AC169" s="28"/>
      <c r="AD169" s="52" t="e">
        <f>'FY 2013 by Agency'!AD169*Inflator!#REF!</f>
        <v>#REF!</v>
      </c>
      <c r="AE169" s="180"/>
      <c r="AF169" s="163"/>
      <c r="AG169" s="163"/>
      <c r="AH169" s="163"/>
      <c r="AI169" s="163"/>
      <c r="AM169" s="84"/>
      <c r="AN169" s="172"/>
      <c r="AO169" s="97"/>
      <c r="AP169" s="12"/>
      <c r="AQ169" s="12"/>
      <c r="AR169" s="12"/>
      <c r="AS169" s="52"/>
      <c r="AT169" s="52"/>
      <c r="AU169" s="30"/>
      <c r="AV169" s="97"/>
      <c r="AW169" s="136"/>
      <c r="BC169" s="36"/>
      <c r="BD169" s="295"/>
      <c r="BE169" s="304"/>
      <c r="BI169" s="28"/>
      <c r="BK169" s="323"/>
      <c r="BL169" s="575"/>
      <c r="BM169" s="258"/>
      <c r="BN169" s="290"/>
      <c r="BP169" s="52"/>
      <c r="BQ169" s="50"/>
      <c r="BR169" s="52"/>
      <c r="BS169" s="52"/>
      <c r="BT169" s="50"/>
      <c r="BU169" s="258"/>
      <c r="BV169" s="258"/>
      <c r="BW169" s="39"/>
      <c r="BX169" s="12"/>
      <c r="BY169" s="39">
        <f t="shared" si="148"/>
        <v>0</v>
      </c>
      <c r="BZ169" s="51" t="e">
        <f t="shared" si="149"/>
        <v>#DIV/0!</v>
      </c>
      <c r="CB169" s="39"/>
    </row>
    <row r="170" spans="1:80" s="13" customFormat="1" ht="18" customHeight="1">
      <c r="A170" s="73" t="s">
        <v>85</v>
      </c>
      <c r="B170" s="326"/>
      <c r="C170" s="326"/>
      <c r="D170" s="326"/>
      <c r="E170" s="355"/>
      <c r="F170" s="10"/>
      <c r="G170" s="10"/>
      <c r="H170" s="14"/>
      <c r="I170" s="10"/>
      <c r="J170" s="10"/>
      <c r="K170" s="14"/>
      <c r="L170" s="10"/>
      <c r="M170" s="10"/>
      <c r="N170" s="14"/>
      <c r="O170" s="10"/>
      <c r="P170" s="12"/>
      <c r="Q170" s="36"/>
      <c r="R170" s="52"/>
      <c r="S170" s="52"/>
      <c r="T170" s="58"/>
      <c r="U170" s="52"/>
      <c r="V170" s="52"/>
      <c r="W170" s="58"/>
      <c r="X170" s="52"/>
      <c r="AA170" s="52"/>
      <c r="AC170" s="28"/>
      <c r="AD170" s="52"/>
      <c r="AE170" s="180"/>
      <c r="AF170" s="163"/>
      <c r="AG170" s="163"/>
      <c r="AH170" s="163"/>
      <c r="AI170" s="163"/>
      <c r="AM170" s="84"/>
      <c r="AN170" s="172"/>
      <c r="AO170" s="97"/>
      <c r="AP170" s="12"/>
      <c r="AQ170" s="12"/>
      <c r="AR170" s="12"/>
      <c r="AS170" s="52"/>
      <c r="AT170" s="52"/>
      <c r="AU170" s="30"/>
      <c r="AV170" s="97"/>
      <c r="AW170" s="136"/>
      <c r="BD170" s="295"/>
      <c r="BE170" s="304"/>
      <c r="BI170" s="28"/>
      <c r="BK170" s="323"/>
      <c r="BL170" s="575"/>
      <c r="BM170" s="258"/>
      <c r="BN170" s="290"/>
      <c r="BP170" s="52"/>
      <c r="BQ170" s="50"/>
      <c r="BR170" s="52"/>
      <c r="BS170" s="52"/>
      <c r="BT170" s="50"/>
      <c r="BU170" s="258"/>
      <c r="BV170" s="258"/>
      <c r="BW170" s="39" t="e">
        <f>BW163-AX163</f>
        <v>#VALUE!</v>
      </c>
      <c r="BY170" s="39" t="e">
        <f t="shared" si="148"/>
        <v>#VALUE!</v>
      </c>
      <c r="BZ170" s="51" t="e">
        <f t="shared" si="149"/>
        <v>#VALUE!</v>
      </c>
      <c r="CB170" s="39"/>
    </row>
    <row r="171" spans="1:80" s="13" customFormat="1" ht="18" customHeight="1">
      <c r="A171" s="73"/>
      <c r="B171" s="326"/>
      <c r="C171" s="326"/>
      <c r="D171" s="326"/>
      <c r="E171" s="355"/>
      <c r="F171" s="10"/>
      <c r="G171" s="10"/>
      <c r="H171" s="14"/>
      <c r="I171" s="10"/>
      <c r="J171" s="10"/>
      <c r="K171" s="14"/>
      <c r="L171" s="10"/>
      <c r="M171" s="10"/>
      <c r="N171" s="14"/>
      <c r="O171" s="10"/>
      <c r="P171" s="12"/>
      <c r="Q171" s="36"/>
      <c r="R171" s="52"/>
      <c r="S171" s="52"/>
      <c r="T171" s="58"/>
      <c r="U171" s="52"/>
      <c r="V171" s="52"/>
      <c r="W171" s="58"/>
      <c r="X171" s="52"/>
      <c r="AA171" s="52"/>
      <c r="AC171" s="28"/>
      <c r="AD171" s="52"/>
      <c r="AE171" s="180"/>
      <c r="AF171" s="163"/>
      <c r="AG171" s="163"/>
      <c r="AH171" s="163"/>
      <c r="AI171" s="163"/>
      <c r="AM171" s="84"/>
      <c r="AN171" s="172"/>
      <c r="AO171" s="97"/>
      <c r="AP171" s="12"/>
      <c r="AQ171" s="12"/>
      <c r="AR171" s="12"/>
      <c r="AS171" s="52"/>
      <c r="AT171" s="52"/>
      <c r="AU171" s="30"/>
      <c r="AV171" s="97"/>
      <c r="AW171" s="136"/>
      <c r="BD171" s="295"/>
      <c r="BE171" s="304"/>
      <c r="BI171" s="28"/>
      <c r="BK171" s="323"/>
      <c r="BL171" s="575"/>
      <c r="BM171" s="258"/>
      <c r="BN171" s="290"/>
      <c r="BP171" s="52"/>
      <c r="BQ171" s="50"/>
      <c r="BR171" s="52"/>
      <c r="BS171" s="52"/>
      <c r="BT171" s="50"/>
      <c r="BU171" s="258"/>
      <c r="BV171" s="258"/>
      <c r="BW171" s="39" t="e">
        <f>BW163-AX163</f>
        <v>#VALUE!</v>
      </c>
      <c r="BY171" s="39" t="e">
        <f t="shared" si="148"/>
        <v>#VALUE!</v>
      </c>
      <c r="BZ171" s="51" t="e">
        <f t="shared" si="149"/>
        <v>#VALUE!</v>
      </c>
      <c r="CB171" s="39"/>
    </row>
    <row r="172" spans="1:80" s="13" customFormat="1" ht="18" customHeight="1">
      <c r="A172" s="13" t="s">
        <v>399</v>
      </c>
      <c r="B172" s="326"/>
      <c r="C172" s="326"/>
      <c r="D172" s="326"/>
      <c r="E172" s="355"/>
      <c r="F172" s="10"/>
      <c r="G172" s="10"/>
      <c r="H172" s="14"/>
      <c r="I172" s="10"/>
      <c r="J172" s="10"/>
      <c r="K172" s="14"/>
      <c r="L172" s="10"/>
      <c r="M172" s="10"/>
      <c r="N172" s="14"/>
      <c r="O172" s="10"/>
      <c r="P172" s="12"/>
      <c r="Q172" s="36"/>
      <c r="R172" s="52"/>
      <c r="S172" s="52"/>
      <c r="T172" s="58"/>
      <c r="U172" s="52"/>
      <c r="V172" s="52"/>
      <c r="W172" s="58"/>
      <c r="X172" s="52"/>
      <c r="AA172" s="52"/>
      <c r="AC172" s="28"/>
      <c r="AD172" s="52"/>
      <c r="AE172" s="180"/>
      <c r="AF172" s="163"/>
      <c r="AG172" s="163"/>
      <c r="AH172" s="163"/>
      <c r="AI172" s="163"/>
      <c r="AM172" s="84"/>
      <c r="AN172" s="172"/>
      <c r="AO172" s="97"/>
      <c r="AP172" s="12"/>
      <c r="AQ172" s="12"/>
      <c r="AR172" s="12"/>
      <c r="AS172" s="52"/>
      <c r="AT172" s="52"/>
      <c r="AU172" s="242"/>
      <c r="AV172" s="97"/>
      <c r="AW172" s="136"/>
      <c r="BD172" s="295"/>
      <c r="BE172" s="304"/>
      <c r="BI172" s="28"/>
      <c r="BK172" s="323"/>
      <c r="BL172" s="575"/>
      <c r="BM172" s="258"/>
      <c r="BN172" s="290"/>
      <c r="BP172" s="52"/>
      <c r="BQ172" s="50"/>
      <c r="BR172" s="52"/>
      <c r="BS172" s="52"/>
      <c r="BT172" s="50"/>
      <c r="BU172" s="258"/>
      <c r="BV172" s="258"/>
      <c r="BW172" s="39"/>
      <c r="BY172" s="39">
        <f t="shared" si="148"/>
        <v>0</v>
      </c>
      <c r="BZ172" s="51" t="e">
        <f t="shared" si="149"/>
        <v>#DIV/0!</v>
      </c>
      <c r="CB172" s="39"/>
    </row>
    <row r="173" spans="1:80" s="13" customFormat="1" ht="18" customHeight="1">
      <c r="A173" s="73" t="s">
        <v>189</v>
      </c>
      <c r="B173" s="326"/>
      <c r="C173" s="326"/>
      <c r="D173" s="326"/>
      <c r="E173" s="355"/>
      <c r="F173" s="10"/>
      <c r="G173" s="10"/>
      <c r="H173" s="14"/>
      <c r="I173" s="10"/>
      <c r="J173" s="10"/>
      <c r="K173" s="14"/>
      <c r="L173" s="10"/>
      <c r="M173" s="10"/>
      <c r="N173" s="14"/>
      <c r="O173" s="10"/>
      <c r="P173" s="12"/>
      <c r="Q173" s="36"/>
      <c r="R173" s="52"/>
      <c r="S173" s="52"/>
      <c r="T173" s="58"/>
      <c r="U173" s="52"/>
      <c r="V173" s="52"/>
      <c r="W173" s="58"/>
      <c r="X173" s="52"/>
      <c r="AA173" s="52"/>
      <c r="AC173" s="28"/>
      <c r="AD173" s="52"/>
      <c r="AE173" s="180"/>
      <c r="AF173" s="163"/>
      <c r="AG173" s="163"/>
      <c r="AH173" s="163"/>
      <c r="AI173" s="163"/>
      <c r="AM173" s="84"/>
      <c r="AN173" s="172"/>
      <c r="AO173" s="97"/>
      <c r="AP173" s="12"/>
      <c r="AQ173" s="12"/>
      <c r="AR173" s="12"/>
      <c r="AS173" s="52"/>
      <c r="AT173" s="52"/>
      <c r="AU173" s="30"/>
      <c r="AV173" s="97"/>
      <c r="AW173" s="136"/>
      <c r="BD173" s="295"/>
      <c r="BE173" s="304"/>
      <c r="BI173" s="28"/>
      <c r="BK173" s="323"/>
      <c r="BL173" s="575"/>
      <c r="BM173" s="258"/>
      <c r="BN173" s="290"/>
      <c r="BP173" s="52"/>
      <c r="BQ173" s="50"/>
      <c r="BR173" s="52"/>
      <c r="BS173" s="52"/>
      <c r="BT173" s="50"/>
      <c r="BU173" s="258"/>
      <c r="BV173" s="258"/>
      <c r="BW173" s="39"/>
      <c r="BY173" s="39">
        <f t="shared" si="148"/>
        <v>0</v>
      </c>
      <c r="BZ173" s="51" t="e">
        <f t="shared" si="149"/>
        <v>#DIV/0!</v>
      </c>
      <c r="CB173" s="39"/>
    </row>
    <row r="174" spans="1:80" s="13" customFormat="1" ht="18" customHeight="1">
      <c r="A174" s="73" t="s">
        <v>193</v>
      </c>
      <c r="B174" s="326"/>
      <c r="C174" s="326"/>
      <c r="D174" s="326"/>
      <c r="E174" s="355"/>
      <c r="F174" s="10"/>
      <c r="G174" s="10"/>
      <c r="H174" s="14"/>
      <c r="I174" s="10"/>
      <c r="J174" s="10"/>
      <c r="K174" s="14"/>
      <c r="L174" s="10"/>
      <c r="M174" s="10"/>
      <c r="N174" s="14"/>
      <c r="O174" s="10"/>
      <c r="P174" s="12"/>
      <c r="Q174" s="36"/>
      <c r="R174" s="52"/>
      <c r="S174" s="52"/>
      <c r="T174" s="58"/>
      <c r="U174" s="52"/>
      <c r="V174" s="52"/>
      <c r="W174" s="58"/>
      <c r="X174" s="52"/>
      <c r="AA174" s="52"/>
      <c r="AC174" s="28"/>
      <c r="AD174" s="52"/>
      <c r="AE174" s="180"/>
      <c r="AF174" s="163"/>
      <c r="AG174" s="163"/>
      <c r="AH174" s="163"/>
      <c r="AI174" s="163"/>
      <c r="AM174" s="84"/>
      <c r="AN174" s="172"/>
      <c r="AO174" s="97"/>
      <c r="AP174" s="12"/>
      <c r="AQ174" s="12"/>
      <c r="AR174" s="12"/>
      <c r="AS174" s="52"/>
      <c r="AT174" s="52"/>
      <c r="AU174" s="30"/>
      <c r="AV174" s="97"/>
      <c r="AW174" s="136"/>
      <c r="BD174" s="295"/>
      <c r="BE174" s="304"/>
      <c r="BI174" s="28"/>
      <c r="BK174" s="323"/>
      <c r="BL174" s="575"/>
      <c r="BM174" s="258"/>
      <c r="BN174" s="290"/>
      <c r="BP174" s="52"/>
      <c r="BQ174" s="50"/>
      <c r="BR174" s="52"/>
      <c r="BS174" s="52"/>
      <c r="BT174" s="50"/>
      <c r="BU174" s="258"/>
      <c r="BV174" s="258"/>
      <c r="BW174" s="39"/>
      <c r="BY174" s="39">
        <f t="shared" si="148"/>
        <v>0</v>
      </c>
      <c r="BZ174" s="51" t="e">
        <f t="shared" si="149"/>
        <v>#DIV/0!</v>
      </c>
      <c r="CB174" s="39"/>
    </row>
    <row r="175" spans="1:80" s="13" customFormat="1" ht="18" customHeight="1">
      <c r="A175" s="73" t="s">
        <v>195</v>
      </c>
      <c r="B175" s="326"/>
      <c r="C175" s="326"/>
      <c r="D175" s="326"/>
      <c r="E175" s="355"/>
      <c r="F175" s="10"/>
      <c r="G175" s="10"/>
      <c r="H175" s="14"/>
      <c r="I175" s="10"/>
      <c r="J175" s="10"/>
      <c r="K175" s="14"/>
      <c r="L175" s="10"/>
      <c r="M175" s="10"/>
      <c r="N175" s="14"/>
      <c r="O175" s="10"/>
      <c r="P175" s="12"/>
      <c r="Q175" s="36"/>
      <c r="R175" s="52"/>
      <c r="S175" s="52"/>
      <c r="T175" s="58"/>
      <c r="U175" s="52"/>
      <c r="V175" s="52"/>
      <c r="W175" s="58"/>
      <c r="X175" s="52"/>
      <c r="AA175" s="52"/>
      <c r="AC175" s="28"/>
      <c r="AD175" s="52"/>
      <c r="AE175" s="180"/>
      <c r="AF175" s="163"/>
      <c r="AG175" s="163"/>
      <c r="AH175" s="163"/>
      <c r="AI175" s="163"/>
      <c r="AM175" s="84"/>
      <c r="AN175" s="172"/>
      <c r="AO175" s="97"/>
      <c r="AP175" s="12"/>
      <c r="AQ175" s="12"/>
      <c r="AR175" s="12"/>
      <c r="AS175" s="52"/>
      <c r="AT175" s="52"/>
      <c r="AU175" s="30"/>
      <c r="AV175" s="97"/>
      <c r="AW175" s="136"/>
      <c r="BD175" s="295"/>
      <c r="BE175" s="304"/>
      <c r="BI175" s="28"/>
      <c r="BK175" s="323"/>
      <c r="BL175" s="575"/>
      <c r="BM175" s="258"/>
      <c r="BN175" s="290"/>
      <c r="BP175" s="52"/>
      <c r="BQ175" s="50"/>
      <c r="BR175" s="52"/>
      <c r="BS175" s="52"/>
      <c r="BT175" s="50"/>
      <c r="BU175" s="258"/>
      <c r="BV175" s="258"/>
      <c r="BW175" s="39"/>
      <c r="BY175" s="39">
        <f t="shared" si="148"/>
        <v>0</v>
      </c>
      <c r="BZ175" s="51" t="e">
        <f t="shared" si="149"/>
        <v>#DIV/0!</v>
      </c>
      <c r="CB175" s="39"/>
    </row>
    <row r="176" spans="1:80" ht="18" customHeight="1">
      <c r="A176" s="73" t="s">
        <v>196</v>
      </c>
      <c r="B176" s="326"/>
      <c r="C176" s="326"/>
      <c r="D176" s="326"/>
      <c r="E176" s="355"/>
      <c r="F176" s="10"/>
      <c r="G176" s="10"/>
      <c r="H176" s="14"/>
      <c r="I176" s="10"/>
      <c r="J176" s="10"/>
      <c r="K176" s="14"/>
      <c r="L176" s="10"/>
      <c r="M176" s="10"/>
      <c r="N176" s="14"/>
      <c r="O176" s="10"/>
      <c r="P176" s="63"/>
      <c r="Q176" s="72"/>
      <c r="R176" s="52"/>
      <c r="S176" s="52"/>
      <c r="T176" s="58"/>
      <c r="U176" s="52"/>
      <c r="V176" s="52"/>
      <c r="W176" s="58"/>
      <c r="X176" s="52"/>
      <c r="AA176" s="52"/>
      <c r="AD176" s="52"/>
      <c r="AI176" s="157"/>
      <c r="AM176" s="84"/>
      <c r="AN176" s="172"/>
      <c r="BD176" s="292"/>
      <c r="BI176" s="65"/>
      <c r="BL176" s="576"/>
      <c r="BN176" s="51"/>
      <c r="BP176" s="52"/>
      <c r="BR176" s="52"/>
      <c r="BS176" s="52"/>
      <c r="BW176" s="39"/>
      <c r="BY176" s="39">
        <f t="shared" si="148"/>
        <v>0</v>
      </c>
      <c r="BZ176" s="51" t="e">
        <f t="shared" si="149"/>
        <v>#DIV/0!</v>
      </c>
      <c r="CB176" s="39"/>
    </row>
    <row r="177" spans="1:80" ht="18" customHeight="1">
      <c r="A177" s="73"/>
      <c r="B177" s="326"/>
      <c r="C177" s="326"/>
      <c r="D177" s="326"/>
      <c r="E177" s="355"/>
      <c r="F177" s="10"/>
      <c r="G177" s="10"/>
      <c r="H177" s="14"/>
      <c r="I177" s="10"/>
      <c r="J177" s="10"/>
      <c r="K177" s="14"/>
      <c r="L177" s="10"/>
      <c r="M177" s="10"/>
      <c r="N177" s="14"/>
      <c r="O177" s="10"/>
      <c r="P177" s="63"/>
      <c r="Q177" s="72"/>
      <c r="R177" s="52"/>
      <c r="S177" s="52"/>
      <c r="T177" s="58"/>
      <c r="U177" s="52"/>
      <c r="V177" s="52"/>
      <c r="W177" s="58"/>
      <c r="X177" s="52"/>
      <c r="AA177" s="52"/>
      <c r="AD177" s="52"/>
      <c r="AI177" s="157"/>
      <c r="AM177" s="84"/>
      <c r="AN177" s="172"/>
      <c r="BD177" s="292"/>
      <c r="BI177" s="65"/>
      <c r="BL177" s="576"/>
      <c r="BN177" s="51"/>
      <c r="BP177" s="52"/>
      <c r="BR177" s="52"/>
      <c r="BS177" s="52"/>
      <c r="BW177" s="39"/>
      <c r="BY177" s="39">
        <f t="shared" si="148"/>
        <v>0</v>
      </c>
      <c r="BZ177" s="51" t="e">
        <f t="shared" si="149"/>
        <v>#DIV/0!</v>
      </c>
      <c r="CB177" s="39"/>
    </row>
    <row r="178" spans="1:80" s="109" customFormat="1" ht="18" customHeight="1">
      <c r="A178" s="116" t="s">
        <v>30</v>
      </c>
      <c r="B178" s="358"/>
      <c r="C178" s="358"/>
      <c r="D178" s="358"/>
      <c r="E178" s="361"/>
      <c r="F178" s="362"/>
      <c r="G178" s="362"/>
      <c r="H178" s="364"/>
      <c r="I178" s="362"/>
      <c r="J178" s="362"/>
      <c r="K178" s="364"/>
      <c r="L178" s="362"/>
      <c r="M178" s="362"/>
      <c r="N178" s="364"/>
      <c r="O178" s="362"/>
      <c r="P178" s="105"/>
      <c r="Q178" s="117"/>
      <c r="R178" s="107"/>
      <c r="S178" s="107"/>
      <c r="T178" s="125"/>
      <c r="U178" s="107"/>
      <c r="V178" s="107"/>
      <c r="W178" s="125"/>
      <c r="X178" s="107"/>
      <c r="AA178" s="107"/>
      <c r="AC178" s="110"/>
      <c r="AD178" s="107"/>
      <c r="AE178" s="175"/>
      <c r="AF178" s="158"/>
      <c r="AG178" s="158"/>
      <c r="AH178" s="158"/>
      <c r="AI178" s="158"/>
      <c r="AM178" s="123"/>
      <c r="AN178" s="170"/>
      <c r="AO178" s="113"/>
      <c r="AP178" s="107"/>
      <c r="AQ178" s="107"/>
      <c r="AR178" s="107"/>
      <c r="AS178" s="107"/>
      <c r="AT178" s="107"/>
      <c r="AU178" s="200"/>
      <c r="AV178" s="114"/>
      <c r="AW178" s="107"/>
      <c r="BD178" s="293"/>
      <c r="BE178" s="302"/>
      <c r="BI178" s="110"/>
      <c r="BK178" s="320"/>
      <c r="BL178" s="585"/>
      <c r="BM178" s="107"/>
      <c r="BN178" s="108"/>
      <c r="BP178" s="107"/>
      <c r="BR178" s="107"/>
      <c r="BS178" s="107"/>
      <c r="BU178" s="107"/>
      <c r="BV178" s="107"/>
      <c r="BW178" s="562"/>
      <c r="BY178" s="39">
        <f t="shared" si="148"/>
        <v>0</v>
      </c>
      <c r="BZ178" s="51" t="e">
        <f t="shared" si="149"/>
        <v>#DIV/0!</v>
      </c>
      <c r="CB178" s="39"/>
    </row>
    <row r="179" spans="1:80" ht="18" customHeight="1">
      <c r="A179" s="59" t="s">
        <v>71</v>
      </c>
      <c r="B179" s="326">
        <f>'FY 2013 by Agency'!B179*Inflator!$E$2</f>
        <v>0</v>
      </c>
      <c r="C179" s="326">
        <f>'FY 2013 by Agency'!C179*Inflator!$E$3</f>
        <v>0</v>
      </c>
      <c r="D179" s="326">
        <f t="shared" si="150"/>
        <v>0</v>
      </c>
      <c r="E179" s="334" t="s">
        <v>78</v>
      </c>
      <c r="F179" s="10">
        <f>'FY 2013 by Agency'!F179*Inflator!$E$4</f>
        <v>0</v>
      </c>
      <c r="G179" s="10">
        <f t="shared" si="152"/>
        <v>0</v>
      </c>
      <c r="H179" s="334" t="s">
        <v>78</v>
      </c>
      <c r="I179" s="10">
        <f>'FY 2013 by Agency'!I179*Inflator!$E$5</f>
        <v>111374.5362588323</v>
      </c>
      <c r="J179" s="10">
        <f t="shared" si="154"/>
        <v>111374.5362588323</v>
      </c>
      <c r="K179" s="334" t="s">
        <v>78</v>
      </c>
      <c r="L179" s="10">
        <f>'FY 2013 by Agency'!L179*Inflator!$E$6</f>
        <v>118706.43111595782</v>
      </c>
      <c r="M179" s="10">
        <f t="shared" si="156"/>
        <v>7331.8948571255169</v>
      </c>
      <c r="N179" s="14">
        <f t="shared" si="157"/>
        <v>6.5830979893701486E-2</v>
      </c>
      <c r="O179" s="10">
        <f>'FY 2013 by Agency'!O179*Inflator!$E$7</f>
        <v>110246.62090813092</v>
      </c>
      <c r="P179" s="52">
        <f>O179-L179</f>
        <v>-8459.8102078269003</v>
      </c>
      <c r="Q179" s="58">
        <f>P179/L179</f>
        <v>-7.1266654454154837E-2</v>
      </c>
      <c r="R179" s="52">
        <f>'FY 2013 by Agency'!R179*Inflator!$E$8</f>
        <v>116072.95790902918</v>
      </c>
      <c r="S179" s="52">
        <f t="shared" ref="S179:S188" si="194">R179-O179</f>
        <v>5826.3370008982602</v>
      </c>
      <c r="T179" s="58">
        <f>S179/O179</f>
        <v>5.2848213876354334E-2</v>
      </c>
      <c r="U179" s="52">
        <f>'FY 2013 by Agency'!U179*Inflator!$E$9</f>
        <v>128054.80172413793</v>
      </c>
      <c r="V179" s="52">
        <f>U179-R179</f>
        <v>11981.843815108747</v>
      </c>
      <c r="W179" s="58">
        <f>V179/R179</f>
        <v>0.10322683276926031</v>
      </c>
      <c r="X179" s="52">
        <f>'FY 2013 by Agency'!X179*Inflator!$E$10</f>
        <v>139516.54938075581</v>
      </c>
      <c r="Y179" s="39">
        <f t="shared" ref="Y179:Y188" si="195">X179-U179</f>
        <v>11461.747656617881</v>
      </c>
      <c r="Z179" s="58">
        <f t="shared" ref="Z179:Z188" si="196">Y179/U179</f>
        <v>8.9506582356117748E-2</v>
      </c>
      <c r="AA179" s="52">
        <f>'FY 2013 by Agency'!AA179*Inflator!$E$11</f>
        <v>148442.4797706276</v>
      </c>
      <c r="AB179" s="39">
        <f t="shared" ref="AB179:AB188" si="197">AA179-X179</f>
        <v>8925.9303898717917</v>
      </c>
      <c r="AC179" s="58">
        <f t="shared" ref="AC179:AC188" si="198">AB179/X179</f>
        <v>6.3977574198111495E-2</v>
      </c>
      <c r="AD179" s="52" t="e">
        <f>'FY 2013 by Agency'!AD179*Inflator!#REF!</f>
        <v>#REF!</v>
      </c>
      <c r="AE179" s="52">
        <f>'FY 2013 by Agency'!AE179*Inflator!$B$8</f>
        <v>0</v>
      </c>
      <c r="AF179" s="52">
        <f>'FY 2013 by Agency'!AF179*Inflator!$E$12</f>
        <v>126904.44172932333</v>
      </c>
      <c r="AG179" s="52">
        <f t="shared" ref="AG179:AG188" si="199">AF179-AA179</f>
        <v>-21538.038041304273</v>
      </c>
      <c r="AH179" s="58">
        <f t="shared" ref="AH179:AH188" si="200">AG179/AA179</f>
        <v>-0.14509349395526613</v>
      </c>
      <c r="AI179" s="52">
        <f>'FY 2013 by Agency'!AI179*Inflator!$B$8</f>
        <v>0</v>
      </c>
      <c r="AJ179" s="52">
        <f>'FY 2013 by Agency'!AJ179*Inflator!$B$8</f>
        <v>0</v>
      </c>
      <c r="AK179" s="52">
        <f>'FY 2013 by Agency'!AK179</f>
        <v>125408</v>
      </c>
      <c r="AL179" s="52">
        <f>'FY 2013 by Agency'!AL179</f>
        <v>1000</v>
      </c>
      <c r="AM179" s="52">
        <f>'FY 2013 by Agency'!AM179</f>
        <v>126408</v>
      </c>
      <c r="AN179" s="52">
        <f>'FY 2013 by Agency'!AN179</f>
        <v>94636</v>
      </c>
      <c r="AO179" s="52">
        <f>'FY 2013 by Agency'!AO179</f>
        <v>100123</v>
      </c>
      <c r="AP179" s="52">
        <f>'FY 2013 by Agency'!AP179</f>
        <v>0</v>
      </c>
      <c r="AQ179" s="52">
        <f>'FY 2013 by Agency'!AQ179</f>
        <v>0</v>
      </c>
      <c r="AR179" s="52">
        <f>'FY 2013 by Agency'!AR179</f>
        <v>0</v>
      </c>
      <c r="AS179" s="52">
        <f>'FY 2013 by Agency'!AS179</f>
        <v>103877.78606999999</v>
      </c>
      <c r="AT179" s="52" t="e">
        <f t="shared" ref="AT179:AT188" si="201">AR179-AD179</f>
        <v>#REF!</v>
      </c>
      <c r="AU179" s="58" t="e">
        <f t="shared" ref="AU179:AU188" si="202">AT179/AD179</f>
        <v>#REF!</v>
      </c>
      <c r="AV179" s="52">
        <f t="shared" ref="AV179:AV188" si="203">AS179-AF179</f>
        <v>-23026.65565932334</v>
      </c>
      <c r="AW179" s="58">
        <f t="shared" ref="AW179:AW188" si="204">AV179/AF179</f>
        <v>-0.18144877630396336</v>
      </c>
      <c r="AX179" s="39">
        <f>100360+5487</f>
        <v>105847</v>
      </c>
      <c r="AY179" s="39">
        <f>100360+5487</f>
        <v>105847</v>
      </c>
      <c r="AZ179" s="39">
        <f t="shared" ref="AZ179:AZ187" si="205">+AY179-AO179</f>
        <v>5724</v>
      </c>
      <c r="BA179" s="39">
        <f t="shared" ref="BA179:BA188" si="206">+AZ179-AV179</f>
        <v>28750.65565932334</v>
      </c>
      <c r="BB179" s="39">
        <f t="shared" ref="BB179:BB187" si="207">+AZ179+AS179</f>
        <v>109601.78606999999</v>
      </c>
      <c r="BC179" s="58">
        <f t="shared" ref="BC179:BC188" si="208">+BB179/AF179-1</f>
        <v>-0.13634397207489768</v>
      </c>
      <c r="BD179" s="294">
        <v>2300.3420000000001</v>
      </c>
      <c r="BE179" s="51">
        <f t="shared" ref="BE179:BE187" si="209">BD179/AY179</f>
        <v>2.1732708532126561E-2</v>
      </c>
      <c r="BI179" s="65">
        <v>101911</v>
      </c>
      <c r="BJ179" s="39">
        <f>BI179-AY179</f>
        <v>-3936</v>
      </c>
      <c r="BK179" s="65">
        <f>BI179+AP179+AQ179</f>
        <v>101911</v>
      </c>
      <c r="BL179" s="576">
        <f>'FY 2013 by Agency'!AS179*Inflator!$E$13</f>
        <v>107713.37109119927</v>
      </c>
      <c r="BM179" s="52">
        <f>BL179-AF179</f>
        <v>-19191.07063812406</v>
      </c>
      <c r="BN179" s="51">
        <f t="shared" ref="BN179:BN188" si="210">BM179/AF179</f>
        <v>-0.15122457793129909</v>
      </c>
      <c r="BO179" s="52">
        <f>'FY 2013 by Agency'!AX179*Inflator!$E$13</f>
        <v>105673.96338114131</v>
      </c>
      <c r="BP179" s="52">
        <f t="shared" si="171"/>
        <v>-21230.47834818202</v>
      </c>
      <c r="BQ179" s="51">
        <f t="shared" si="172"/>
        <v>-0.16729499818032273</v>
      </c>
      <c r="BR179" s="52">
        <f>'FY 2013 by Agency'!BE179*Inflator!$E$14</f>
        <v>104589.2021498955</v>
      </c>
      <c r="BS179" s="52">
        <f t="shared" si="173"/>
        <v>-1084.7612312458077</v>
      </c>
      <c r="BT179" s="51">
        <f t="shared" si="174"/>
        <v>-1.0265170308161219E-2</v>
      </c>
      <c r="BU179" s="52">
        <f>'FY 2013 by Agency'!BL179*Inflator!$E$14</f>
        <v>104589.2021498955</v>
      </c>
      <c r="BV179" s="52">
        <f>BU179-BL179</f>
        <v>-3124.1689413037675</v>
      </c>
      <c r="BW179" s="495">
        <v>111153</v>
      </c>
      <c r="BX179" s="39">
        <f>'FY 2013 by Agency'!BV179*Inflator!E15</f>
        <v>111153</v>
      </c>
      <c r="BY179" s="39">
        <f t="shared" si="148"/>
        <v>6563.7978501045</v>
      </c>
      <c r="BZ179" s="51">
        <f t="shared" si="149"/>
        <v>6.2757891973373836E-2</v>
      </c>
      <c r="CB179" s="39"/>
    </row>
    <row r="180" spans="1:80" ht="18" customHeight="1">
      <c r="A180" s="57" t="s">
        <v>117</v>
      </c>
      <c r="B180" s="326">
        <f>'FY 2013 by Agency'!B180*Inflator!$E$2</f>
        <v>142655.03110047849</v>
      </c>
      <c r="C180" s="326">
        <f>'FY 2013 by Agency'!C180*Inflator!$E$3</f>
        <v>133614.40185471406</v>
      </c>
      <c r="D180" s="326">
        <f t="shared" si="150"/>
        <v>-9040.6292457644304</v>
      </c>
      <c r="E180" s="355">
        <f t="shared" si="151"/>
        <v>-6.337406522589939E-2</v>
      </c>
      <c r="F180" s="10">
        <f>'FY 2013 by Agency'!F180*Inflator!$E$4</f>
        <v>155688.41796726303</v>
      </c>
      <c r="G180" s="10">
        <f t="shared" si="152"/>
        <v>22074.016112548969</v>
      </c>
      <c r="H180" s="14">
        <f t="shared" si="153"/>
        <v>0.16520686247992342</v>
      </c>
      <c r="I180" s="10">
        <f>'FY 2013 by Agency'!I180*Inflator!$E$5</f>
        <v>29950.166604685761</v>
      </c>
      <c r="J180" s="10">
        <f t="shared" si="154"/>
        <v>-125738.25136257727</v>
      </c>
      <c r="K180" s="14">
        <f t="shared" si="155"/>
        <v>-0.8076275229992802</v>
      </c>
      <c r="L180" s="10">
        <f>'FY 2013 by Agency'!L180*Inflator!$E$6</f>
        <v>25677.071610323517</v>
      </c>
      <c r="M180" s="10">
        <f t="shared" si="156"/>
        <v>-4273.0949943622436</v>
      </c>
      <c r="N180" s="14">
        <f t="shared" si="157"/>
        <v>-0.14267349663736795</v>
      </c>
      <c r="O180" s="10">
        <f>'FY 2013 by Agency'!O180*Inflator!$E$7</f>
        <v>33212.130939809918</v>
      </c>
      <c r="P180" s="52">
        <f t="shared" ref="P180:P187" si="211">O180-L180</f>
        <v>7535.0593294864011</v>
      </c>
      <c r="Q180" s="58">
        <f>P180/L180</f>
        <v>0.29345477723623731</v>
      </c>
      <c r="R180" s="52">
        <f>'FY 2013 by Agency'!R180*Inflator!$E$8</f>
        <v>36567.13985064494</v>
      </c>
      <c r="S180" s="52">
        <f t="shared" si="194"/>
        <v>3355.0089108350221</v>
      </c>
      <c r="T180" s="58">
        <f>S180/O180</f>
        <v>0.10101757447949601</v>
      </c>
      <c r="U180" s="52">
        <f>'FY 2013 by Agency'!U180*Inflator!$E$9</f>
        <v>52747.866047745352</v>
      </c>
      <c r="V180" s="52">
        <f t="shared" ref="V180:V188" si="212">U180-R180</f>
        <v>16180.726197100412</v>
      </c>
      <c r="W180" s="60" t="s">
        <v>78</v>
      </c>
      <c r="X180" s="52">
        <f>'FY 2013 by Agency'!X180*Inflator!$E$10</f>
        <v>147068.97935852653</v>
      </c>
      <c r="Y180" s="39">
        <f t="shared" si="195"/>
        <v>94321.113310781177</v>
      </c>
      <c r="Z180" s="58">
        <f t="shared" si="196"/>
        <v>1.7881503154157044</v>
      </c>
      <c r="AA180" s="52">
        <f>'FY 2013 by Agency'!AA180*Inflator!$E$11</f>
        <v>134303.81204205164</v>
      </c>
      <c r="AB180" s="39">
        <f t="shared" si="197"/>
        <v>-12765.167316474894</v>
      </c>
      <c r="AC180" s="58">
        <f t="shared" si="198"/>
        <v>-8.6797143572716409E-2</v>
      </c>
      <c r="AD180" s="52" t="e">
        <f>'FY 2013 by Agency'!AD180*Inflator!#REF!</f>
        <v>#REF!</v>
      </c>
      <c r="AE180" s="52">
        <f>'FY 2013 by Agency'!AE180*Inflator!$B$8</f>
        <v>0</v>
      </c>
      <c r="AF180" s="52">
        <f>'FY 2013 by Agency'!AF180*Inflator!$E$12</f>
        <v>113553.02694235591</v>
      </c>
      <c r="AG180" s="52">
        <f t="shared" si="199"/>
        <v>-20750.785099695728</v>
      </c>
      <c r="AH180" s="58">
        <f t="shared" si="200"/>
        <v>-0.15450630018750686</v>
      </c>
      <c r="AI180" s="52">
        <f>'FY 2013 by Agency'!AI180*Inflator!$B$8</f>
        <v>0</v>
      </c>
      <c r="AJ180" s="52">
        <f>'FY 2013 by Agency'!AJ180*Inflator!$B$8</f>
        <v>0</v>
      </c>
      <c r="AK180" s="52">
        <f>'FY 2013 by Agency'!AK180</f>
        <v>15</v>
      </c>
      <c r="AL180" s="52">
        <f>'FY 2013 by Agency'!AL180</f>
        <v>28</v>
      </c>
      <c r="AM180" s="52">
        <f>'FY 2013 by Agency'!AM180</f>
        <v>43</v>
      </c>
      <c r="AN180" s="52">
        <f>'FY 2013 by Agency'!AN180</f>
        <v>0</v>
      </c>
      <c r="AO180" s="52">
        <f>'FY 2013 by Agency'!AO180</f>
        <v>95490</v>
      </c>
      <c r="AP180" s="52">
        <f>'FY 2013 by Agency'!AP180</f>
        <v>0</v>
      </c>
      <c r="AQ180" s="52">
        <f>'FY 2013 by Agency'!AQ180</f>
        <v>0</v>
      </c>
      <c r="AR180" s="52">
        <f>'FY 2013 by Agency'!AR180</f>
        <v>0</v>
      </c>
      <c r="AS180" s="52">
        <f>'FY 2013 by Agency'!AS180</f>
        <v>97436.505439999994</v>
      </c>
      <c r="AT180" s="52" t="e">
        <f t="shared" si="201"/>
        <v>#REF!</v>
      </c>
      <c r="AU180" s="58" t="e">
        <f t="shared" si="202"/>
        <v>#REF!</v>
      </c>
      <c r="AV180" s="52">
        <f t="shared" si="203"/>
        <v>-16116.521502355914</v>
      </c>
      <c r="AW180" s="58">
        <f t="shared" si="204"/>
        <v>-0.14192947503316938</v>
      </c>
      <c r="AX180" s="39">
        <f>2951+15000+76899</f>
        <v>94850</v>
      </c>
      <c r="AY180" s="39">
        <f>2951+15000+76899</f>
        <v>94850</v>
      </c>
      <c r="AZ180" s="39">
        <f t="shared" si="205"/>
        <v>-640</v>
      </c>
      <c r="BA180" s="39">
        <f t="shared" si="206"/>
        <v>15476.521502355914</v>
      </c>
      <c r="BB180" s="39">
        <f t="shared" si="207"/>
        <v>96796.505439999994</v>
      </c>
      <c r="BC180" s="58">
        <f t="shared" si="208"/>
        <v>-0.14756560836429489</v>
      </c>
      <c r="BD180" s="294">
        <v>295.10000000000002</v>
      </c>
      <c r="BE180" s="51">
        <f t="shared" si="209"/>
        <v>3.1112282551396947E-3</v>
      </c>
      <c r="BI180" s="65">
        <v>93020</v>
      </c>
      <c r="BJ180" s="39">
        <f t="shared" ref="BJ180:BJ187" si="213">BI180-AY180</f>
        <v>-1830</v>
      </c>
      <c r="BK180" s="65">
        <f t="shared" ref="BK180:BK187" si="214">BI180+AP180+AQ180</f>
        <v>93020</v>
      </c>
      <c r="BL180" s="576">
        <f>'FY 2013 by Agency'!AS180*Inflator!$E$13</f>
        <v>101034.25251300581</v>
      </c>
      <c r="BM180" s="52">
        <f t="shared" ref="BM180:BM187" si="215">BL180-AF180</f>
        <v>-12518.774429350102</v>
      </c>
      <c r="BN180" s="51">
        <f t="shared" si="210"/>
        <v>-0.11024606535328324</v>
      </c>
      <c r="BO180" s="52">
        <f>'FY 2013 by Agency'!AX180*Inflator!$E$13</f>
        <v>105081.87976808057</v>
      </c>
      <c r="BP180" s="52">
        <f t="shared" si="171"/>
        <v>-8471.1471742753347</v>
      </c>
      <c r="BQ180" s="51">
        <f t="shared" si="172"/>
        <v>-7.4600804596566414E-2</v>
      </c>
      <c r="BR180" s="52">
        <f>'FY 2013 by Agency'!BE180*Inflator!$E$14</f>
        <v>125808.18512988953</v>
      </c>
      <c r="BS180" s="52">
        <f t="shared" si="173"/>
        <v>20726.305361808962</v>
      </c>
      <c r="BT180" s="51">
        <f t="shared" si="174"/>
        <v>0.19723957553436092</v>
      </c>
      <c r="BU180" s="52">
        <f>'FY 2013 by Agency'!BL180*Inflator!$E$14</f>
        <v>125808.18512988953</v>
      </c>
      <c r="BV180" s="52">
        <f t="shared" ref="BV180:BV188" si="216">BU180-BL180</f>
        <v>24773.932616883729</v>
      </c>
      <c r="BW180" s="495">
        <f>70684+1360+50600</f>
        <v>122644</v>
      </c>
      <c r="BX180" s="39">
        <f>'FY 2013 by Agency'!BV180*Inflator!E15</f>
        <v>122644</v>
      </c>
      <c r="BY180" s="39">
        <f t="shared" si="148"/>
        <v>-3164.1851298895344</v>
      </c>
      <c r="BZ180" s="51">
        <f t="shared" si="149"/>
        <v>-2.5150868575225846E-2</v>
      </c>
      <c r="CB180" s="39"/>
    </row>
    <row r="181" spans="1:80" ht="18" customHeight="1">
      <c r="A181" s="57" t="s">
        <v>31</v>
      </c>
      <c r="B181" s="326">
        <f>'FY 2013 by Agency'!B181*Inflator!$E$2</f>
        <v>32971.980861244025</v>
      </c>
      <c r="C181" s="326">
        <f>'FY 2013 by Agency'!C181*Inflator!$E$3</f>
        <v>35718.389489953632</v>
      </c>
      <c r="D181" s="326">
        <f t="shared" si="150"/>
        <v>2746.408628709607</v>
      </c>
      <c r="E181" s="355">
        <f t="shared" si="151"/>
        <v>8.3295226946397835E-2</v>
      </c>
      <c r="F181" s="10">
        <f>'FY 2013 by Agency'!F181*Inflator!$E$4</f>
        <v>42131.578226113437</v>
      </c>
      <c r="G181" s="10">
        <f t="shared" si="152"/>
        <v>6413.1887361598056</v>
      </c>
      <c r="H181" s="14">
        <f t="shared" si="153"/>
        <v>0.17954865344540849</v>
      </c>
      <c r="I181" s="10">
        <f>'FY 2013 by Agency'!I181*Inflator!$E$5</f>
        <v>44632.711044998148</v>
      </c>
      <c r="J181" s="10">
        <f t="shared" si="154"/>
        <v>2501.132818884711</v>
      </c>
      <c r="K181" s="14">
        <f t="shared" si="155"/>
        <v>5.9364802463879505E-2</v>
      </c>
      <c r="L181" s="10">
        <f>'FY 2013 by Agency'!L181*Inflator!$E$6</f>
        <v>40741.414758269719</v>
      </c>
      <c r="M181" s="10">
        <f t="shared" si="156"/>
        <v>-3891.2962867284295</v>
      </c>
      <c r="N181" s="14">
        <f t="shared" si="157"/>
        <v>-8.7184851549915329E-2</v>
      </c>
      <c r="O181" s="10">
        <f>'FY 2013 by Agency'!O181*Inflator!$E$7</f>
        <v>45206.197817669832</v>
      </c>
      <c r="P181" s="52">
        <f t="shared" si="211"/>
        <v>4464.7830594001134</v>
      </c>
      <c r="Q181" s="58">
        <f>P181/L181</f>
        <v>0.10958831660341027</v>
      </c>
      <c r="R181" s="52">
        <f>'FY 2013 by Agency'!R181*Inflator!$E$8</f>
        <v>43158.983027834351</v>
      </c>
      <c r="S181" s="52">
        <f t="shared" si="194"/>
        <v>-2047.2147898354815</v>
      </c>
      <c r="T181" s="58">
        <f>S181/O181</f>
        <v>-4.528615297602584E-2</v>
      </c>
      <c r="U181" s="52">
        <f>'FY 2013 by Agency'!U181*Inflator!$E$9</f>
        <v>42306.001326259946</v>
      </c>
      <c r="V181" s="52">
        <f t="shared" si="212"/>
        <v>-852.98170157440472</v>
      </c>
      <c r="W181" s="58">
        <f t="shared" ref="W181:W188" si="217">V181/R181</f>
        <v>-1.9763711786820709E-2</v>
      </c>
      <c r="X181" s="52">
        <f>'FY 2013 by Agency'!X181*Inflator!$E$10</f>
        <v>41725.583994919027</v>
      </c>
      <c r="Y181" s="39">
        <f t="shared" si="195"/>
        <v>-580.41733134091919</v>
      </c>
      <c r="Z181" s="58">
        <f t="shared" si="196"/>
        <v>-1.3719503454481427E-2</v>
      </c>
      <c r="AA181" s="52">
        <f>'FY 2013 by Agency'!AA181*Inflator!$E$11</f>
        <v>46495.984708505901</v>
      </c>
      <c r="AB181" s="39">
        <f t="shared" si="197"/>
        <v>4770.4007135868742</v>
      </c>
      <c r="AC181" s="58">
        <f t="shared" si="198"/>
        <v>0.11432795558158686</v>
      </c>
      <c r="AD181" s="52" t="e">
        <f>'FY 2013 by Agency'!AD181*Inflator!#REF!</f>
        <v>#REF!</v>
      </c>
      <c r="AE181" s="52">
        <f>'FY 2013 by Agency'!AE181*Inflator!$B$8</f>
        <v>0</v>
      </c>
      <c r="AF181" s="52">
        <f>'FY 2013 by Agency'!AF181*Inflator!$E$12</f>
        <v>38573.474310776946</v>
      </c>
      <c r="AG181" s="52">
        <f t="shared" si="199"/>
        <v>-7922.5103977289546</v>
      </c>
      <c r="AH181" s="58">
        <f t="shared" si="200"/>
        <v>-0.17039128104065346</v>
      </c>
      <c r="AI181" s="52">
        <f>'FY 2013 by Agency'!AI181*Inflator!$B$8</f>
        <v>0</v>
      </c>
      <c r="AJ181" s="52">
        <f>'FY 2013 by Agency'!AJ181*Inflator!$B$8</f>
        <v>0</v>
      </c>
      <c r="AK181" s="52">
        <f>'FY 2013 by Agency'!AK181</f>
        <v>27794</v>
      </c>
      <c r="AL181" s="52">
        <f>'FY 2013 by Agency'!AL181</f>
        <v>0</v>
      </c>
      <c r="AM181" s="52">
        <f>'FY 2013 by Agency'!AM181</f>
        <v>27794</v>
      </c>
      <c r="AN181" s="52">
        <f>'FY 2013 by Agency'!AN181</f>
        <v>24182</v>
      </c>
      <c r="AO181" s="52">
        <f>'FY 2013 by Agency'!AO181</f>
        <v>36476</v>
      </c>
      <c r="AP181" s="52">
        <f>'FY 2013 by Agency'!AP181</f>
        <v>0</v>
      </c>
      <c r="AQ181" s="52">
        <f>'FY 2013 by Agency'!AQ181</f>
        <v>0</v>
      </c>
      <c r="AR181" s="52">
        <f>'FY 2013 by Agency'!AR181</f>
        <v>0</v>
      </c>
      <c r="AS181" s="52">
        <f>'FY 2013 by Agency'!AS181</f>
        <v>34866.127999999997</v>
      </c>
      <c r="AT181" s="52" t="e">
        <f t="shared" si="201"/>
        <v>#REF!</v>
      </c>
      <c r="AU181" s="58" t="e">
        <f t="shared" si="202"/>
        <v>#REF!</v>
      </c>
      <c r="AV181" s="52">
        <f t="shared" si="203"/>
        <v>-3707.3463107769494</v>
      </c>
      <c r="AW181" s="58">
        <f t="shared" si="204"/>
        <v>-9.6111288314549445E-2</v>
      </c>
      <c r="AX181" s="39">
        <f>24379+12294</f>
        <v>36673</v>
      </c>
      <c r="AY181" s="39">
        <f>24379+12294</f>
        <v>36673</v>
      </c>
      <c r="AZ181" s="39">
        <f t="shared" si="205"/>
        <v>197</v>
      </c>
      <c r="BA181" s="39">
        <f t="shared" si="206"/>
        <v>3904.3463107769494</v>
      </c>
      <c r="BB181" s="39">
        <f t="shared" si="207"/>
        <v>35063.127999999997</v>
      </c>
      <c r="BC181" s="58">
        <f t="shared" si="208"/>
        <v>-9.1004151777850151E-2</v>
      </c>
      <c r="BD181" s="294">
        <v>1072.9069999999999</v>
      </c>
      <c r="BE181" s="51">
        <f t="shared" si="209"/>
        <v>2.9256046682845687E-2</v>
      </c>
      <c r="BI181" s="65">
        <v>35689</v>
      </c>
      <c r="BJ181" s="39">
        <f t="shared" si="213"/>
        <v>-984</v>
      </c>
      <c r="BK181" s="65">
        <f t="shared" si="214"/>
        <v>35689</v>
      </c>
      <c r="BL181" s="576">
        <f>'FY 2013 by Agency'!AS181*Inflator!$E$13</f>
        <v>36153.525463533726</v>
      </c>
      <c r="BM181" s="52">
        <f t="shared" si="215"/>
        <v>-2419.9488472432204</v>
      </c>
      <c r="BN181" s="51">
        <f t="shared" si="210"/>
        <v>-6.2736087181213984E-2</v>
      </c>
      <c r="BO181" s="52">
        <f>'FY 2013 by Agency'!AX181*Inflator!$E$13</f>
        <v>38562.167226121463</v>
      </c>
      <c r="BP181" s="52">
        <f t="shared" si="171"/>
        <v>-11.307084655483777</v>
      </c>
      <c r="BQ181" s="51">
        <f t="shared" si="172"/>
        <v>-2.9313109222118264E-4</v>
      </c>
      <c r="BR181" s="52">
        <f>'FY 2013 by Agency'!BE181*Inflator!$E$14</f>
        <v>33549.79635712153</v>
      </c>
      <c r="BS181" s="52">
        <f t="shared" si="173"/>
        <v>-5012.370868999933</v>
      </c>
      <c r="BT181" s="51">
        <f t="shared" si="174"/>
        <v>-0.12998156560050972</v>
      </c>
      <c r="BU181" s="52">
        <f>'FY 2013 by Agency'!BL181*Inflator!$E$14</f>
        <v>33549.79635712153</v>
      </c>
      <c r="BV181" s="52">
        <f t="shared" si="216"/>
        <v>-2603.7291064121964</v>
      </c>
      <c r="BW181" s="495">
        <f>34060+2200</f>
        <v>36260</v>
      </c>
      <c r="BX181" s="39">
        <f>'FY 2013 by Agency'!BV181*Inflator!E15</f>
        <v>36260</v>
      </c>
      <c r="BY181" s="39">
        <f t="shared" si="148"/>
        <v>2710.2036428784704</v>
      </c>
      <c r="BZ181" s="51">
        <f t="shared" si="149"/>
        <v>8.0781522904927627E-2</v>
      </c>
      <c r="CB181" s="39"/>
    </row>
    <row r="182" spans="1:80" ht="18" customHeight="1">
      <c r="A182" s="57" t="s">
        <v>118</v>
      </c>
      <c r="B182" s="326">
        <f>'FY 2013 by Agency'!B182*Inflator!$E$2</f>
        <v>0</v>
      </c>
      <c r="C182" s="326">
        <f>'FY 2013 by Agency'!C182*Inflator!$E$3</f>
        <v>0</v>
      </c>
      <c r="D182" s="334" t="s">
        <v>78</v>
      </c>
      <c r="E182" s="334" t="s">
        <v>78</v>
      </c>
      <c r="F182" s="10">
        <f>'FY 2013 by Agency'!F182*Inflator!$E$4</f>
        <v>3501.479253901789</v>
      </c>
      <c r="G182" s="10">
        <f t="shared" si="152"/>
        <v>3501.479253901789</v>
      </c>
      <c r="H182" s="334" t="s">
        <v>78</v>
      </c>
      <c r="I182" s="10">
        <f>'FY 2013 by Agency'!I182*Inflator!$E$5</f>
        <v>3624.1963555224997</v>
      </c>
      <c r="J182" s="10">
        <f t="shared" si="154"/>
        <v>122.71710162071076</v>
      </c>
      <c r="K182" s="60" t="s">
        <v>78</v>
      </c>
      <c r="L182" s="10">
        <f>'FY 2013 by Agency'!L182*Inflator!$E$6</f>
        <v>2441.9651035986913</v>
      </c>
      <c r="M182" s="10">
        <f t="shared" si="156"/>
        <v>-1182.2312519238085</v>
      </c>
      <c r="N182" s="60" t="s">
        <v>78</v>
      </c>
      <c r="O182" s="10">
        <f>'FY 2013 by Agency'!O182*Inflator!$E$7</f>
        <v>5150.2245688137973</v>
      </c>
      <c r="P182" s="52">
        <f t="shared" si="211"/>
        <v>2708.259465215106</v>
      </c>
      <c r="Q182" s="60" t="s">
        <v>78</v>
      </c>
      <c r="R182" s="52">
        <f>'FY 2013 by Agency'!R182*Inflator!$E$8</f>
        <v>3464.8988458927356</v>
      </c>
      <c r="S182" s="52">
        <f t="shared" si="194"/>
        <v>-1685.3257229210617</v>
      </c>
      <c r="T182" s="60" t="s">
        <v>78</v>
      </c>
      <c r="U182" s="52">
        <f>'FY 2013 by Agency'!U182*Inflator!$E$9</f>
        <v>30411.874668435012</v>
      </c>
      <c r="V182" s="52">
        <f t="shared" si="212"/>
        <v>26946.975822542277</v>
      </c>
      <c r="W182" s="60" t="s">
        <v>78</v>
      </c>
      <c r="X182" s="52">
        <f>'FY 2013 by Agency'!X182*Inflator!$E$10</f>
        <v>40428.538583677364</v>
      </c>
      <c r="Y182" s="39">
        <f t="shared" si="195"/>
        <v>10016.663915242352</v>
      </c>
      <c r="Z182" s="58">
        <f t="shared" si="196"/>
        <v>0.32936686818714317</v>
      </c>
      <c r="AA182" s="52">
        <f>'FY 2013 by Agency'!AA182*Inflator!$E$11</f>
        <v>62495.487734947448</v>
      </c>
      <c r="AB182" s="39">
        <f t="shared" si="197"/>
        <v>22066.949151270084</v>
      </c>
      <c r="AC182" s="58">
        <f t="shared" si="198"/>
        <v>0.54582604082007069</v>
      </c>
      <c r="AD182" s="52" t="e">
        <f>'FY 2013 by Agency'!AD182*Inflator!#REF!</f>
        <v>#REF!</v>
      </c>
      <c r="AE182" s="52">
        <f>'FY 2013 by Agency'!AE182*Inflator!$B$8</f>
        <v>0</v>
      </c>
      <c r="AF182" s="52">
        <f>'FY 2013 by Agency'!AF182*Inflator!$E$12</f>
        <v>49423.228696741862</v>
      </c>
      <c r="AG182" s="52">
        <f t="shared" si="199"/>
        <v>-13072.259038205586</v>
      </c>
      <c r="AH182" s="58">
        <f t="shared" si="200"/>
        <v>-0.20917124598894177</v>
      </c>
      <c r="AI182" s="52">
        <f>'FY 2013 by Agency'!AI182*Inflator!$B$8</f>
        <v>0</v>
      </c>
      <c r="AJ182" s="52">
        <f>'FY 2013 by Agency'!AJ182*Inflator!$B$8</f>
        <v>0</v>
      </c>
      <c r="AK182" s="52">
        <f>'FY 2013 by Agency'!AK182</f>
        <v>12630</v>
      </c>
      <c r="AL182" s="52">
        <f>'FY 2013 by Agency'!AL182</f>
        <v>6507</v>
      </c>
      <c r="AM182" s="52">
        <f>'FY 2013 by Agency'!AM182</f>
        <v>19137</v>
      </c>
      <c r="AN182" s="52">
        <f>'FY 2013 by Agency'!AN182</f>
        <v>13925</v>
      </c>
      <c r="AO182" s="52">
        <f>'FY 2013 by Agency'!AO182</f>
        <v>50811</v>
      </c>
      <c r="AP182" s="52">
        <f>'FY 2013 by Agency'!AP182</f>
        <v>0</v>
      </c>
      <c r="AQ182" s="52">
        <f>'FY 2013 by Agency'!AQ182</f>
        <v>0</v>
      </c>
      <c r="AR182" s="52">
        <f>'FY 2013 by Agency'!AR182</f>
        <v>0</v>
      </c>
      <c r="AS182" s="52">
        <f>'FY 2013 by Agency'!AS182</f>
        <v>37410.08898</v>
      </c>
      <c r="AT182" s="52" t="e">
        <f t="shared" si="201"/>
        <v>#REF!</v>
      </c>
      <c r="AU182" s="58" t="e">
        <f t="shared" si="202"/>
        <v>#REF!</v>
      </c>
      <c r="AV182" s="52">
        <f t="shared" si="203"/>
        <v>-12013.139716741862</v>
      </c>
      <c r="AW182" s="58">
        <f t="shared" si="204"/>
        <v>-0.24306667195811524</v>
      </c>
      <c r="AX182" s="39">
        <f>13636+35164</f>
        <v>48800</v>
      </c>
      <c r="AY182" s="39">
        <f>13636+35164</f>
        <v>48800</v>
      </c>
      <c r="AZ182" s="39">
        <f t="shared" si="205"/>
        <v>-2011</v>
      </c>
      <c r="BA182" s="39">
        <f t="shared" si="206"/>
        <v>10002.139716741862</v>
      </c>
      <c r="BB182" s="39">
        <f t="shared" si="207"/>
        <v>35399.08898</v>
      </c>
      <c r="BC182" s="58">
        <f t="shared" si="208"/>
        <v>-0.28375604116827713</v>
      </c>
      <c r="BD182" s="294">
        <v>731.86599999999999</v>
      </c>
      <c r="BE182" s="51">
        <f t="shared" si="209"/>
        <v>1.4997254098360656E-2</v>
      </c>
      <c r="BI182" s="219">
        <v>44577</v>
      </c>
      <c r="BJ182" s="39">
        <f t="shared" si="213"/>
        <v>-4223</v>
      </c>
      <c r="BK182" s="65">
        <f t="shared" si="214"/>
        <v>44577</v>
      </c>
      <c r="BL182" s="576">
        <f>'FY 2013 by Agency'!AS182*Inflator!$E$13</f>
        <v>38791.419699127255</v>
      </c>
      <c r="BM182" s="52">
        <f t="shared" si="215"/>
        <v>-10631.808997614608</v>
      </c>
      <c r="BN182" s="51">
        <f t="shared" si="210"/>
        <v>-0.21511765374234829</v>
      </c>
      <c r="BO182" s="52">
        <f>'FY 2013 by Agency'!AX182*Inflator!$E$13</f>
        <v>46222.961855355519</v>
      </c>
      <c r="BP182" s="52">
        <f t="shared" si="171"/>
        <v>-3200.266841386343</v>
      </c>
      <c r="BQ182" s="51">
        <f t="shared" si="172"/>
        <v>-6.4752281989163427E-2</v>
      </c>
      <c r="BR182" s="52">
        <f>'FY 2013 by Agency'!BE182*Inflator!$E$14</f>
        <v>51321.062406688565</v>
      </c>
      <c r="BS182" s="52">
        <f t="shared" si="173"/>
        <v>5098.1005513330456</v>
      </c>
      <c r="BT182" s="51">
        <f t="shared" si="174"/>
        <v>0.11029367973619729</v>
      </c>
      <c r="BU182" s="52">
        <f>'FY 2013 by Agency'!BL182*Inflator!$E$14</f>
        <v>51321.062406688565</v>
      </c>
      <c r="BV182" s="52">
        <f t="shared" si="216"/>
        <v>12529.64270756131</v>
      </c>
      <c r="BW182" s="495">
        <v>65433</v>
      </c>
      <c r="BX182" s="39">
        <f>'FY 2013 by Agency'!BV182*Inflator!E15</f>
        <v>65433</v>
      </c>
      <c r="BY182" s="39">
        <f t="shared" si="148"/>
        <v>14111.937593311435</v>
      </c>
      <c r="BZ182" s="51">
        <f t="shared" si="149"/>
        <v>0.27497360599207427</v>
      </c>
      <c r="CB182" s="39"/>
    </row>
    <row r="183" spans="1:80" ht="18" customHeight="1">
      <c r="A183" s="57" t="s">
        <v>32</v>
      </c>
      <c r="B183" s="326">
        <f>'FY 2013 by Agency'!B183*Inflator!$E$2</f>
        <v>795.30542264752796</v>
      </c>
      <c r="C183" s="326">
        <f>'FY 2013 by Agency'!C183*Inflator!$E$3</f>
        <v>1010.9969088098919</v>
      </c>
      <c r="D183" s="326">
        <f t="shared" si="150"/>
        <v>215.69148616236396</v>
      </c>
      <c r="E183" s="355">
        <f t="shared" si="151"/>
        <v>0.27120585377670237</v>
      </c>
      <c r="F183" s="10">
        <f>'FY 2013 by Agency'!F183*Inflator!$E$4</f>
        <v>1237.8705748001523</v>
      </c>
      <c r="G183" s="10">
        <f t="shared" si="152"/>
        <v>226.87366599026041</v>
      </c>
      <c r="H183" s="14">
        <f t="shared" si="153"/>
        <v>0.22440589482842996</v>
      </c>
      <c r="I183" s="10">
        <f>'FY 2013 by Agency'!I183*Inflator!$E$5</f>
        <v>1373.605801413165</v>
      </c>
      <c r="J183" s="10">
        <f t="shared" si="154"/>
        <v>135.73522661301263</v>
      </c>
      <c r="K183" s="14">
        <f t="shared" si="155"/>
        <v>0.1096521957757388</v>
      </c>
      <c r="L183" s="10">
        <f>'FY 2013 by Agency'!L183*Inflator!$E$6</f>
        <v>1508.1635768811338</v>
      </c>
      <c r="M183" s="10">
        <f t="shared" si="156"/>
        <v>134.5577754679689</v>
      </c>
      <c r="N183" s="14">
        <f t="shared" si="157"/>
        <v>9.7959527638523308E-2</v>
      </c>
      <c r="O183" s="10">
        <f>'FY 2013 by Agency'!O183*Inflator!$E$7</f>
        <v>1438.8574445617739</v>
      </c>
      <c r="P183" s="52">
        <f t="shared" si="211"/>
        <v>-69.306132319359904</v>
      </c>
      <c r="Q183" s="58">
        <f>P183/L183</f>
        <v>-4.5953988931813516E-2</v>
      </c>
      <c r="R183" s="52">
        <f>'FY 2013 by Agency'!R183*Inflator!$E$8</f>
        <v>1325.2892057026477</v>
      </c>
      <c r="S183" s="52">
        <f t="shared" si="194"/>
        <v>-113.56823885912627</v>
      </c>
      <c r="T183" s="58">
        <f>S183/O183</f>
        <v>-7.8929458431314728E-2</v>
      </c>
      <c r="U183" s="52">
        <f>'FY 2013 by Agency'!U183*Inflator!$E$9</f>
        <v>1426.3488063660477</v>
      </c>
      <c r="V183" s="52">
        <f t="shared" si="212"/>
        <v>101.05960066340003</v>
      </c>
      <c r="W183" s="58">
        <f t="shared" si="217"/>
        <v>7.6254752720044838E-2</v>
      </c>
      <c r="X183" s="52">
        <f>'FY 2013 by Agency'!X183*Inflator!$E$10</f>
        <v>1748.0978088281997</v>
      </c>
      <c r="Y183" s="39">
        <f t="shared" si="195"/>
        <v>321.74900246215202</v>
      </c>
      <c r="Z183" s="58">
        <f t="shared" si="196"/>
        <v>0.22557525973038933</v>
      </c>
      <c r="AA183" s="52">
        <f>'FY 2013 by Agency'!AA183*Inflator!$E$11</f>
        <v>2085.9974514176492</v>
      </c>
      <c r="AB183" s="39">
        <f t="shared" si="197"/>
        <v>337.89964258944951</v>
      </c>
      <c r="AC183" s="58">
        <f t="shared" si="198"/>
        <v>0.1932956158877365</v>
      </c>
      <c r="AD183" s="52" t="e">
        <f>'FY 2013 by Agency'!AD183*Inflator!#REF!</f>
        <v>#REF!</v>
      </c>
      <c r="AE183" s="52">
        <f>'FY 2013 by Agency'!AE183*Inflator!$B$8</f>
        <v>0</v>
      </c>
      <c r="AF183" s="52">
        <f>'FY 2013 by Agency'!AF183*Inflator!$E$12</f>
        <v>1643.6441102756894</v>
      </c>
      <c r="AG183" s="52">
        <f t="shared" si="199"/>
        <v>-442.35334114195985</v>
      </c>
      <c r="AH183" s="58">
        <f t="shared" si="200"/>
        <v>-0.21205842837503727</v>
      </c>
      <c r="AI183" s="52">
        <f>'FY 2013 by Agency'!AI183*Inflator!$B$8</f>
        <v>0</v>
      </c>
      <c r="AJ183" s="52">
        <f>'FY 2013 by Agency'!AJ183*Inflator!$B$8</f>
        <v>0</v>
      </c>
      <c r="AK183" s="52">
        <f>'FY 2013 by Agency'!AK183</f>
        <v>1366</v>
      </c>
      <c r="AL183" s="52">
        <f>'FY 2013 by Agency'!AL183</f>
        <v>5</v>
      </c>
      <c r="AM183" s="52">
        <f>'FY 2013 by Agency'!AM183</f>
        <v>1371</v>
      </c>
      <c r="AN183" s="52">
        <f>'FY 2013 by Agency'!AN183</f>
        <v>1097</v>
      </c>
      <c r="AO183" s="52">
        <f>'FY 2013 by Agency'!AO183</f>
        <v>1634</v>
      </c>
      <c r="AP183" s="52">
        <f>'FY 2013 by Agency'!AP183</f>
        <v>0</v>
      </c>
      <c r="AQ183" s="52">
        <f>'FY 2013 by Agency'!AQ183</f>
        <v>0</v>
      </c>
      <c r="AR183" s="52">
        <f>'FY 2013 by Agency'!AR183</f>
        <v>0</v>
      </c>
      <c r="AS183" s="52">
        <f>'FY 2013 by Agency'!AS183</f>
        <v>1414.6360999999999</v>
      </c>
      <c r="AT183" s="52" t="e">
        <f t="shared" si="201"/>
        <v>#REF!</v>
      </c>
      <c r="AU183" s="58" t="e">
        <f t="shared" si="202"/>
        <v>#REF!</v>
      </c>
      <c r="AV183" s="52">
        <f t="shared" si="203"/>
        <v>-229.00801027568946</v>
      </c>
      <c r="AW183" s="58">
        <f t="shared" si="204"/>
        <v>-0.13932943807238041</v>
      </c>
      <c r="AX183" s="39">
        <f>1097+537</f>
        <v>1634</v>
      </c>
      <c r="AY183" s="39">
        <f>1097+537</f>
        <v>1634</v>
      </c>
      <c r="AZ183" s="39">
        <f t="shared" si="205"/>
        <v>0</v>
      </c>
      <c r="BA183" s="39">
        <f t="shared" si="206"/>
        <v>229.00801027568946</v>
      </c>
      <c r="BB183" s="39">
        <f t="shared" si="207"/>
        <v>1414.6360999999999</v>
      </c>
      <c r="BC183" s="58">
        <f t="shared" si="208"/>
        <v>-0.13932943807238041</v>
      </c>
      <c r="BD183" s="294">
        <v>1.841</v>
      </c>
      <c r="BE183" s="51">
        <f t="shared" si="209"/>
        <v>1.1266829865361077E-3</v>
      </c>
      <c r="BI183" s="219">
        <v>1590</v>
      </c>
      <c r="BJ183" s="39">
        <f t="shared" si="213"/>
        <v>-44</v>
      </c>
      <c r="BK183" s="65">
        <f t="shared" si="214"/>
        <v>1590</v>
      </c>
      <c r="BL183" s="576">
        <f>'FY 2013 by Agency'!AS183*Inflator!$E$13</f>
        <v>1466.8701458040894</v>
      </c>
      <c r="BM183" s="52">
        <f t="shared" si="215"/>
        <v>-176.77396447160004</v>
      </c>
      <c r="BN183" s="51">
        <f t="shared" si="210"/>
        <v>-0.10755002458649618</v>
      </c>
      <c r="BO183" s="52">
        <f>'FY 2013 by Agency'!AX183*Inflator!$E$13</f>
        <v>1648.709185230394</v>
      </c>
      <c r="BP183" s="52">
        <f t="shared" si="171"/>
        <v>5.0650749547046416</v>
      </c>
      <c r="BQ183" s="51">
        <f t="shared" si="172"/>
        <v>3.0816129373986401E-3</v>
      </c>
      <c r="BR183" s="52">
        <f>'FY 2013 by Agency'!BE183*Inflator!$E$14</f>
        <v>1603.1173484622277</v>
      </c>
      <c r="BS183" s="52">
        <f t="shared" si="173"/>
        <v>-45.591836768166331</v>
      </c>
      <c r="BT183" s="51">
        <f t="shared" si="174"/>
        <v>-2.7653049535109633E-2</v>
      </c>
      <c r="BU183" s="52">
        <f>'FY 2013 by Agency'!BL183*Inflator!$E$14</f>
        <v>1603.1173484622277</v>
      </c>
      <c r="BV183" s="52">
        <f t="shared" si="216"/>
        <v>136.24720265813835</v>
      </c>
      <c r="BW183" s="495">
        <v>1607</v>
      </c>
      <c r="BX183" s="39">
        <f>'FY 2013 by Agency'!BV183*Inflator!E15</f>
        <v>1607</v>
      </c>
      <c r="BY183" s="39">
        <f t="shared" si="148"/>
        <v>3.8826515377722899</v>
      </c>
      <c r="BZ183" s="51">
        <f t="shared" si="149"/>
        <v>2.4219384448036069E-3</v>
      </c>
      <c r="CB183" s="39"/>
    </row>
    <row r="184" spans="1:80" ht="18" customHeight="1">
      <c r="A184" s="57" t="s">
        <v>33</v>
      </c>
      <c r="B184" s="326">
        <f>'FY 2013 by Agency'!B184*Inflator!$E$2</f>
        <v>109.74401913875599</v>
      </c>
      <c r="C184" s="326">
        <f>'FY 2013 by Agency'!C184*Inflator!$E$3</f>
        <v>107.66460587326121</v>
      </c>
      <c r="D184" s="326">
        <f t="shared" si="150"/>
        <v>-2.0794132654947788</v>
      </c>
      <c r="E184" s="355">
        <f t="shared" si="151"/>
        <v>-1.8947850477989612E-2</v>
      </c>
      <c r="F184" s="10">
        <f>'FY 2013 by Agency'!F184*Inflator!$E$4</f>
        <v>107.35972592310621</v>
      </c>
      <c r="G184" s="10">
        <f t="shared" si="152"/>
        <v>-0.30487995015499791</v>
      </c>
      <c r="H184" s="14">
        <f t="shared" si="153"/>
        <v>-2.8317565246455396E-3</v>
      </c>
      <c r="I184" s="10">
        <f>'FY 2013 by Agency'!I184*Inflator!$E$5</f>
        <v>113.73001115656379</v>
      </c>
      <c r="J184" s="10">
        <f t="shared" si="154"/>
        <v>6.3702852334575795</v>
      </c>
      <c r="K184" s="14">
        <f t="shared" si="155"/>
        <v>5.9335893219587217E-2</v>
      </c>
      <c r="L184" s="10">
        <f>'FY 2013 by Agency'!L184*Inflator!$E$6</f>
        <v>113.63722282806251</v>
      </c>
      <c r="M184" s="10">
        <f t="shared" si="156"/>
        <v>-9.2788328501285378E-2</v>
      </c>
      <c r="N184" s="14">
        <f t="shared" si="157"/>
        <v>-8.15864938002604E-4</v>
      </c>
      <c r="O184" s="10">
        <f>'FY 2013 by Agency'!O184*Inflator!$E$7</f>
        <v>113.62548398451248</v>
      </c>
      <c r="P184" s="52">
        <f t="shared" si="211"/>
        <v>-1.1738843550020306E-2</v>
      </c>
      <c r="Q184" s="58">
        <f>P184/L184</f>
        <v>-1.0330104219267685E-4</v>
      </c>
      <c r="R184" s="52">
        <f>'FY 2013 by Agency'!R184*Inflator!$E$8</f>
        <v>126.87712152070603</v>
      </c>
      <c r="S184" s="52">
        <f t="shared" si="194"/>
        <v>13.251637536193542</v>
      </c>
      <c r="T184" s="58">
        <f>S184/O184</f>
        <v>0.11662557616036014</v>
      </c>
      <c r="U184" s="52">
        <f>'FY 2013 by Agency'!U184*Inflator!$E$9</f>
        <v>123.93236074270557</v>
      </c>
      <c r="V184" s="52">
        <f t="shared" si="212"/>
        <v>-2.9447607780004574</v>
      </c>
      <c r="W184" s="58">
        <f t="shared" si="217"/>
        <v>-2.3209549071617926E-2</v>
      </c>
      <c r="X184" s="52">
        <f>'FY 2013 by Agency'!X184*Inflator!$E$10</f>
        <v>121.93521752937441</v>
      </c>
      <c r="Y184" s="39">
        <f t="shared" si="195"/>
        <v>-1.9971432133311566</v>
      </c>
      <c r="Z184" s="58">
        <f t="shared" si="196"/>
        <v>-1.6114783914085207E-2</v>
      </c>
      <c r="AA184" s="52">
        <f>'FY 2013 by Agency'!AA184*Inflator!$E$11</f>
        <v>122.32366995858555</v>
      </c>
      <c r="AB184" s="39">
        <f t="shared" si="197"/>
        <v>0.3884524292111422</v>
      </c>
      <c r="AC184" s="58">
        <f t="shared" si="198"/>
        <v>3.1857279388341053E-3</v>
      </c>
      <c r="AD184" s="52" t="e">
        <f>'FY 2013 by Agency'!AD184*Inflator!#REF!</f>
        <v>#REF!</v>
      </c>
      <c r="AE184" s="52">
        <f>'FY 2013 by Agency'!AE184*Inflator!$B$8</f>
        <v>0</v>
      </c>
      <c r="AF184" s="52">
        <f>'FY 2013 by Agency'!AF184*Inflator!$E$12</f>
        <v>130.93796992481205</v>
      </c>
      <c r="AG184" s="52">
        <f t="shared" si="199"/>
        <v>8.614299966226497</v>
      </c>
      <c r="AH184" s="58">
        <f t="shared" si="200"/>
        <v>7.0422183778029168E-2</v>
      </c>
      <c r="AI184" s="52">
        <f>'FY 2013 by Agency'!AI184*Inflator!$B$8</f>
        <v>0</v>
      </c>
      <c r="AJ184" s="52">
        <f>'FY 2013 by Agency'!AJ184*Inflator!$B$8</f>
        <v>0</v>
      </c>
      <c r="AK184" s="52">
        <f>'FY 2013 by Agency'!AK184</f>
        <v>126</v>
      </c>
      <c r="AL184" s="52">
        <f>'FY 2013 by Agency'!AL184</f>
        <v>0</v>
      </c>
      <c r="AM184" s="52">
        <f>'FY 2013 by Agency'!AM184</f>
        <v>126</v>
      </c>
      <c r="AN184" s="52">
        <f>'FY 2013 by Agency'!AN184</f>
        <v>123</v>
      </c>
      <c r="AO184" s="52">
        <f>'FY 2013 by Agency'!AO184</f>
        <v>0</v>
      </c>
      <c r="AP184" s="52">
        <f>'FY 2013 by Agency'!AP184</f>
        <v>0</v>
      </c>
      <c r="AQ184" s="52">
        <f>'FY 2013 by Agency'!AQ184</f>
        <v>0</v>
      </c>
      <c r="AR184" s="52">
        <f>'FY 2013 by Agency'!AR184</f>
        <v>0</v>
      </c>
      <c r="AS184" s="52">
        <f>'FY 2013 by Agency'!AS184</f>
        <v>123</v>
      </c>
      <c r="AT184" s="52" t="e">
        <f t="shared" si="201"/>
        <v>#REF!</v>
      </c>
      <c r="AU184" s="58" t="e">
        <f t="shared" si="202"/>
        <v>#REF!</v>
      </c>
      <c r="AV184" s="52">
        <f t="shared" si="203"/>
        <v>-7.9379699248120517</v>
      </c>
      <c r="AW184" s="58">
        <f t="shared" si="204"/>
        <v>-6.0623896409652892E-2</v>
      </c>
      <c r="AX184" s="39">
        <f>123</f>
        <v>123</v>
      </c>
      <c r="AY184" s="39">
        <f>123</f>
        <v>123</v>
      </c>
      <c r="AZ184" s="39">
        <f t="shared" si="205"/>
        <v>123</v>
      </c>
      <c r="BA184" s="39">
        <f t="shared" si="206"/>
        <v>130.93796992481205</v>
      </c>
      <c r="BB184" s="39">
        <f t="shared" si="207"/>
        <v>246</v>
      </c>
      <c r="BC184" s="58">
        <f t="shared" si="208"/>
        <v>0.87875220718069413</v>
      </c>
      <c r="BD184" s="294">
        <v>0</v>
      </c>
      <c r="BE184" s="51">
        <f t="shared" si="209"/>
        <v>0</v>
      </c>
      <c r="BI184" s="219">
        <v>123</v>
      </c>
      <c r="BJ184" s="39">
        <f t="shared" si="213"/>
        <v>0</v>
      </c>
      <c r="BK184" s="65">
        <f t="shared" si="214"/>
        <v>123</v>
      </c>
      <c r="BL184" s="576">
        <f>'FY 2013 by Agency'!AS184*Inflator!$E$13</f>
        <v>127.54165395178519</v>
      </c>
      <c r="BM184" s="52">
        <f t="shared" si="215"/>
        <v>-3.3963159730268586</v>
      </c>
      <c r="BN184" s="51">
        <f t="shared" si="210"/>
        <v>-2.5938358254501047E-2</v>
      </c>
      <c r="BO184" s="52">
        <f>'FY 2013 by Agency'!AX184*Inflator!$E$13</f>
        <v>127.54165395178519</v>
      </c>
      <c r="BP184" s="52">
        <f t="shared" si="171"/>
        <v>-3.3963159730268586</v>
      </c>
      <c r="BQ184" s="51">
        <f t="shared" si="172"/>
        <v>-2.5938358254501047E-2</v>
      </c>
      <c r="BR184" s="52">
        <f>'FY 2013 by Agency'!BE184*Inflator!$E$14</f>
        <v>127.84353538369663</v>
      </c>
      <c r="BS184" s="52">
        <f t="shared" si="173"/>
        <v>0.30188143191143979</v>
      </c>
      <c r="BT184" s="51">
        <f t="shared" si="174"/>
        <v>2.3669242365757666E-3</v>
      </c>
      <c r="BU184" s="52">
        <f>'FY 2013 by Agency'!BL184*Inflator!$E$14</f>
        <v>127.84353538369663</v>
      </c>
      <c r="BV184" s="52">
        <f t="shared" si="216"/>
        <v>0.30188143191143979</v>
      </c>
      <c r="BW184" s="39">
        <v>126</v>
      </c>
      <c r="BX184" s="39">
        <f>'FY 2013 by Agency'!BV184*Inflator!E15</f>
        <v>126</v>
      </c>
      <c r="BY184" s="39">
        <f t="shared" si="148"/>
        <v>-1.8435353836966328</v>
      </c>
      <c r="BZ184" s="51">
        <f t="shared" si="149"/>
        <v>-1.4420247204237841E-2</v>
      </c>
      <c r="CB184" s="39"/>
    </row>
    <row r="185" spans="1:80" ht="18" customHeight="1">
      <c r="A185" s="57" t="s">
        <v>34</v>
      </c>
      <c r="B185" s="326">
        <f>'FY 2013 by Agency'!B185*Inflator!$E$2</f>
        <v>183626.13157894739</v>
      </c>
      <c r="C185" s="326">
        <f>'FY 2013 by Agency'!C185*Inflator!$E$3</f>
        <v>214112.0765069552</v>
      </c>
      <c r="D185" s="326">
        <f t="shared" si="150"/>
        <v>30485.944928007812</v>
      </c>
      <c r="E185" s="355">
        <f t="shared" si="151"/>
        <v>0.16602182198071749</v>
      </c>
      <c r="F185" s="10">
        <f>'FY 2013 by Agency'!F185*Inflator!$E$4</f>
        <v>192074.31062047963</v>
      </c>
      <c r="G185" s="10">
        <f t="shared" si="152"/>
        <v>-22037.765886475565</v>
      </c>
      <c r="H185" s="14">
        <f t="shared" si="153"/>
        <v>-0.10292630965054272</v>
      </c>
      <c r="I185" s="10">
        <f>'FY 2013 by Agency'!I185*Inflator!$E$5</f>
        <v>195275.69282261067</v>
      </c>
      <c r="J185" s="10">
        <f t="shared" si="154"/>
        <v>3201.3822021310334</v>
      </c>
      <c r="K185" s="14">
        <f t="shared" si="155"/>
        <v>1.6667414771862211E-2</v>
      </c>
      <c r="L185" s="10">
        <f>'FY 2013 by Agency'!L185*Inflator!$E$6</f>
        <v>196545.45837877132</v>
      </c>
      <c r="M185" s="10">
        <f t="shared" si="156"/>
        <v>1269.7655561606516</v>
      </c>
      <c r="N185" s="14">
        <f t="shared" si="157"/>
        <v>6.5024250474129026E-3</v>
      </c>
      <c r="O185" s="10">
        <f>'FY 2013 by Agency'!O185*Inflator!$E$7</f>
        <v>197711.93030623018</v>
      </c>
      <c r="P185" s="52">
        <f t="shared" si="211"/>
        <v>1166.471927458857</v>
      </c>
      <c r="Q185" s="58">
        <f>P185/L185</f>
        <v>5.9348709305248768E-3</v>
      </c>
      <c r="R185" s="52">
        <f>'FY 2013 by Agency'!R185*Inflator!$E$8</f>
        <v>216400.46503733876</v>
      </c>
      <c r="S185" s="52">
        <f t="shared" si="194"/>
        <v>18688.534731108579</v>
      </c>
      <c r="T185" s="58">
        <f>S185/O185</f>
        <v>9.4524061861934475E-2</v>
      </c>
      <c r="U185" s="52">
        <f>'FY 2013 by Agency'!U185*Inflator!$E$9</f>
        <v>223623.55172413791</v>
      </c>
      <c r="V185" s="52">
        <f t="shared" si="212"/>
        <v>7223.0866867991572</v>
      </c>
      <c r="W185" s="58">
        <f t="shared" si="217"/>
        <v>3.3378332553734819E-2</v>
      </c>
      <c r="X185" s="52">
        <f>'FY 2013 by Agency'!X185*Inflator!$E$10</f>
        <v>231898.12321371867</v>
      </c>
      <c r="Y185" s="39">
        <f t="shared" si="195"/>
        <v>8274.5714895807614</v>
      </c>
      <c r="Z185" s="58">
        <f t="shared" si="196"/>
        <v>3.7002236239357632E-2</v>
      </c>
      <c r="AA185" s="52">
        <f>'FY 2013 by Agency'!AA185*Inflator!$E$11</f>
        <v>249517.55399808861</v>
      </c>
      <c r="AB185" s="39">
        <f t="shared" si="197"/>
        <v>17619.430784369935</v>
      </c>
      <c r="AC185" s="58">
        <f t="shared" si="198"/>
        <v>7.5979186636761883E-2</v>
      </c>
      <c r="AD185" s="52" t="e">
        <f>'FY 2013 by Agency'!AD185*Inflator!#REF!</f>
        <v>#REF!</v>
      </c>
      <c r="AE185" s="52">
        <f>'FY 2013 by Agency'!AE185*Inflator!$B$8</f>
        <v>0</v>
      </c>
      <c r="AF185" s="52">
        <f>'FY 2013 by Agency'!AF185*Inflator!$E$12</f>
        <v>259393.44110275691</v>
      </c>
      <c r="AG185" s="52">
        <f t="shared" si="199"/>
        <v>9875.8871046683053</v>
      </c>
      <c r="AH185" s="58">
        <f t="shared" si="200"/>
        <v>3.9579929132937709E-2</v>
      </c>
      <c r="AI185" s="52">
        <f>'FY 2013 by Agency'!AI185*Inflator!$B$8</f>
        <v>0</v>
      </c>
      <c r="AJ185" s="52">
        <f>'FY 2013 by Agency'!AJ185*Inflator!$B$8</f>
        <v>0</v>
      </c>
      <c r="AK185" s="52">
        <f>'FY 2013 by Agency'!AK185</f>
        <v>237998</v>
      </c>
      <c r="AL185" s="52">
        <f>'FY 2013 by Agency'!AL185</f>
        <v>0</v>
      </c>
      <c r="AM185" s="52">
        <f>'FY 2013 by Agency'!AM185</f>
        <v>237998</v>
      </c>
      <c r="AN185" s="52">
        <f>'FY 2013 by Agency'!AN185</f>
        <v>233268</v>
      </c>
      <c r="AO185" s="52">
        <f>'FY 2013 by Agency'!AO185</f>
        <v>245268</v>
      </c>
      <c r="AP185" s="52">
        <f>'FY 2013 by Agency'!AP185</f>
        <v>0</v>
      </c>
      <c r="AQ185" s="52">
        <f>'FY 2013 by Agency'!AQ185</f>
        <v>0</v>
      </c>
      <c r="AR185" s="52">
        <f>'FY 2013 by Agency'!AR185</f>
        <v>0</v>
      </c>
      <c r="AS185" s="52">
        <f>'FY 2013 by Agency'!AS185</f>
        <v>0</v>
      </c>
      <c r="AT185" s="52" t="e">
        <f t="shared" si="201"/>
        <v>#REF!</v>
      </c>
      <c r="AU185" s="58" t="e">
        <f t="shared" si="202"/>
        <v>#REF!</v>
      </c>
      <c r="AV185" s="52">
        <f t="shared" si="203"/>
        <v>-259393.44110275691</v>
      </c>
      <c r="AW185" s="58">
        <f t="shared" si="204"/>
        <v>-1</v>
      </c>
      <c r="AX185" s="39">
        <f>246268+12000</f>
        <v>258268</v>
      </c>
      <c r="AY185" s="39">
        <f>246268+12000</f>
        <v>258268</v>
      </c>
      <c r="AZ185" s="39">
        <f t="shared" si="205"/>
        <v>13000</v>
      </c>
      <c r="BA185" s="39">
        <f t="shared" si="206"/>
        <v>272393.44110275689</v>
      </c>
      <c r="BB185" s="39">
        <f t="shared" si="207"/>
        <v>13000</v>
      </c>
      <c r="BC185" s="58">
        <f t="shared" si="208"/>
        <v>-0.94988308129637655</v>
      </c>
      <c r="BD185" s="294">
        <v>0</v>
      </c>
      <c r="BE185" s="51">
        <f t="shared" si="209"/>
        <v>0</v>
      </c>
      <c r="BI185" s="219">
        <v>257703</v>
      </c>
      <c r="BJ185" s="39">
        <f t="shared" si="213"/>
        <v>-565</v>
      </c>
      <c r="BK185" s="65">
        <f t="shared" si="214"/>
        <v>257703</v>
      </c>
      <c r="BL185" s="576">
        <f>'FY 2013 by Agency'!AS185*Inflator!$E$13</f>
        <v>0</v>
      </c>
      <c r="BM185" s="52">
        <f t="shared" si="215"/>
        <v>-259393.44110275691</v>
      </c>
      <c r="BN185" s="51">
        <f t="shared" si="210"/>
        <v>-1</v>
      </c>
      <c r="BO185" s="52">
        <f>'FY 2013 by Agency'!AX185*Inflator!$E$13</f>
        <v>267218.42966127559</v>
      </c>
      <c r="BP185" s="52">
        <f t="shared" si="171"/>
        <v>7824.9885585186712</v>
      </c>
      <c r="BQ185" s="51">
        <f t="shared" si="172"/>
        <v>3.0166485803389518E-2</v>
      </c>
      <c r="BR185" s="52">
        <f>'FY 2013 by Agency'!BE185*Inflator!$E$14</f>
        <v>221278.89638698121</v>
      </c>
      <c r="BS185" s="52">
        <f t="shared" si="173"/>
        <v>-45939.533274294372</v>
      </c>
      <c r="BT185" s="51">
        <f t="shared" si="174"/>
        <v>-0.17191753327989778</v>
      </c>
      <c r="BU185" s="52">
        <f>'FY 2013 by Agency'!BL185*Inflator!$E$14</f>
        <v>221278.89638698121</v>
      </c>
      <c r="BV185" s="52">
        <f t="shared" si="216"/>
        <v>221278.89638698121</v>
      </c>
      <c r="BW185" s="542">
        <f>288224-50600</f>
        <v>237624</v>
      </c>
      <c r="BX185" s="39">
        <f>'FY 2013 by Agency'!BV185*Inflator!E15</f>
        <v>237624</v>
      </c>
      <c r="BY185" s="39">
        <f t="shared" si="148"/>
        <v>16345.103613018786</v>
      </c>
      <c r="BZ185" s="51">
        <f t="shared" si="149"/>
        <v>7.3866527174077309E-2</v>
      </c>
      <c r="CB185" s="39"/>
    </row>
    <row r="186" spans="1:80" ht="18" customHeight="1">
      <c r="A186" s="628" t="s">
        <v>420</v>
      </c>
      <c r="B186" s="326"/>
      <c r="C186" s="326"/>
      <c r="D186" s="326"/>
      <c r="E186" s="355"/>
      <c r="F186" s="10"/>
      <c r="G186" s="10"/>
      <c r="H186" s="14"/>
      <c r="I186" s="10"/>
      <c r="J186" s="10"/>
      <c r="K186" s="14"/>
      <c r="L186" s="10"/>
      <c r="M186" s="10"/>
      <c r="N186" s="14"/>
      <c r="O186" s="10"/>
      <c r="P186" s="52"/>
      <c r="Q186" s="58"/>
      <c r="R186" s="52"/>
      <c r="S186" s="52"/>
      <c r="T186" s="58"/>
      <c r="U186" s="52"/>
      <c r="V186" s="52"/>
      <c r="W186" s="58"/>
      <c r="X186" s="52"/>
      <c r="Y186" s="39"/>
      <c r="Z186" s="58"/>
      <c r="AA186" s="52"/>
      <c r="AB186" s="39"/>
      <c r="AC186" s="58"/>
      <c r="AD186" s="52"/>
      <c r="AE186" s="52"/>
      <c r="AF186" s="52"/>
      <c r="AG186" s="52"/>
      <c r="AH186" s="58"/>
      <c r="AI186" s="52"/>
      <c r="AJ186" s="52"/>
      <c r="AK186" s="52"/>
      <c r="AL186" s="52"/>
      <c r="AM186" s="52"/>
      <c r="AO186" s="52"/>
      <c r="AU186" s="58"/>
      <c r="AV186" s="52"/>
      <c r="AW186" s="58"/>
      <c r="AX186" s="39"/>
      <c r="AY186" s="39"/>
      <c r="AZ186" s="39"/>
      <c r="BA186" s="39"/>
      <c r="BB186" s="39"/>
      <c r="BC186" s="58"/>
      <c r="BD186" s="294"/>
      <c r="BE186" s="51"/>
      <c r="BI186" s="219"/>
      <c r="BJ186" s="39"/>
      <c r="BK186" s="65"/>
      <c r="BL186" s="576"/>
      <c r="BN186" s="51"/>
      <c r="BO186" s="52"/>
      <c r="BP186" s="52"/>
      <c r="BQ186" s="51"/>
      <c r="BR186" s="52"/>
      <c r="BS186" s="52"/>
      <c r="BT186" s="51"/>
      <c r="BW186" s="39"/>
      <c r="BX186" s="39">
        <f>'FY 2013 by Agency'!BV186*Inflator!E15</f>
        <v>0</v>
      </c>
      <c r="BY186" s="39">
        <f t="shared" si="148"/>
        <v>0</v>
      </c>
      <c r="BZ186" s="51" t="e">
        <f t="shared" si="149"/>
        <v>#DIV/0!</v>
      </c>
      <c r="CB186" s="39"/>
    </row>
    <row r="187" spans="1:80" s="63" customFormat="1" ht="18" customHeight="1" thickBot="1">
      <c r="A187" s="82" t="s">
        <v>35</v>
      </c>
      <c r="B187" s="332">
        <f>'FY 2013 by Agency'!B187*Inflator!$E$2</f>
        <v>4132.3365231259968</v>
      </c>
      <c r="C187" s="332">
        <f>'FY 2013 by Agency'!C187*Inflator!$E$3</f>
        <v>3903.4984544049462</v>
      </c>
      <c r="D187" s="332">
        <f t="shared" si="150"/>
        <v>-228.8380687210506</v>
      </c>
      <c r="E187" s="494">
        <f t="shared" si="151"/>
        <v>-5.5377403907061522E-2</v>
      </c>
      <c r="F187" s="354">
        <f>'FY 2013 by Agency'!F187*Inflator!$E$4</f>
        <v>3743.362009897221</v>
      </c>
      <c r="G187" s="354">
        <f t="shared" si="152"/>
        <v>-160.13644450772517</v>
      </c>
      <c r="H187" s="16">
        <f t="shared" si="153"/>
        <v>-4.102382680003816E-2</v>
      </c>
      <c r="I187" s="354">
        <f>'FY 2013 by Agency'!I187*Inflator!$E$5</f>
        <v>4805.7248047601342</v>
      </c>
      <c r="J187" s="354">
        <f t="shared" si="154"/>
        <v>1062.3627948629132</v>
      </c>
      <c r="K187" s="16">
        <f t="shared" si="155"/>
        <v>0.2837991068066863</v>
      </c>
      <c r="L187" s="354">
        <f>'FY 2013 by Agency'!L187*Inflator!$E$6</f>
        <v>5322.4216648491456</v>
      </c>
      <c r="M187" s="354">
        <f t="shared" si="156"/>
        <v>516.69686008901135</v>
      </c>
      <c r="N187" s="16">
        <f t="shared" si="157"/>
        <v>0.10751694719956004</v>
      </c>
      <c r="O187" s="354">
        <f>'FY 2013 by Agency'!O187*Inflator!$E$7</f>
        <v>5570.0408306934169</v>
      </c>
      <c r="P187" s="75">
        <f t="shared" si="211"/>
        <v>247.61916584427127</v>
      </c>
      <c r="Q187" s="77">
        <f>P187/L187</f>
        <v>4.6523778354432499E-2</v>
      </c>
      <c r="R187" s="75">
        <f>'FY 2013 by Agency'!R187*Inflator!$E$8</f>
        <v>5962.0712830957227</v>
      </c>
      <c r="S187" s="75">
        <f t="shared" si="194"/>
        <v>392.03045240230585</v>
      </c>
      <c r="T187" s="77">
        <f>S187/O187</f>
        <v>7.0381971033684834E-2</v>
      </c>
      <c r="U187" s="75">
        <f>'FY 2013 by Agency'!U187*Inflator!$E$9</f>
        <v>5736.9416445623337</v>
      </c>
      <c r="V187" s="75">
        <f t="shared" si="212"/>
        <v>-225.12963853338897</v>
      </c>
      <c r="W187" s="77">
        <f t="shared" si="217"/>
        <v>-3.7760306417620279E-2</v>
      </c>
      <c r="X187" s="75">
        <f>'FY 2013 by Agency'!X187*Inflator!$E$10</f>
        <v>5848.5741505239766</v>
      </c>
      <c r="Y187" s="102">
        <f t="shared" si="195"/>
        <v>111.63250596164289</v>
      </c>
      <c r="Z187" s="77">
        <f t="shared" si="196"/>
        <v>1.9458539563053066E-2</v>
      </c>
      <c r="AA187" s="75">
        <f>'FY 2013 by Agency'!AA187*Inflator!$E$11</f>
        <v>8515.0264415418933</v>
      </c>
      <c r="AB187" s="102">
        <f t="shared" si="197"/>
        <v>2666.4522910179167</v>
      </c>
      <c r="AC187" s="77">
        <f t="shared" si="198"/>
        <v>0.45591493283521556</v>
      </c>
      <c r="AD187" s="75" t="e">
        <f>'FY 2013 by Agency'!AD187*Inflator!#REF!</f>
        <v>#REF!</v>
      </c>
      <c r="AE187" s="75">
        <f>'FY 2013 by Agency'!AE187*Inflator!$B$8</f>
        <v>0</v>
      </c>
      <c r="AF187" s="75">
        <f>'FY 2013 by Agency'!AF187*Inflator!$E$12</f>
        <v>6734.2568922305773</v>
      </c>
      <c r="AG187" s="75">
        <f t="shared" si="199"/>
        <v>-1780.769549311316</v>
      </c>
      <c r="AH187" s="77">
        <f t="shared" si="200"/>
        <v>-0.20913259184064917</v>
      </c>
      <c r="AI187" s="75">
        <f>'FY 2013 by Agency'!AI187*Inflator!$B$8</f>
        <v>0</v>
      </c>
      <c r="AJ187" s="75">
        <f>'FY 2013 by Agency'!AJ187*Inflator!$B$8</f>
        <v>0</v>
      </c>
      <c r="AK187" s="75">
        <f>'FY 2013 by Agency'!AK187</f>
        <v>7668</v>
      </c>
      <c r="AL187" s="75">
        <f>'FY 2013 by Agency'!AL187</f>
        <v>0</v>
      </c>
      <c r="AM187" s="75">
        <f>'FY 2013 by Agency'!AM187</f>
        <v>7668</v>
      </c>
      <c r="AN187" s="75">
        <f>'FY 2013 by Agency'!AN187</f>
        <v>6058</v>
      </c>
      <c r="AO187" s="75">
        <f>'FY 2013 by Agency'!AO187</f>
        <v>6058</v>
      </c>
      <c r="AP187" s="75">
        <f>'FY 2013 by Agency'!AP187</f>
        <v>0</v>
      </c>
      <c r="AQ187" s="75">
        <f>'FY 2013 by Agency'!AQ187</f>
        <v>0</v>
      </c>
      <c r="AR187" s="75">
        <f>'FY 2013 by Agency'!AR187</f>
        <v>0</v>
      </c>
      <c r="AS187" s="75">
        <f>'FY 2013 by Agency'!AS187</f>
        <v>6007.3223399999997</v>
      </c>
      <c r="AT187" s="75" t="e">
        <f t="shared" si="201"/>
        <v>#REF!</v>
      </c>
      <c r="AU187" s="77" t="e">
        <f t="shared" si="202"/>
        <v>#REF!</v>
      </c>
      <c r="AV187" s="75">
        <f t="shared" si="203"/>
        <v>-726.93455223057754</v>
      </c>
      <c r="AW187" s="77">
        <f t="shared" si="204"/>
        <v>-0.10794577098317319</v>
      </c>
      <c r="AX187" s="102">
        <f>6058</f>
        <v>6058</v>
      </c>
      <c r="AY187" s="102">
        <f>6058</f>
        <v>6058</v>
      </c>
      <c r="AZ187" s="102">
        <f t="shared" si="205"/>
        <v>0</v>
      </c>
      <c r="BA187" s="102">
        <f t="shared" si="206"/>
        <v>726.93455223057754</v>
      </c>
      <c r="BB187" s="102">
        <f t="shared" si="207"/>
        <v>6007.3223399999997</v>
      </c>
      <c r="BC187" s="77">
        <f t="shared" si="208"/>
        <v>-0.10794577098317315</v>
      </c>
      <c r="BD187" s="390">
        <v>605.79999999999995</v>
      </c>
      <c r="BE187" s="55">
        <f t="shared" si="209"/>
        <v>9.9999999999999992E-2</v>
      </c>
      <c r="BF187" s="54"/>
      <c r="BG187" s="54"/>
      <c r="BH187" s="54"/>
      <c r="BI187" s="94">
        <v>6058</v>
      </c>
      <c r="BJ187" s="102">
        <f t="shared" si="213"/>
        <v>0</v>
      </c>
      <c r="BK187" s="94">
        <f t="shared" si="214"/>
        <v>6058</v>
      </c>
      <c r="BL187" s="578">
        <f>'FY 2013 by Agency'!AS187*Inflator!$E$13</f>
        <v>6229.1368054073855</v>
      </c>
      <c r="BM187" s="52">
        <f t="shared" si="215"/>
        <v>-505.12008682319174</v>
      </c>
      <c r="BN187" s="55">
        <f t="shared" si="210"/>
        <v>-7.5007546475685694E-2</v>
      </c>
      <c r="BO187" s="75">
        <f>'FY 2013 by Agency'!AX187*Inflator!$E$13</f>
        <v>6281.6856881293879</v>
      </c>
      <c r="BP187" s="75">
        <f t="shared" si="171"/>
        <v>-452.57120410118932</v>
      </c>
      <c r="BQ187" s="55">
        <f t="shared" si="172"/>
        <v>-6.7204327269327693E-2</v>
      </c>
      <c r="BR187" s="75">
        <f>'FY 2013 by Agency'!BE187*Inflator!$E$14</f>
        <v>0</v>
      </c>
      <c r="BS187" s="75">
        <f t="shared" si="173"/>
        <v>-6281.6856881293879</v>
      </c>
      <c r="BT187" s="55">
        <f t="shared" si="174"/>
        <v>-1</v>
      </c>
      <c r="BU187" s="75">
        <f>'FY 2013 by Agency'!BL187*Inflator!$E$14</f>
        <v>0</v>
      </c>
      <c r="BV187" s="52">
        <f t="shared" si="216"/>
        <v>-6229.1368054073855</v>
      </c>
      <c r="BW187" s="102">
        <v>0</v>
      </c>
      <c r="BX187" s="39">
        <f>'FY 2013 by Agency'!BV187*Inflator!E15</f>
        <v>0</v>
      </c>
      <c r="BY187" s="39">
        <f t="shared" si="148"/>
        <v>0</v>
      </c>
      <c r="BZ187" s="51" t="e">
        <f t="shared" si="149"/>
        <v>#DIV/0!</v>
      </c>
      <c r="CB187" s="39"/>
    </row>
    <row r="188" spans="1:80" s="371" customFormat="1" ht="18" customHeight="1">
      <c r="A188" s="85" t="s">
        <v>61</v>
      </c>
      <c r="B188" s="326">
        <f>'FY 2013 by Agency'!B188*Inflator!$E$2</f>
        <v>364290.52950558218</v>
      </c>
      <c r="C188" s="326">
        <f>'FY 2013 by Agency'!C188*Inflator!$E$3</f>
        <v>388467.02782071102</v>
      </c>
      <c r="D188" s="47">
        <f t="shared" si="150"/>
        <v>24176.498315128847</v>
      </c>
      <c r="E188" s="360">
        <f t="shared" si="151"/>
        <v>6.6365980877793801E-2</v>
      </c>
      <c r="F188" s="10">
        <f>'FY 2013 by Agency'!F188*Inflator!$E$4</f>
        <v>398484.3783783784</v>
      </c>
      <c r="G188" s="46">
        <f t="shared" si="152"/>
        <v>10017.350557667378</v>
      </c>
      <c r="H188" s="392">
        <f t="shared" si="153"/>
        <v>2.5786874664406989E-2</v>
      </c>
      <c r="I188" s="10">
        <f>'FY 2013 by Agency'!I188*Inflator!$E$5</f>
        <v>391150.36370397924</v>
      </c>
      <c r="J188" s="46">
        <f t="shared" si="154"/>
        <v>-7334.0146743991645</v>
      </c>
      <c r="K188" s="392">
        <f t="shared" si="155"/>
        <v>-1.8404773367138614E-2</v>
      </c>
      <c r="L188" s="10">
        <f>'FY 2013 by Agency'!L188*Inflator!$E$6</f>
        <v>391056.56343147944</v>
      </c>
      <c r="M188" s="12">
        <f t="shared" si="156"/>
        <v>-93.800272499793209</v>
      </c>
      <c r="N188" s="15">
        <f t="shared" si="157"/>
        <v>-2.3980617482125319E-4</v>
      </c>
      <c r="O188" s="10">
        <f>'FY 2013 by Agency'!O188*Inflator!$E$7</f>
        <v>485124.60190073913</v>
      </c>
      <c r="P188" s="141">
        <f>O188-L188</f>
        <v>94068.038469259685</v>
      </c>
      <c r="Q188" s="393">
        <f>P188/L188</f>
        <v>0.2405484200132654</v>
      </c>
      <c r="R188" s="52">
        <f>'FY 2013 by Agency'!R188*Inflator!$E$8</f>
        <v>423078.68228105904</v>
      </c>
      <c r="S188" s="141">
        <f t="shared" si="194"/>
        <v>-62045.919619680091</v>
      </c>
      <c r="T188" s="393">
        <f>S188/O188</f>
        <v>-0.12789687304371186</v>
      </c>
      <c r="U188" s="52">
        <f>'FY 2013 by Agency'!U188*Inflator!$E$9</f>
        <v>484431.31830238726</v>
      </c>
      <c r="V188" s="141">
        <f t="shared" si="212"/>
        <v>61352.636021328217</v>
      </c>
      <c r="W188" s="393">
        <f t="shared" si="217"/>
        <v>0.14501471851652056</v>
      </c>
      <c r="X188" s="52">
        <f>'FY 2013 by Agency'!X188*Inflator!$E$10</f>
        <v>608356.3817084789</v>
      </c>
      <c r="Y188" s="33">
        <f t="shared" si="195"/>
        <v>123925.06340609165</v>
      </c>
      <c r="Z188" s="393">
        <f t="shared" si="196"/>
        <v>0.25581554850823307</v>
      </c>
      <c r="AA188" s="52">
        <f>'FY 2013 by Agency'!AA188*Inflator!$E$11</f>
        <v>651978.66581713932</v>
      </c>
      <c r="AB188" s="33">
        <f t="shared" si="197"/>
        <v>43622.284108660417</v>
      </c>
      <c r="AC188" s="45">
        <f t="shared" si="198"/>
        <v>7.1705147542224651E-2</v>
      </c>
      <c r="AD188" s="12" t="e">
        <f>'FY 2013 by Agency'!AD188*Inflator!#REF!</f>
        <v>#REF!</v>
      </c>
      <c r="AE188" s="493">
        <f>SUM(AE179:AE187)</f>
        <v>0</v>
      </c>
      <c r="AF188" s="52">
        <f>'FY 2013 by Agency'!AF188*Inflator!$E$12</f>
        <v>596356.45175438607</v>
      </c>
      <c r="AG188" s="46">
        <f t="shared" si="199"/>
        <v>-55622.21406275325</v>
      </c>
      <c r="AH188" s="45">
        <f t="shared" si="200"/>
        <v>-8.5312935804487858E-2</v>
      </c>
      <c r="AI188" s="493">
        <f t="shared" ref="AI188:AS188" si="218">SUM(AI179:AI187)</f>
        <v>0</v>
      </c>
      <c r="AJ188" s="493">
        <f t="shared" si="218"/>
        <v>0</v>
      </c>
      <c r="AK188" s="493">
        <f t="shared" si="218"/>
        <v>413005</v>
      </c>
      <c r="AL188" s="493">
        <f t="shared" si="218"/>
        <v>7540</v>
      </c>
      <c r="AM188" s="493">
        <f t="shared" si="218"/>
        <v>420545</v>
      </c>
      <c r="AN188" s="493">
        <f t="shared" si="218"/>
        <v>373289</v>
      </c>
      <c r="AO188" s="493">
        <f t="shared" si="218"/>
        <v>535860</v>
      </c>
      <c r="AP188" s="493">
        <f t="shared" si="218"/>
        <v>0</v>
      </c>
      <c r="AQ188" s="493">
        <f t="shared" si="218"/>
        <v>0</v>
      </c>
      <c r="AR188" s="493">
        <f t="shared" si="218"/>
        <v>0</v>
      </c>
      <c r="AS188" s="493">
        <f t="shared" si="218"/>
        <v>281135.46693</v>
      </c>
      <c r="AT188" s="46" t="e">
        <f t="shared" si="201"/>
        <v>#REF!</v>
      </c>
      <c r="AU188" s="45" t="e">
        <f t="shared" si="202"/>
        <v>#REF!</v>
      </c>
      <c r="AV188" s="46">
        <f t="shared" si="203"/>
        <v>-315220.98482438608</v>
      </c>
      <c r="AW188" s="45">
        <f t="shared" si="204"/>
        <v>-0.5285781413063545</v>
      </c>
      <c r="AX188" s="33">
        <f>SUM(AX179:AX187)</f>
        <v>552253</v>
      </c>
      <c r="AY188" s="33">
        <f>SUM(AY179:AY187)</f>
        <v>552253</v>
      </c>
      <c r="AZ188" s="90">
        <f>SUM(AZ179:AZ187)</f>
        <v>16393</v>
      </c>
      <c r="BA188" s="45">
        <f t="shared" si="206"/>
        <v>331613.98482438608</v>
      </c>
      <c r="BB188" s="33">
        <f>+AZ188+AS188 +4500</f>
        <v>302028.46693</v>
      </c>
      <c r="BC188" s="45">
        <f t="shared" si="208"/>
        <v>-0.49354372533158619</v>
      </c>
      <c r="BD188" s="33">
        <f>SUM(BD179:BD187)</f>
        <v>5007.8560000000007</v>
      </c>
      <c r="BE188" s="392">
        <f>BD188/AY188</f>
        <v>9.0680467104750917E-3</v>
      </c>
      <c r="BF188" s="392">
        <f>(BB188-X188)/X188</f>
        <v>-0.50353365886982604</v>
      </c>
      <c r="BG188" s="85"/>
      <c r="BH188" s="85"/>
      <c r="BI188" s="396">
        <f>SUM(BI179:BI187)</f>
        <v>540671</v>
      </c>
      <c r="BJ188" s="33">
        <f>BI188-AY188</f>
        <v>-11582</v>
      </c>
      <c r="BK188" s="396">
        <f>SUM(BK179:BK187)</f>
        <v>540671</v>
      </c>
      <c r="BL188" s="573">
        <f>SUM(BL179:BL187)</f>
        <v>291516.11737202934</v>
      </c>
      <c r="BM188" s="52">
        <f>BL188-AF188</f>
        <v>-304840.33438235673</v>
      </c>
      <c r="BN188" s="540">
        <f t="shared" si="210"/>
        <v>-0.51117135311534712</v>
      </c>
      <c r="BO188" s="12">
        <f>'FY 2013 by Agency'!AX188*Inflator!$E$13</f>
        <v>570817.33841928607</v>
      </c>
      <c r="BP188" s="12">
        <f t="shared" si="171"/>
        <v>-25539.113335100003</v>
      </c>
      <c r="BQ188" s="15">
        <f t="shared" si="172"/>
        <v>-4.2825248657858875E-2</v>
      </c>
      <c r="BR188" s="12">
        <f>'FY 2013 by Agency'!BE188*Inflator!$E$14</f>
        <v>538278.1033144223</v>
      </c>
      <c r="BS188" s="12">
        <f t="shared" si="173"/>
        <v>-32539.235104863765</v>
      </c>
      <c r="BT188" s="15">
        <f t="shared" si="174"/>
        <v>-5.7004636886069E-2</v>
      </c>
      <c r="BU188" s="12">
        <f>SUM(BU179:BU187)</f>
        <v>538278.1033144223</v>
      </c>
      <c r="BV188" s="52">
        <f t="shared" si="216"/>
        <v>246761.98594239296</v>
      </c>
      <c r="BW188" s="30">
        <f>SUM(BW179:BW187)</f>
        <v>574847</v>
      </c>
      <c r="BX188" s="12">
        <f>SUM(BX179:BX187)</f>
        <v>574847</v>
      </c>
      <c r="BY188" s="39">
        <f t="shared" si="148"/>
        <v>36568.896685577696</v>
      </c>
      <c r="BZ188" s="51">
        <f t="shared" si="149"/>
        <v>6.7936808984809929E-2</v>
      </c>
      <c r="CB188" s="39"/>
    </row>
    <row r="189" spans="1:80" s="20" customFormat="1" ht="18" customHeight="1">
      <c r="A189" s="85" t="s">
        <v>244</v>
      </c>
      <c r="B189" s="326"/>
      <c r="C189" s="326"/>
      <c r="D189" s="326"/>
      <c r="E189" s="355"/>
      <c r="F189" s="10"/>
      <c r="G189" s="10"/>
      <c r="H189" s="14"/>
      <c r="I189" s="10"/>
      <c r="J189" s="10"/>
      <c r="K189" s="14"/>
      <c r="L189" s="10"/>
      <c r="M189" s="10"/>
      <c r="N189" s="14"/>
      <c r="O189" s="10"/>
      <c r="P189" s="136"/>
      <c r="Q189" s="137"/>
      <c r="R189" s="52"/>
      <c r="S189" s="136"/>
      <c r="T189" s="137"/>
      <c r="U189" s="52"/>
      <c r="V189" s="136"/>
      <c r="W189" s="137"/>
      <c r="X189" s="52"/>
      <c r="Y189" s="30"/>
      <c r="Z189" s="137"/>
      <c r="AA189" s="52"/>
      <c r="AB189" s="30"/>
      <c r="AC189" s="36"/>
      <c r="AD189" s="52"/>
      <c r="AE189" s="138"/>
      <c r="AF189" s="138"/>
      <c r="AG189" s="52"/>
      <c r="AH189" s="58"/>
      <c r="AI189" s="138"/>
      <c r="AJ189" s="138"/>
      <c r="AK189" s="138"/>
      <c r="AL189" s="138"/>
      <c r="AM189" s="138"/>
      <c r="AN189" s="138"/>
      <c r="AO189" s="138"/>
      <c r="AP189" s="138"/>
      <c r="AQ189" s="138"/>
      <c r="AR189" s="52">
        <f>'FY 2013 by Agency'!AR189</f>
        <v>0</v>
      </c>
      <c r="AS189" s="52">
        <f>'FY 2013 by Agency'!AS189</f>
        <v>0</v>
      </c>
      <c r="AT189" s="12"/>
      <c r="AU189" s="36"/>
      <c r="AV189" s="52"/>
      <c r="AW189" s="36"/>
      <c r="AX189" s="39">
        <v>4500</v>
      </c>
      <c r="AY189" s="58"/>
      <c r="AZ189" s="58"/>
      <c r="BA189" s="58"/>
      <c r="BB189" s="58"/>
      <c r="BC189" s="58"/>
      <c r="BD189" s="282"/>
      <c r="BE189" s="282"/>
      <c r="BI189" s="139"/>
      <c r="BK189" s="322"/>
      <c r="BL189" s="579"/>
      <c r="BM189" s="202"/>
      <c r="BN189" s="218"/>
      <c r="BP189" s="52"/>
      <c r="BQ189" s="50"/>
      <c r="BR189" s="52"/>
      <c r="BS189" s="52"/>
      <c r="BT189" s="50"/>
      <c r="BU189" s="202"/>
      <c r="BV189" s="202"/>
      <c r="BW189" s="39"/>
      <c r="BY189" s="39">
        <f t="shared" si="148"/>
        <v>0</v>
      </c>
      <c r="BZ189" s="51" t="e">
        <f t="shared" si="149"/>
        <v>#DIV/0!</v>
      </c>
      <c r="CB189" s="39"/>
    </row>
    <row r="190" spans="1:80" s="20" customFormat="1" ht="18" customHeight="1">
      <c r="A190" s="85" t="s">
        <v>245</v>
      </c>
      <c r="B190" s="326"/>
      <c r="C190" s="326"/>
      <c r="D190" s="326"/>
      <c r="E190" s="355"/>
      <c r="F190" s="10"/>
      <c r="G190" s="10"/>
      <c r="H190" s="14"/>
      <c r="I190" s="10"/>
      <c r="J190" s="10"/>
      <c r="K190" s="14"/>
      <c r="L190" s="10"/>
      <c r="M190" s="10"/>
      <c r="N190" s="14"/>
      <c r="O190" s="10"/>
      <c r="P190" s="136"/>
      <c r="Q190" s="137"/>
      <c r="R190" s="52"/>
      <c r="S190" s="136"/>
      <c r="T190" s="137"/>
      <c r="U190" s="52"/>
      <c r="V190" s="136"/>
      <c r="W190" s="137"/>
      <c r="X190" s="52"/>
      <c r="Y190" s="30"/>
      <c r="Z190" s="137"/>
      <c r="AA190" s="52"/>
      <c r="AB190" s="30"/>
      <c r="AC190" s="36"/>
      <c r="AD190" s="52"/>
      <c r="AE190" s="138"/>
      <c r="AF190" s="138"/>
      <c r="AG190" s="52"/>
      <c r="AH190" s="58"/>
      <c r="AI190" s="138"/>
      <c r="AJ190" s="138"/>
      <c r="AK190" s="138"/>
      <c r="AL190" s="138"/>
      <c r="AM190" s="138"/>
      <c r="AN190" s="138"/>
      <c r="AO190" s="138"/>
      <c r="AP190" s="138"/>
      <c r="AQ190" s="138"/>
      <c r="AR190" s="52">
        <f>'FY 2013 by Agency'!AR190</f>
        <v>0</v>
      </c>
      <c r="AS190" s="52">
        <f>'FY 2013 by Agency'!AS190</f>
        <v>0</v>
      </c>
      <c r="AT190" s="52" t="e">
        <f>AR190-AD188</f>
        <v>#REF!</v>
      </c>
      <c r="AU190" s="58" t="e">
        <f>AT190/AD188</f>
        <v>#REF!</v>
      </c>
      <c r="AV190" s="52">
        <f>AS190-AF188</f>
        <v>-596356.45175438607</v>
      </c>
      <c r="AW190" s="58">
        <f>AV190/AF188</f>
        <v>-1</v>
      </c>
      <c r="AX190" s="39">
        <f>SUM(AX188:AX189)</f>
        <v>556753</v>
      </c>
      <c r="AY190" s="58">
        <f>(587-557)/587</f>
        <v>5.1107325383304938E-2</v>
      </c>
      <c r="AZ190" s="58"/>
      <c r="BA190" s="58"/>
      <c r="BB190" s="58"/>
      <c r="BC190" s="58"/>
      <c r="BD190" s="282"/>
      <c r="BE190" s="282"/>
      <c r="BI190" s="139"/>
      <c r="BK190" s="322"/>
      <c r="BL190" s="579"/>
      <c r="BM190" s="202"/>
      <c r="BN190" s="218"/>
      <c r="BP190" s="52"/>
      <c r="BQ190" s="50"/>
      <c r="BR190" s="52"/>
      <c r="BS190" s="52"/>
      <c r="BT190" s="50"/>
      <c r="BU190" s="202"/>
      <c r="BV190" s="202"/>
      <c r="BW190" s="39"/>
      <c r="BX190" s="136"/>
      <c r="BY190" s="39">
        <f t="shared" si="148"/>
        <v>0</v>
      </c>
      <c r="BZ190" s="51" t="e">
        <f t="shared" si="149"/>
        <v>#DIV/0!</v>
      </c>
      <c r="CB190" s="39"/>
    </row>
    <row r="191" spans="1:80" ht="18" customHeight="1">
      <c r="A191" s="64"/>
      <c r="B191" s="326"/>
      <c r="C191" s="326"/>
      <c r="D191" s="326"/>
      <c r="E191" s="355"/>
      <c r="F191" s="10"/>
      <c r="G191" s="10"/>
      <c r="H191" s="14"/>
      <c r="I191" s="10"/>
      <c r="J191" s="10"/>
      <c r="K191" s="14"/>
      <c r="L191" s="10"/>
      <c r="M191" s="10"/>
      <c r="N191" s="14"/>
      <c r="O191" s="10"/>
      <c r="Q191" s="58"/>
      <c r="R191" s="52"/>
      <c r="S191" s="52"/>
      <c r="T191" s="58"/>
      <c r="U191" s="52"/>
      <c r="V191" s="52"/>
      <c r="W191" s="58"/>
      <c r="X191" s="52"/>
      <c r="Y191" s="52"/>
      <c r="Z191" s="52"/>
      <c r="AA191" s="52"/>
      <c r="AD191" s="52"/>
      <c r="AI191" s="157"/>
      <c r="AM191" s="84"/>
      <c r="AN191" s="172"/>
      <c r="AZ191" s="65">
        <f>+AS190+AZ188</f>
        <v>16393</v>
      </c>
      <c r="BI191" s="65"/>
      <c r="BL191" s="576"/>
      <c r="BN191" s="51"/>
      <c r="BP191" s="52"/>
      <c r="BR191" s="52"/>
      <c r="BS191" s="52"/>
      <c r="BW191" s="39"/>
      <c r="BY191" s="39">
        <f t="shared" si="148"/>
        <v>0</v>
      </c>
      <c r="BZ191" s="51" t="e">
        <f t="shared" si="149"/>
        <v>#DIV/0!</v>
      </c>
      <c r="CB191" s="39"/>
    </row>
    <row r="192" spans="1:80" ht="18" customHeight="1">
      <c r="A192" s="73" t="s">
        <v>104</v>
      </c>
      <c r="B192" s="326"/>
      <c r="C192" s="326"/>
      <c r="D192" s="326"/>
      <c r="E192" s="355"/>
      <c r="F192" s="10"/>
      <c r="G192" s="10"/>
      <c r="H192" s="14"/>
      <c r="I192" s="10"/>
      <c r="J192" s="10"/>
      <c r="K192" s="14"/>
      <c r="L192" s="10"/>
      <c r="M192" s="10"/>
      <c r="N192" s="14"/>
      <c r="O192" s="10"/>
      <c r="Q192" s="58"/>
      <c r="R192" s="52"/>
      <c r="S192" s="52"/>
      <c r="T192" s="58"/>
      <c r="U192" s="52"/>
      <c r="V192" s="52"/>
      <c r="W192" s="58"/>
      <c r="X192" s="52"/>
      <c r="AA192" s="52"/>
      <c r="AD192" s="52"/>
      <c r="AI192" s="157"/>
      <c r="AM192" s="84"/>
      <c r="AN192" s="172"/>
      <c r="AZ192" s="65">
        <f>+AZ191-2600</f>
        <v>13793</v>
      </c>
      <c r="BI192" s="65"/>
      <c r="BL192" s="576"/>
      <c r="BN192" s="51"/>
      <c r="BP192" s="52"/>
      <c r="BR192" s="52"/>
      <c r="BS192" s="52"/>
      <c r="BW192" s="39"/>
      <c r="BY192" s="39">
        <f t="shared" si="148"/>
        <v>0</v>
      </c>
      <c r="BZ192" s="51" t="e">
        <f t="shared" si="149"/>
        <v>#DIV/0!</v>
      </c>
      <c r="CB192" s="39"/>
    </row>
    <row r="193" spans="1:80" ht="18" customHeight="1">
      <c r="A193" s="83" t="s">
        <v>119</v>
      </c>
      <c r="B193" s="326"/>
      <c r="C193" s="326"/>
      <c r="D193" s="326"/>
      <c r="E193" s="355"/>
      <c r="F193" s="10"/>
      <c r="G193" s="10"/>
      <c r="H193" s="14"/>
      <c r="I193" s="10"/>
      <c r="J193" s="10"/>
      <c r="K193" s="14"/>
      <c r="L193" s="10"/>
      <c r="M193" s="10"/>
      <c r="N193" s="14"/>
      <c r="O193" s="10"/>
      <c r="Q193" s="58"/>
      <c r="R193" s="52"/>
      <c r="S193" s="52"/>
      <c r="T193" s="58"/>
      <c r="U193" s="52"/>
      <c r="V193" s="52"/>
      <c r="W193" s="58"/>
      <c r="X193" s="52"/>
      <c r="AA193" s="52"/>
      <c r="AD193" s="52"/>
      <c r="AI193" s="157"/>
      <c r="AM193" s="84"/>
      <c r="AN193" s="172"/>
      <c r="AX193" s="50">
        <f>16393-2600</f>
        <v>13793</v>
      </c>
      <c r="AZ193" s="50">
        <f>+AZ192/AF188-1</f>
        <v>-0.97687121526157183</v>
      </c>
      <c r="BI193" s="65"/>
      <c r="BL193" s="576"/>
      <c r="BN193" s="51"/>
      <c r="BP193" s="52"/>
      <c r="BR193" s="52"/>
      <c r="BS193" s="52"/>
      <c r="BW193" s="39"/>
      <c r="BY193" s="39">
        <f t="shared" si="148"/>
        <v>0</v>
      </c>
      <c r="BZ193" s="51" t="e">
        <f t="shared" si="149"/>
        <v>#DIV/0!</v>
      </c>
      <c r="CB193" s="39"/>
    </row>
    <row r="194" spans="1:80" ht="18" customHeight="1">
      <c r="A194" s="73" t="s">
        <v>123</v>
      </c>
      <c r="B194" s="326"/>
      <c r="C194" s="326"/>
      <c r="D194" s="326"/>
      <c r="E194" s="355"/>
      <c r="F194" s="10"/>
      <c r="G194" s="10"/>
      <c r="H194" s="14"/>
      <c r="I194" s="10"/>
      <c r="J194" s="10"/>
      <c r="K194" s="14"/>
      <c r="L194" s="10"/>
      <c r="M194" s="10"/>
      <c r="N194" s="14"/>
      <c r="O194" s="10"/>
      <c r="Q194" s="58"/>
      <c r="R194" s="52"/>
      <c r="S194" s="52"/>
      <c r="T194" s="58"/>
      <c r="U194" s="52"/>
      <c r="V194" s="52"/>
      <c r="W194" s="58"/>
      <c r="X194" s="52"/>
      <c r="AA194" s="52"/>
      <c r="AD194" s="52"/>
      <c r="AI194" s="157"/>
      <c r="AM194" s="84"/>
      <c r="AN194" s="172"/>
      <c r="BI194" s="65"/>
      <c r="BL194" s="576"/>
      <c r="BN194" s="51"/>
      <c r="BP194" s="52"/>
      <c r="BR194" s="52"/>
      <c r="BS194" s="52"/>
      <c r="BW194" s="39"/>
      <c r="BY194" s="39">
        <f t="shared" si="148"/>
        <v>0</v>
      </c>
      <c r="BZ194" s="51" t="e">
        <f t="shared" si="149"/>
        <v>#DIV/0!</v>
      </c>
      <c r="CB194" s="39"/>
    </row>
    <row r="195" spans="1:80" ht="18" customHeight="1">
      <c r="A195" s="73"/>
      <c r="B195" s="326"/>
      <c r="C195" s="326"/>
      <c r="D195" s="326"/>
      <c r="E195" s="355"/>
      <c r="F195" s="10"/>
      <c r="G195" s="10"/>
      <c r="H195" s="14"/>
      <c r="I195" s="10"/>
      <c r="J195" s="10"/>
      <c r="K195" s="14"/>
      <c r="L195" s="10"/>
      <c r="M195" s="10"/>
      <c r="N195" s="14"/>
      <c r="O195" s="10"/>
      <c r="Q195" s="58"/>
      <c r="R195" s="52"/>
      <c r="S195" s="52"/>
      <c r="T195" s="58"/>
      <c r="U195" s="52"/>
      <c r="V195" s="52"/>
      <c r="W195" s="58"/>
      <c r="X195" s="52"/>
      <c r="AA195" s="52"/>
      <c r="AD195" s="52"/>
      <c r="AI195" s="157"/>
      <c r="AM195" s="84"/>
      <c r="AN195" s="172"/>
      <c r="BI195" s="65"/>
      <c r="BL195" s="576"/>
      <c r="BN195" s="51"/>
      <c r="BP195" s="52"/>
      <c r="BR195" s="52"/>
      <c r="BS195" s="52"/>
      <c r="BW195" s="39"/>
      <c r="BY195" s="39">
        <f t="shared" si="148"/>
        <v>0</v>
      </c>
      <c r="BZ195" s="51" t="e">
        <f t="shared" si="149"/>
        <v>#DIV/0!</v>
      </c>
      <c r="CB195" s="39"/>
    </row>
    <row r="196" spans="1:80" ht="18" customHeight="1">
      <c r="B196" s="326"/>
      <c r="C196" s="326"/>
      <c r="D196" s="326"/>
      <c r="E196" s="355"/>
      <c r="F196" s="10"/>
      <c r="G196" s="10"/>
      <c r="H196" s="14"/>
      <c r="I196" s="10"/>
      <c r="J196" s="10"/>
      <c r="K196" s="14"/>
      <c r="L196" s="10"/>
      <c r="M196" s="10"/>
      <c r="N196" s="14"/>
      <c r="O196" s="10"/>
      <c r="P196" s="63"/>
      <c r="Q196" s="72"/>
      <c r="R196" s="52"/>
      <c r="S196" s="52"/>
      <c r="T196" s="58"/>
      <c r="U196" s="52"/>
      <c r="V196" s="52"/>
      <c r="W196" s="58"/>
      <c r="X196" s="52"/>
      <c r="AA196" s="52"/>
      <c r="AD196" s="52"/>
      <c r="AI196" s="157"/>
      <c r="AM196" s="84"/>
      <c r="AN196" s="172"/>
      <c r="BI196" s="65"/>
      <c r="BL196" s="576"/>
      <c r="BN196" s="51"/>
      <c r="BP196" s="52"/>
      <c r="BR196" s="52"/>
      <c r="BS196" s="52"/>
      <c r="BW196" s="39"/>
      <c r="BY196" s="39">
        <f t="shared" si="148"/>
        <v>0</v>
      </c>
      <c r="BZ196" s="51" t="e">
        <f t="shared" si="149"/>
        <v>#DIV/0!</v>
      </c>
      <c r="CB196" s="39"/>
    </row>
    <row r="197" spans="1:80" s="109" customFormat="1" ht="18" customHeight="1">
      <c r="A197" s="116" t="s">
        <v>198</v>
      </c>
      <c r="B197" s="358"/>
      <c r="C197" s="358"/>
      <c r="D197" s="358"/>
      <c r="E197" s="361"/>
      <c r="F197" s="362"/>
      <c r="G197" s="362"/>
      <c r="H197" s="364"/>
      <c r="I197" s="362"/>
      <c r="J197" s="362"/>
      <c r="K197" s="364"/>
      <c r="L197" s="362"/>
      <c r="M197" s="362"/>
      <c r="N197" s="364"/>
      <c r="O197" s="362"/>
      <c r="P197" s="105"/>
      <c r="Q197" s="117"/>
      <c r="R197" s="107"/>
      <c r="S197" s="107"/>
      <c r="T197" s="125"/>
      <c r="U197" s="107"/>
      <c r="V197" s="107"/>
      <c r="W197" s="125"/>
      <c r="X197" s="107"/>
      <c r="AA197" s="107"/>
      <c r="AC197" s="110"/>
      <c r="AD197" s="107"/>
      <c r="AE197" s="175"/>
      <c r="AF197" s="158"/>
      <c r="AG197" s="158"/>
      <c r="AH197" s="158"/>
      <c r="AI197" s="158"/>
      <c r="AM197" s="123"/>
      <c r="AN197" s="170"/>
      <c r="AO197" s="113"/>
      <c r="AP197" s="107"/>
      <c r="AQ197" s="107"/>
      <c r="AR197" s="107"/>
      <c r="AS197" s="107"/>
      <c r="AT197" s="107"/>
      <c r="AU197" s="200"/>
      <c r="AV197" s="114"/>
      <c r="AW197" s="107"/>
      <c r="BD197" s="302"/>
      <c r="BE197" s="302"/>
      <c r="BI197" s="110"/>
      <c r="BK197" s="320"/>
      <c r="BL197" s="585"/>
      <c r="BM197" s="107"/>
      <c r="BN197" s="108"/>
      <c r="BP197" s="107"/>
      <c r="BR197" s="107"/>
      <c r="BS197" s="107"/>
      <c r="BU197" s="107"/>
      <c r="BV197" s="107"/>
      <c r="BW197" s="562"/>
      <c r="BY197" s="39">
        <f t="shared" si="148"/>
        <v>0</v>
      </c>
      <c r="BZ197" s="51" t="e">
        <f t="shared" si="149"/>
        <v>#DIV/0!</v>
      </c>
      <c r="CB197" s="39"/>
    </row>
    <row r="198" spans="1:80" ht="18" customHeight="1">
      <c r="A198" s="57" t="s">
        <v>36</v>
      </c>
      <c r="B198" s="326">
        <f>'FY 2013 by Agency'!B198*Inflator!$E$2</f>
        <v>427671.08771929826</v>
      </c>
      <c r="C198" s="326">
        <f>'FY 2013 by Agency'!C198*Inflator!$E$3</f>
        <v>299838.04945904174</v>
      </c>
      <c r="D198" s="326">
        <f t="shared" si="150"/>
        <v>-127833.03826025652</v>
      </c>
      <c r="E198" s="355">
        <f t="shared" si="151"/>
        <v>-0.29890502755743847</v>
      </c>
      <c r="F198" s="10">
        <f>'FY 2013 by Agency'!F198*Inflator!$E$4</f>
        <v>301707.99314807769</v>
      </c>
      <c r="G198" s="10">
        <f t="shared" si="152"/>
        <v>1869.9436890359502</v>
      </c>
      <c r="H198" s="14">
        <f t="shared" si="153"/>
        <v>6.2365123185988006E-3</v>
      </c>
      <c r="I198" s="10">
        <f>'FY 2013 by Agency'!I198*Inflator!$E$5</f>
        <v>316736.81740423955</v>
      </c>
      <c r="J198" s="10">
        <f t="shared" si="154"/>
        <v>15028.824256161868</v>
      </c>
      <c r="K198" s="14">
        <f t="shared" si="155"/>
        <v>4.9812482922140383E-2</v>
      </c>
      <c r="L198" s="10">
        <f>'FY 2013 by Agency'!L198*Inflator!$E$6</f>
        <v>374752.09233006177</v>
      </c>
      <c r="M198" s="10">
        <f t="shared" si="156"/>
        <v>58015.274925822217</v>
      </c>
      <c r="N198" s="14">
        <f t="shared" si="157"/>
        <v>0.18316555492751402</v>
      </c>
      <c r="O198" s="10">
        <f>'FY 2013 by Agency'!O198*Inflator!$E$7</f>
        <v>409868.64977120725</v>
      </c>
      <c r="P198" s="52">
        <f>O198-L198</f>
        <v>35116.557441145473</v>
      </c>
      <c r="Q198" s="58">
        <f>P198/L198</f>
        <v>9.3706101072857179E-2</v>
      </c>
      <c r="R198" s="52">
        <f>'FY 2013 by Agency'!R198*Inflator!$E$8</f>
        <v>426916.13849287166</v>
      </c>
      <c r="S198" s="52">
        <f t="shared" ref="S198:S206" si="219">R198-O198</f>
        <v>17047.488721664413</v>
      </c>
      <c r="T198" s="99">
        <f t="shared" ref="T198:T206" si="220">S198/O198</f>
        <v>4.1592565645556183E-2</v>
      </c>
      <c r="U198" s="52">
        <f>'FY 2013 by Agency'!U198*Inflator!$E$9</f>
        <v>435165.9515915119</v>
      </c>
      <c r="V198" s="52">
        <f>U198-R198</f>
        <v>8249.8130986402393</v>
      </c>
      <c r="W198" s="58">
        <f>V198/R198</f>
        <v>1.9324200597719939E-2</v>
      </c>
      <c r="X198" s="52">
        <f>'FY 2013 by Agency'!X198*Inflator!$E$10</f>
        <v>454102.93617021281</v>
      </c>
      <c r="Y198" s="39">
        <f>X198-U198</f>
        <v>18936.984578700911</v>
      </c>
      <c r="Z198" s="58">
        <f>Y198/U198</f>
        <v>4.3516696353295956E-2</v>
      </c>
      <c r="AA198" s="52">
        <f>'FY 2013 by Agency'!AA198*Inflator!$E$11</f>
        <v>497659.23733673152</v>
      </c>
      <c r="AB198" s="39">
        <f t="shared" ref="AB198:AB222" si="221">AA198-X198</f>
        <v>43556.301166518708</v>
      </c>
      <c r="AC198" s="58">
        <f t="shared" ref="AC198:AC222" si="222">AB198/X198</f>
        <v>9.5917241878815701E-2</v>
      </c>
      <c r="AD198" s="52" t="e">
        <f>'FY 2013 by Agency'!AD198*Inflator!#REF!</f>
        <v>#REF!</v>
      </c>
      <c r="AE198" s="52">
        <f>'FY 2013 by Agency'!AE198*Inflator!$B$8</f>
        <v>0</v>
      </c>
      <c r="AF198" s="52">
        <f>'FY 2013 by Agency'!AF198*Inflator!$E$12</f>
        <v>374520.9172932331</v>
      </c>
      <c r="AG198" s="52">
        <f t="shared" ref="AG198:AG222" si="223">AF198-AA198</f>
        <v>-123138.32004349842</v>
      </c>
      <c r="AH198" s="58">
        <f t="shared" ref="AH198:AH222" si="224">AG198/AA198</f>
        <v>-0.24743501336875467</v>
      </c>
      <c r="AI198" s="52">
        <f>'FY 2013 by Agency'!AI198*Inflator!$B$8</f>
        <v>0</v>
      </c>
      <c r="AJ198" s="52">
        <f>'FY 2013 by Agency'!AJ198*Inflator!$B$8</f>
        <v>0</v>
      </c>
      <c r="AK198" s="52">
        <f>'FY 2013 by Agency'!AK198</f>
        <v>471409</v>
      </c>
      <c r="AL198" s="52">
        <f>'FY 2013 by Agency'!AL198</f>
        <v>0</v>
      </c>
      <c r="AM198" s="52">
        <f>'FY 2013 by Agency'!AM198</f>
        <v>471409</v>
      </c>
      <c r="AN198" s="52">
        <f>'FY 2013 by Agency'!AN198</f>
        <v>403905</v>
      </c>
      <c r="AO198" s="52">
        <f>'FY 2013 by Agency'!AO198</f>
        <v>412909</v>
      </c>
      <c r="AP198" s="52">
        <f>'FY 2013 by Agency'!AP198</f>
        <v>0</v>
      </c>
      <c r="AQ198" s="52">
        <f>'FY 2013 by Agency'!AQ198</f>
        <v>0</v>
      </c>
      <c r="AR198" s="52">
        <f>'FY 2013 by Agency'!AR198</f>
        <v>0</v>
      </c>
      <c r="AS198" s="52">
        <f>'FY 2013 by Agency'!AS198</f>
        <v>404768.30356999999</v>
      </c>
      <c r="AT198" s="52" t="e">
        <f t="shared" ref="AT198:AT222" si="225">AR198-AD198</f>
        <v>#REF!</v>
      </c>
      <c r="AU198" s="58" t="e">
        <f t="shared" ref="AU198:AU222" si="226">AT198/AD198</f>
        <v>#REF!</v>
      </c>
      <c r="AV198" s="52">
        <f t="shared" ref="AV198:AV222" si="227">AS198-AF198</f>
        <v>30247.386276766891</v>
      </c>
      <c r="AW198" s="58">
        <f t="shared" ref="AW198:AW222" si="228">AV198/AF198</f>
        <v>8.0762875663589556E-2</v>
      </c>
      <c r="AX198" s="286" t="s">
        <v>299</v>
      </c>
      <c r="AY198" s="65">
        <v>410909</v>
      </c>
      <c r="AZ198" s="282">
        <f t="shared" ref="AZ198:AZ219" si="229">+AY198-AO198</f>
        <v>-2000</v>
      </c>
      <c r="BA198" s="282">
        <f t="shared" ref="BA198:BA220" si="230">+AZ198+AV198</f>
        <v>28247.386276766891</v>
      </c>
      <c r="BB198" s="282">
        <f t="shared" ref="BB198:BB220" si="231">+AZ198+AS198</f>
        <v>402768.30356999999</v>
      </c>
      <c r="BC198" s="58">
        <f t="shared" ref="BC198:BC222" si="232">+BB198/AF198-1</f>
        <v>7.5422719993635035E-2</v>
      </c>
      <c r="BI198" s="65">
        <v>410909</v>
      </c>
      <c r="BJ198" s="65">
        <f>BI198-AY198</f>
        <v>0</v>
      </c>
      <c r="BK198" s="65">
        <f>BI198+AP198+AQ198</f>
        <v>410909</v>
      </c>
      <c r="BL198" s="576">
        <f>'FY 2013 by Agency'!AS198*Inflator!$E$13</f>
        <v>419713.97483395186</v>
      </c>
      <c r="BM198" s="52">
        <f>BL198-AF198</f>
        <v>45193.057540718757</v>
      </c>
      <c r="BN198" s="51">
        <f t="shared" ref="BN198:BN221" si="233">BM198/AF198</f>
        <v>0.12066898123432347</v>
      </c>
      <c r="BO198" s="52">
        <f>'FY 2013 by Agency'!AX198*Inflator!$E$13</f>
        <v>426081.41043637483</v>
      </c>
      <c r="BP198" s="52">
        <f t="shared" si="171"/>
        <v>51560.493143141735</v>
      </c>
      <c r="BQ198" s="51">
        <f t="shared" si="172"/>
        <v>0.13767052990199791</v>
      </c>
      <c r="BR198" s="52">
        <f>'FY 2013 by Agency'!BE198*Inflator!$E$14</f>
        <v>448917.50134368474</v>
      </c>
      <c r="BS198" s="52">
        <f t="shared" si="173"/>
        <v>22836.090907309903</v>
      </c>
      <c r="BT198" s="51">
        <f t="shared" si="174"/>
        <v>5.359560484913465E-2</v>
      </c>
      <c r="BU198" s="52">
        <f>'FY 2013 by Agency'!BL198*Inflator!$E$14</f>
        <v>448917.50134368474</v>
      </c>
      <c r="BV198" s="52">
        <f>BU198-BL198</f>
        <v>29203.526509732881</v>
      </c>
      <c r="BW198" s="39">
        <v>469424</v>
      </c>
      <c r="BX198" s="39">
        <f>'FY 2013 by Agency'!BV198*Inflator!E15</f>
        <v>469424</v>
      </c>
      <c r="BY198" s="39">
        <f t="shared" si="148"/>
        <v>20506.498656315263</v>
      </c>
      <c r="BZ198" s="51">
        <f t="shared" si="149"/>
        <v>4.5679882372453517E-2</v>
      </c>
      <c r="CB198" s="39"/>
    </row>
    <row r="199" spans="1:80" ht="18" customHeight="1">
      <c r="A199" s="57" t="s">
        <v>37</v>
      </c>
      <c r="B199" s="326">
        <f>'FY 2013 by Agency'!B199*Inflator!$E$2</f>
        <v>4067.3030303030305</v>
      </c>
      <c r="C199" s="326">
        <f>'FY 2013 by Agency'!C199*Inflator!$E$3</f>
        <v>0</v>
      </c>
      <c r="D199" s="326">
        <f t="shared" si="150"/>
        <v>-4067.3030303030305</v>
      </c>
      <c r="E199" s="355">
        <f t="shared" si="151"/>
        <v>-1</v>
      </c>
      <c r="F199" s="10">
        <f>'FY 2013 by Agency'!F199*Inflator!$E$4</f>
        <v>0</v>
      </c>
      <c r="G199" s="10">
        <f t="shared" si="152"/>
        <v>0</v>
      </c>
      <c r="H199" s="329" t="s">
        <v>78</v>
      </c>
      <c r="I199" s="10">
        <f>'FY 2013 by Agency'!I199*Inflator!$E$5</f>
        <v>4154.9364075864642</v>
      </c>
      <c r="J199" s="10">
        <f t="shared" si="154"/>
        <v>4154.9364075864642</v>
      </c>
      <c r="K199" s="14" t="e">
        <f t="shared" si="155"/>
        <v>#DIV/0!</v>
      </c>
      <c r="L199" s="10">
        <f>'FY 2013 by Agency'!L199*Inflator!$E$6</f>
        <v>3174.4311159578333</v>
      </c>
      <c r="M199" s="10">
        <f t="shared" si="156"/>
        <v>-980.50529162863086</v>
      </c>
      <c r="N199" s="14">
        <f t="shared" si="157"/>
        <v>-0.23598563141383688</v>
      </c>
      <c r="O199" s="10">
        <f>'FY 2013 by Agency'!O199*Inflator!$E$7</f>
        <v>5580.8053502287921</v>
      </c>
      <c r="P199" s="52">
        <f t="shared" ref="P199:P222" si="234">O199-L199</f>
        <v>2406.3742342709588</v>
      </c>
      <c r="Q199" s="58">
        <f>P199/L199</f>
        <v>0.75804896889213935</v>
      </c>
      <c r="R199" s="52">
        <f>'FY 2013 by Agency'!R199*Inflator!$E$8</f>
        <v>7670.2987101154104</v>
      </c>
      <c r="S199" s="52">
        <f t="shared" si="219"/>
        <v>2089.4933598866182</v>
      </c>
      <c r="T199" s="58">
        <f t="shared" si="220"/>
        <v>0.37440713817423443</v>
      </c>
      <c r="U199" s="52">
        <f>'FY 2013 by Agency'!U199*Inflator!$E$9</f>
        <v>9525.8919098143233</v>
      </c>
      <c r="V199" s="52">
        <f t="shared" ref="V199:V222" si="235">U199-R199</f>
        <v>1855.5931996989129</v>
      </c>
      <c r="W199" s="58">
        <f>V199/R199</f>
        <v>0.2419192876089428</v>
      </c>
      <c r="X199" s="52">
        <f>'FY 2013 by Agency'!X199*Inflator!$E$10</f>
        <v>8469.6417910447763</v>
      </c>
      <c r="Y199" s="39">
        <f t="shared" ref="Y199:Y214" si="236">X199-U199</f>
        <v>-1056.250118769547</v>
      </c>
      <c r="Z199" s="58">
        <f>Y199/U199</f>
        <v>-0.11088201805873055</v>
      </c>
      <c r="AA199" s="52">
        <f>'FY 2013 by Agency'!AA199*Inflator!$E$11</f>
        <v>9742.5931825422122</v>
      </c>
      <c r="AB199" s="39">
        <f t="shared" si="221"/>
        <v>1272.9513914974359</v>
      </c>
      <c r="AC199" s="58">
        <f t="shared" si="222"/>
        <v>0.15029577671671643</v>
      </c>
      <c r="AD199" s="52" t="e">
        <f>'FY 2013 by Agency'!AD199*Inflator!#REF!</f>
        <v>#REF!</v>
      </c>
      <c r="AE199" s="52">
        <f>'FY 2013 by Agency'!AE199*Inflator!$B$8</f>
        <v>0</v>
      </c>
      <c r="AF199" s="52">
        <f>'FY 2013 by Agency'!AF199*Inflator!$E$12</f>
        <v>2526.1447368421054</v>
      </c>
      <c r="AG199" s="52">
        <f t="shared" si="223"/>
        <v>-7216.4484457001072</v>
      </c>
      <c r="AH199" s="58">
        <f t="shared" si="224"/>
        <v>-0.74071125730994158</v>
      </c>
      <c r="AI199" s="52">
        <f>'FY 2013 by Agency'!AI199*Inflator!$B$8</f>
        <v>0</v>
      </c>
      <c r="AJ199" s="52">
        <f>'FY 2013 by Agency'!AJ199*Inflator!$B$8</f>
        <v>0</v>
      </c>
      <c r="AK199" s="52">
        <f>'FY 2013 by Agency'!AK199</f>
        <v>9000</v>
      </c>
      <c r="AL199" s="52">
        <f>'FY 2013 by Agency'!AL199</f>
        <v>0</v>
      </c>
      <c r="AM199" s="52">
        <f>'FY 2013 by Agency'!AM199</f>
        <v>9000</v>
      </c>
      <c r="AN199" s="52">
        <f>'FY 2013 by Agency'!AN199</f>
        <v>9000</v>
      </c>
      <c r="AO199" s="52">
        <f>'FY 2013 by Agency'!AO199</f>
        <v>9000</v>
      </c>
      <c r="AP199" s="52">
        <f>'FY 2013 by Agency'!AP199</f>
        <v>0</v>
      </c>
      <c r="AQ199" s="52">
        <f>'FY 2013 by Agency'!AQ199</f>
        <v>0</v>
      </c>
      <c r="AR199" s="52">
        <f>'FY 2013 by Agency'!AR199</f>
        <v>0</v>
      </c>
      <c r="AS199" s="52">
        <f>'FY 2013 by Agency'!AS199</f>
        <v>2840.6934099999999</v>
      </c>
      <c r="AT199" s="52" t="e">
        <f t="shared" si="225"/>
        <v>#REF!</v>
      </c>
      <c r="AU199" s="58" t="e">
        <f t="shared" si="226"/>
        <v>#REF!</v>
      </c>
      <c r="AV199" s="52">
        <f t="shared" si="227"/>
        <v>314.54867315789443</v>
      </c>
      <c r="AW199" s="58">
        <f t="shared" si="228"/>
        <v>0.1245172806492105</v>
      </c>
      <c r="AX199" s="284" t="s">
        <v>300</v>
      </c>
      <c r="AY199" s="65">
        <v>9000</v>
      </c>
      <c r="AZ199" s="282">
        <f t="shared" si="229"/>
        <v>0</v>
      </c>
      <c r="BA199" s="282">
        <f t="shared" si="230"/>
        <v>314.54867315789443</v>
      </c>
      <c r="BB199" s="282">
        <f t="shared" si="231"/>
        <v>2840.6934099999999</v>
      </c>
      <c r="BC199" s="58">
        <f t="shared" si="232"/>
        <v>0.12451728064921053</v>
      </c>
      <c r="BI199" s="65">
        <v>3000</v>
      </c>
      <c r="BJ199" s="65">
        <f t="shared" ref="BJ199:BJ221" si="237">BI199-AY199</f>
        <v>-6000</v>
      </c>
      <c r="BK199" s="65">
        <f t="shared" ref="BK199:BK221" si="238">BI199+AP199+AQ199</f>
        <v>3000</v>
      </c>
      <c r="BL199" s="576">
        <f>'FY 2013 by Agency'!AS199*Inflator!$E$13</f>
        <v>2945.5832185474524</v>
      </c>
      <c r="BM199" s="52">
        <f t="shared" ref="BM199:BM222" si="239">BL199-AF199</f>
        <v>419.43848170534693</v>
      </c>
      <c r="BN199" s="51">
        <f t="shared" si="233"/>
        <v>0.1660389745639359</v>
      </c>
      <c r="BO199" s="52">
        <f>'FY 2013 by Agency'!AX199*Inflator!$E$13</f>
        <v>3110.772047604517</v>
      </c>
      <c r="BP199" s="52">
        <f t="shared" si="171"/>
        <v>584.62731076241153</v>
      </c>
      <c r="BQ199" s="51">
        <f t="shared" si="172"/>
        <v>0.23143064696017582</v>
      </c>
      <c r="BR199" s="52">
        <f>'FY 2013 by Agency'!BE199*Inflator!$E$14</f>
        <v>4565.8405494177368</v>
      </c>
      <c r="BS199" s="52">
        <f t="shared" si="173"/>
        <v>1455.0685018132199</v>
      </c>
      <c r="BT199" s="51">
        <f t="shared" si="174"/>
        <v>0.46775156763212877</v>
      </c>
      <c r="BU199" s="52">
        <f>'FY 2013 by Agency'!BL199*Inflator!$E$14</f>
        <v>4565.8405494177368</v>
      </c>
      <c r="BV199" s="52">
        <f t="shared" ref="BV199:BV222" si="240">BU199-BL199</f>
        <v>1620.2573308702845</v>
      </c>
      <c r="BW199" s="39">
        <v>5000</v>
      </c>
      <c r="BX199" s="39">
        <f>'FY 2013 by Agency'!BV199*Inflator!E15</f>
        <v>5000</v>
      </c>
      <c r="BY199" s="39">
        <f t="shared" si="148"/>
        <v>434.15945058226316</v>
      </c>
      <c r="BZ199" s="51">
        <f t="shared" si="149"/>
        <v>9.5088614217513523E-2</v>
      </c>
      <c r="CB199" s="39"/>
    </row>
    <row r="200" spans="1:80" ht="18" customHeight="1">
      <c r="A200" s="57" t="s">
        <v>38</v>
      </c>
      <c r="B200" s="326">
        <f>'FY 2013 by Agency'!B200*Inflator!$E$2</f>
        <v>10742.720095693781</v>
      </c>
      <c r="C200" s="326">
        <f>'FY 2013 by Agency'!C200*Inflator!$E$3</f>
        <v>10410.642194744978</v>
      </c>
      <c r="D200" s="326">
        <f t="shared" si="150"/>
        <v>-332.07790094880329</v>
      </c>
      <c r="E200" s="355">
        <f t="shared" si="151"/>
        <v>-3.0911901081916552E-2</v>
      </c>
      <c r="F200" s="10">
        <f>'FY 2013 by Agency'!F200*Inflator!$E$4</f>
        <v>10249.620098972211</v>
      </c>
      <c r="G200" s="10">
        <f t="shared" si="152"/>
        <v>-161.02209577276699</v>
      </c>
      <c r="H200" s="14">
        <f t="shared" si="153"/>
        <v>-1.5467066561373781E-2</v>
      </c>
      <c r="I200" s="10">
        <f>'FY 2013 by Agency'!I200*Inflator!$E$5</f>
        <v>2881.1602826329495</v>
      </c>
      <c r="J200" s="10">
        <f t="shared" si="154"/>
        <v>-7368.459816339262</v>
      </c>
      <c r="K200" s="14">
        <f t="shared" si="155"/>
        <v>-0.71890077341287417</v>
      </c>
      <c r="L200" s="10">
        <f>'FY 2013 by Agency'!L200*Inflator!$E$6</f>
        <v>5869.6095965103596</v>
      </c>
      <c r="M200" s="10">
        <f t="shared" si="156"/>
        <v>2988.4493138774101</v>
      </c>
      <c r="N200" s="14">
        <f t="shared" si="157"/>
        <v>1.0372381335016927</v>
      </c>
      <c r="O200" s="10">
        <f>'FY 2013 by Agency'!O200*Inflator!$E$7</f>
        <v>13041.813445969727</v>
      </c>
      <c r="P200" s="52">
        <f t="shared" si="234"/>
        <v>7172.2038494593671</v>
      </c>
      <c r="Q200" s="58">
        <f>P200/L200</f>
        <v>1.2219217873916921</v>
      </c>
      <c r="R200" s="52">
        <f>'FY 2013 by Agency'!R200*Inflator!$E$8</f>
        <v>12619.659877800406</v>
      </c>
      <c r="S200" s="52">
        <f t="shared" si="219"/>
        <v>-422.15356816932035</v>
      </c>
      <c r="T200" s="58">
        <f t="shared" si="220"/>
        <v>-3.23692383669065E-2</v>
      </c>
      <c r="U200" s="52">
        <f>'FY 2013 by Agency'!U200*Inflator!$E$9</f>
        <v>34304.477453580897</v>
      </c>
      <c r="V200" s="52">
        <f t="shared" si="235"/>
        <v>21684.817575780493</v>
      </c>
      <c r="W200" s="58">
        <f>V200/R200</f>
        <v>1.7183361347104811</v>
      </c>
      <c r="X200" s="52">
        <f>'FY 2013 by Agency'!X200*Inflator!$E$10</f>
        <v>33088.685932041924</v>
      </c>
      <c r="Y200" s="39">
        <f t="shared" si="236"/>
        <v>-1215.791521538973</v>
      </c>
      <c r="Z200" s="58">
        <f>Y200/U200</f>
        <v>-3.5441190532172408E-2</v>
      </c>
      <c r="AA200" s="52">
        <f>'FY 2013 by Agency'!AA200*Inflator!$E$11</f>
        <v>35496.597005415744</v>
      </c>
      <c r="AB200" s="39">
        <f t="shared" si="221"/>
        <v>2407.9110733738198</v>
      </c>
      <c r="AC200" s="58">
        <f t="shared" si="222"/>
        <v>7.2771432456375768E-2</v>
      </c>
      <c r="AD200" s="52" t="e">
        <f>'FY 2013 by Agency'!AD200*Inflator!#REF!</f>
        <v>#REF!</v>
      </c>
      <c r="AE200" s="52">
        <f>'FY 2013 by Agency'!AE200*Inflator!$B$8</f>
        <v>0</v>
      </c>
      <c r="AF200" s="52">
        <f>'FY 2013 by Agency'!AF200*Inflator!$E$12</f>
        <v>34338.748746867175</v>
      </c>
      <c r="AG200" s="52">
        <f t="shared" si="223"/>
        <v>-1157.848258548569</v>
      </c>
      <c r="AH200" s="58">
        <f t="shared" si="224"/>
        <v>-3.261857068642144E-2</v>
      </c>
      <c r="AI200" s="52">
        <f>'FY 2013 by Agency'!AI200*Inflator!$B$8</f>
        <v>0</v>
      </c>
      <c r="AJ200" s="52">
        <f>'FY 2013 by Agency'!AJ200*Inflator!$B$8</f>
        <v>0</v>
      </c>
      <c r="AK200" s="52">
        <f>'FY 2013 by Agency'!AK200</f>
        <v>33045</v>
      </c>
      <c r="AL200" s="52">
        <f>'FY 2013 by Agency'!AL200</f>
        <v>0</v>
      </c>
      <c r="AM200" s="52">
        <f>'FY 2013 by Agency'!AM200</f>
        <v>33045</v>
      </c>
      <c r="AN200" s="52">
        <f>'FY 2013 by Agency'!AN200</f>
        <v>33045</v>
      </c>
      <c r="AO200" s="52">
        <f>'FY 2013 by Agency'!AO200</f>
        <v>33045</v>
      </c>
      <c r="AP200" s="52">
        <f>'FY 2013 by Agency'!AP200</f>
        <v>0</v>
      </c>
      <c r="AQ200" s="52">
        <f>'FY 2013 by Agency'!AQ200</f>
        <v>0</v>
      </c>
      <c r="AR200" s="52">
        <f>'FY 2013 by Agency'!AR200</f>
        <v>0</v>
      </c>
      <c r="AS200" s="52">
        <f>'FY 2013 by Agency'!AS200</f>
        <v>32243.889360000001</v>
      </c>
      <c r="AT200" s="52" t="e">
        <f t="shared" si="225"/>
        <v>#REF!</v>
      </c>
      <c r="AU200" s="58" t="e">
        <f t="shared" si="226"/>
        <v>#REF!</v>
      </c>
      <c r="AV200" s="52">
        <f t="shared" si="227"/>
        <v>-2094.8593868671742</v>
      </c>
      <c r="AW200" s="58">
        <f t="shared" si="228"/>
        <v>-6.1005699488636558E-2</v>
      </c>
      <c r="AX200" s="284" t="s">
        <v>301</v>
      </c>
      <c r="AY200" s="65">
        <v>33045</v>
      </c>
      <c r="AZ200" s="282">
        <f t="shared" si="229"/>
        <v>0</v>
      </c>
      <c r="BA200" s="282">
        <f t="shared" si="230"/>
        <v>-2094.8593868671742</v>
      </c>
      <c r="BB200" s="282">
        <f t="shared" si="231"/>
        <v>32243.889360000001</v>
      </c>
      <c r="BC200" s="58">
        <f t="shared" si="232"/>
        <v>-6.1005699488636544E-2</v>
      </c>
      <c r="BI200" s="65">
        <v>33045</v>
      </c>
      <c r="BJ200" s="65">
        <f t="shared" si="237"/>
        <v>0</v>
      </c>
      <c r="BK200" s="65">
        <f t="shared" si="238"/>
        <v>33045</v>
      </c>
      <c r="BL200" s="576">
        <f>'FY 2013 by Agency'!AS200*Inflator!$E$13</f>
        <v>33434.463242380232</v>
      </c>
      <c r="BM200" s="52">
        <f t="shared" si="239"/>
        <v>-904.28550448694295</v>
      </c>
      <c r="BN200" s="51">
        <f t="shared" si="233"/>
        <v>-2.6334259036431652E-2</v>
      </c>
      <c r="BO200" s="52">
        <f>'FY 2013 by Agency'!AX200*Inflator!$E$13</f>
        <v>34265.154104363755</v>
      </c>
      <c r="BP200" s="52">
        <f t="shared" si="171"/>
        <v>-73.594642503419891</v>
      </c>
      <c r="BQ200" s="51">
        <f t="shared" si="172"/>
        <v>-2.1431952295621762E-3</v>
      </c>
      <c r="BR200" s="52">
        <f>'FY 2013 by Agency'!BE200*Inflator!$E$14</f>
        <v>33010.012541057033</v>
      </c>
      <c r="BS200" s="52">
        <f t="shared" si="173"/>
        <v>-1255.1415633067227</v>
      </c>
      <c r="BT200" s="51">
        <f t="shared" si="174"/>
        <v>-3.6630261737152885E-2</v>
      </c>
      <c r="BU200" s="52">
        <f>'FY 2013 by Agency'!BL200*Inflator!$E$14</f>
        <v>33010.012541057033</v>
      </c>
      <c r="BV200" s="52">
        <f t="shared" si="240"/>
        <v>-424.45070132319961</v>
      </c>
      <c r="BW200" s="39">
        <v>32542</v>
      </c>
      <c r="BX200" s="39">
        <f>'FY 2013 by Agency'!BV200*Inflator!E15</f>
        <v>32542</v>
      </c>
      <c r="BY200" s="39">
        <f t="shared" ref="BY200:BY245" si="241">BW200-BR200</f>
        <v>-468.01254105703265</v>
      </c>
      <c r="BZ200" s="51">
        <f t="shared" ref="BZ200:BZ245" si="242">BY200/BR200</f>
        <v>-1.4177896493523906E-2</v>
      </c>
      <c r="CB200" s="39"/>
    </row>
    <row r="201" spans="1:80" ht="18" customHeight="1">
      <c r="A201" s="57" t="s">
        <v>99</v>
      </c>
      <c r="B201" s="326">
        <f>'FY 2013 by Agency'!B201*Inflator!$E$2</f>
        <v>92355.688995215314</v>
      </c>
      <c r="C201" s="326">
        <f>'FY 2013 by Agency'!C201*Inflator!$E$3</f>
        <v>33981.312982998454</v>
      </c>
      <c r="D201" s="326">
        <f t="shared" si="150"/>
        <v>-58374.376012216861</v>
      </c>
      <c r="E201" s="355">
        <f t="shared" si="151"/>
        <v>-0.6320604247264191</v>
      </c>
      <c r="F201" s="10">
        <f>'FY 2013 by Agency'!F201*Inflator!$E$4</f>
        <v>40563.867529501331</v>
      </c>
      <c r="G201" s="10">
        <f t="shared" si="152"/>
        <v>6582.5545465028772</v>
      </c>
      <c r="H201" s="14">
        <f t="shared" si="153"/>
        <v>0.19371101257318291</v>
      </c>
      <c r="I201" s="10">
        <f>'FY 2013 by Agency'!I201*Inflator!$E$5</f>
        <v>29514.201561918933</v>
      </c>
      <c r="J201" s="10">
        <f t="shared" si="154"/>
        <v>-11049.665967582398</v>
      </c>
      <c r="K201" s="14">
        <f t="shared" si="155"/>
        <v>-0.2724016875251401</v>
      </c>
      <c r="L201" s="10">
        <f>'FY 2013 by Agency'!L201*Inflator!$E$6</f>
        <v>23332.686295892399</v>
      </c>
      <c r="M201" s="10">
        <f t="shared" si="156"/>
        <v>-6181.5152660265339</v>
      </c>
      <c r="N201" s="14">
        <f t="shared" si="157"/>
        <v>-0.20944206310504809</v>
      </c>
      <c r="O201" s="10">
        <f>'FY 2013 by Agency'!O201*Inflator!$E$7</f>
        <v>23111.423442449839</v>
      </c>
      <c r="P201" s="52">
        <f t="shared" si="234"/>
        <v>-221.2628534425603</v>
      </c>
      <c r="Q201" s="58">
        <f>P201/L201</f>
        <v>-9.4829566830250695E-3</v>
      </c>
      <c r="R201" s="52">
        <f>'FY 2013 by Agency'!R201*Inflator!$E$8</f>
        <v>34552.100475220635</v>
      </c>
      <c r="S201" s="52">
        <f t="shared" si="219"/>
        <v>11440.677032770796</v>
      </c>
      <c r="T201" s="58">
        <f t="shared" si="220"/>
        <v>0.49502260478500715</v>
      </c>
      <c r="U201" s="52">
        <f>'FY 2013 by Agency'!U201*Inflator!$E$9</f>
        <v>28199.118700265251</v>
      </c>
      <c r="V201" s="52">
        <f t="shared" si="235"/>
        <v>-6352.981774955384</v>
      </c>
      <c r="W201" s="58">
        <f>V201/R201</f>
        <v>-0.1838667313297345</v>
      </c>
      <c r="X201" s="52">
        <f>'FY 2013 by Agency'!X201*Inflator!$E$10</f>
        <v>22676.713242299145</v>
      </c>
      <c r="Y201" s="39">
        <f t="shared" si="236"/>
        <v>-5522.405457966106</v>
      </c>
      <c r="Z201" s="58">
        <f>Y201/U201</f>
        <v>-0.19583610100248133</v>
      </c>
      <c r="AA201" s="52">
        <f>'FY 2013 by Agency'!AA201*Inflator!$E$11</f>
        <v>23249.074864606566</v>
      </c>
      <c r="AB201" s="39">
        <f t="shared" si="221"/>
        <v>572.36162230742048</v>
      </c>
      <c r="AC201" s="58">
        <f t="shared" si="222"/>
        <v>2.524006085854574E-2</v>
      </c>
      <c r="AD201" s="52" t="e">
        <f>'FY 2013 by Agency'!AD201*Inflator!#REF!</f>
        <v>#REF!</v>
      </c>
      <c r="AE201" s="52">
        <f>'FY 2013 by Agency'!AE201*Inflator!$B$8</f>
        <v>0</v>
      </c>
      <c r="AF201" s="52">
        <f>'FY 2013 by Agency'!AF201*Inflator!$E$12</f>
        <v>22855.59523809524</v>
      </c>
      <c r="AG201" s="52">
        <f t="shared" si="223"/>
        <v>-393.47962651132548</v>
      </c>
      <c r="AH201" s="58">
        <f t="shared" si="224"/>
        <v>-1.6924528343721008E-2</v>
      </c>
      <c r="AI201" s="52">
        <f>'FY 2013 by Agency'!AI201*Inflator!$B$8</f>
        <v>0</v>
      </c>
      <c r="AJ201" s="52">
        <f>'FY 2013 by Agency'!AJ201*Inflator!$B$8</f>
        <v>0</v>
      </c>
      <c r="AK201" s="52">
        <f>'FY 2013 by Agency'!AK201</f>
        <v>21950</v>
      </c>
      <c r="AL201" s="52">
        <f>'FY 2013 by Agency'!AL201</f>
        <v>0</v>
      </c>
      <c r="AM201" s="52">
        <f>'FY 2013 by Agency'!AM201</f>
        <v>21950</v>
      </c>
      <c r="AN201" s="52">
        <f>'FY 2013 by Agency'!AN201</f>
        <v>21477</v>
      </c>
      <c r="AO201" s="52">
        <f>'FY 2013 by Agency'!AO201</f>
        <v>21477</v>
      </c>
      <c r="AP201" s="52">
        <f>'FY 2013 by Agency'!AP201</f>
        <v>0</v>
      </c>
      <c r="AQ201" s="52">
        <f>'FY 2013 by Agency'!AQ201</f>
        <v>0</v>
      </c>
      <c r="AR201" s="52">
        <f>'FY 2013 by Agency'!AR201</f>
        <v>0</v>
      </c>
      <c r="AS201" s="52">
        <f>'FY 2013 by Agency'!AS201</f>
        <v>21477</v>
      </c>
      <c r="AT201" s="52" t="e">
        <f t="shared" si="225"/>
        <v>#REF!</v>
      </c>
      <c r="AU201" s="58" t="e">
        <f t="shared" si="226"/>
        <v>#REF!</v>
      </c>
      <c r="AV201" s="52">
        <f t="shared" si="227"/>
        <v>-1378.5952380952403</v>
      </c>
      <c r="AW201" s="58">
        <f t="shared" si="228"/>
        <v>-6.0317625672571672E-2</v>
      </c>
      <c r="AX201" s="284" t="s">
        <v>305</v>
      </c>
      <c r="AY201" s="65">
        <v>21477</v>
      </c>
      <c r="AZ201" s="282">
        <f t="shared" si="229"/>
        <v>0</v>
      </c>
      <c r="BA201" s="282">
        <f t="shared" si="230"/>
        <v>-1378.5952380952403</v>
      </c>
      <c r="BB201" s="282">
        <f t="shared" si="231"/>
        <v>21477</v>
      </c>
      <c r="BC201" s="58">
        <f t="shared" si="232"/>
        <v>-6.0317625672571706E-2</v>
      </c>
      <c r="BI201" s="219">
        <v>21477</v>
      </c>
      <c r="BJ201" s="65">
        <f t="shared" si="237"/>
        <v>0</v>
      </c>
      <c r="BK201" s="65">
        <f t="shared" si="238"/>
        <v>21477</v>
      </c>
      <c r="BL201" s="576">
        <f>'FY 2013 by Agency'!AS201*Inflator!$E$13</f>
        <v>22270.017088800738</v>
      </c>
      <c r="BM201" s="52">
        <f t="shared" si="239"/>
        <v>-585.57814929450251</v>
      </c>
      <c r="BN201" s="51">
        <f t="shared" si="233"/>
        <v>-2.5620778771863827E-2</v>
      </c>
      <c r="BO201" s="52">
        <f>'FY 2013 by Agency'!AX201*Inflator!$E$13</f>
        <v>22270.017088800738</v>
      </c>
      <c r="BP201" s="52">
        <f t="shared" si="171"/>
        <v>-585.57814929450251</v>
      </c>
      <c r="BQ201" s="51">
        <f t="shared" si="172"/>
        <v>-2.5620778771863827E-2</v>
      </c>
      <c r="BR201" s="52">
        <f>'FY 2013 by Agency'!BE201*Inflator!$E$14</f>
        <v>21791.234995521052</v>
      </c>
      <c r="BS201" s="52">
        <f t="shared" si="173"/>
        <v>-478.7820932796858</v>
      </c>
      <c r="BT201" s="51">
        <f t="shared" si="174"/>
        <v>-2.1498954911914201E-2</v>
      </c>
      <c r="BU201" s="52">
        <f>'FY 2013 by Agency'!BL201*Inflator!$E$14</f>
        <v>21791.234995521052</v>
      </c>
      <c r="BV201" s="52">
        <f t="shared" si="240"/>
        <v>-478.7820932796858</v>
      </c>
      <c r="BW201" s="39">
        <v>21477</v>
      </c>
      <c r="BX201" s="39" t="e">
        <f>'FY 2013 by Agency'!BV201*Inflator!E15</f>
        <v>#REF!</v>
      </c>
      <c r="BY201" s="39">
        <f t="shared" si="241"/>
        <v>-314.23499552105204</v>
      </c>
      <c r="BZ201" s="51">
        <f t="shared" si="242"/>
        <v>-1.4420247204237832E-2</v>
      </c>
      <c r="CB201" s="39"/>
    </row>
    <row r="202" spans="1:80" ht="18" customHeight="1">
      <c r="A202" s="57" t="s">
        <v>145</v>
      </c>
      <c r="B202" s="326">
        <f>'FY 2013 by Agency'!B202*Inflator!$E$2</f>
        <v>0</v>
      </c>
      <c r="C202" s="326">
        <f>'FY 2013 by Agency'!C202*Inflator!$E$3</f>
        <v>12994.592735703247</v>
      </c>
      <c r="D202" s="326">
        <f t="shared" si="150"/>
        <v>12994.592735703247</v>
      </c>
      <c r="E202" s="329" t="s">
        <v>78</v>
      </c>
      <c r="F202" s="10">
        <f>'FY 2013 by Agency'!F202*Inflator!$E$4</f>
        <v>7689.8020555767034</v>
      </c>
      <c r="G202" s="10">
        <f t="shared" si="152"/>
        <v>-5304.7906801265435</v>
      </c>
      <c r="H202" s="14">
        <f t="shared" si="153"/>
        <v>-0.40823062238429259</v>
      </c>
      <c r="I202" s="10">
        <f>'FY 2013 by Agency'!I202*Inflator!$E$5</f>
        <v>4896.7088136853854</v>
      </c>
      <c r="J202" s="10">
        <f t="shared" si="154"/>
        <v>-2793.093241891318</v>
      </c>
      <c r="K202" s="14">
        <f t="shared" si="155"/>
        <v>-0.36322043424586531</v>
      </c>
      <c r="L202" s="10">
        <f>'FY 2013 by Agency'!L202*Inflator!$E$6</f>
        <v>4345.388585968738</v>
      </c>
      <c r="M202" s="10">
        <f t="shared" si="156"/>
        <v>-551.32022771664742</v>
      </c>
      <c r="N202" s="14">
        <f t="shared" si="157"/>
        <v>-0.1125899555586827</v>
      </c>
      <c r="O202" s="10">
        <f>'FY 2013 by Agency'!O202*Inflator!$E$7</f>
        <v>3897.9521295318546</v>
      </c>
      <c r="P202" s="52">
        <f t="shared" si="234"/>
        <v>-447.43645643688342</v>
      </c>
      <c r="Q202" s="58">
        <f>P202/L202</f>
        <v>-0.102968111501387</v>
      </c>
      <c r="R202" s="52">
        <f>'FY 2013 by Agency'!R202*Inflator!$E$8</f>
        <v>4417.6306856754918</v>
      </c>
      <c r="S202" s="52">
        <f t="shared" si="219"/>
        <v>519.67855614363725</v>
      </c>
      <c r="T202" s="58">
        <f t="shared" si="220"/>
        <v>0.13332091797803861</v>
      </c>
      <c r="U202" s="52">
        <f>'FY 2013 by Agency'!U202*Inflator!$E$9</f>
        <v>4239.613395225464</v>
      </c>
      <c r="V202" s="52">
        <f t="shared" si="235"/>
        <v>-178.01729045002776</v>
      </c>
      <c r="W202" s="58">
        <f>V202/R202</f>
        <v>-4.0297006046083154E-2</v>
      </c>
      <c r="X202" s="52">
        <f>'FY 2013 by Agency'!X202*Inflator!$E$10</f>
        <v>4474.9145760558913</v>
      </c>
      <c r="Y202" s="39">
        <f t="shared" si="236"/>
        <v>235.30118083042726</v>
      </c>
      <c r="Z202" s="58">
        <f>Y202/U202</f>
        <v>5.550062208394213E-2</v>
      </c>
      <c r="AA202" s="52">
        <f>'FY 2013 by Agency'!AA202*Inflator!$E$11</f>
        <v>4392.8270149729224</v>
      </c>
      <c r="AB202" s="39">
        <f t="shared" si="221"/>
        <v>-82.087561082968932</v>
      </c>
      <c r="AC202" s="58">
        <f t="shared" si="222"/>
        <v>-1.8343939239018819E-2</v>
      </c>
      <c r="AD202" s="52" t="e">
        <f>'FY 2013 by Agency'!AD202*Inflator!#REF!</f>
        <v>#REF!</v>
      </c>
      <c r="AE202" s="52">
        <f>'FY 2013 by Agency'!AE202*Inflator!$B$8</f>
        <v>0</v>
      </c>
      <c r="AF202" s="52">
        <f>'FY 2013 by Agency'!AF202*Inflator!$E$12</f>
        <v>3434.1942355889728</v>
      </c>
      <c r="AG202" s="52">
        <f t="shared" si="223"/>
        <v>-958.63277938394958</v>
      </c>
      <c r="AH202" s="58">
        <f t="shared" si="224"/>
        <v>-0.21822684483510413</v>
      </c>
      <c r="AI202" s="52">
        <f>'FY 2013 by Agency'!AI202*Inflator!$B$8</f>
        <v>0</v>
      </c>
      <c r="AJ202" s="52">
        <f>'FY 2013 by Agency'!AJ202*Inflator!$B$8</f>
        <v>0</v>
      </c>
      <c r="AK202" s="52">
        <f>'FY 2013 by Agency'!AK202</f>
        <v>3598</v>
      </c>
      <c r="AL202" s="52">
        <f>'FY 2013 by Agency'!AL202</f>
        <v>0</v>
      </c>
      <c r="AM202" s="52">
        <f>'FY 2013 by Agency'!AM202</f>
        <v>3598</v>
      </c>
      <c r="AN202" s="52">
        <f>'FY 2013 by Agency'!AN202</f>
        <v>3598</v>
      </c>
      <c r="AO202" s="52">
        <f>'FY 2013 by Agency'!AO202</f>
        <v>3598</v>
      </c>
      <c r="AP202" s="52">
        <f>'FY 2013 by Agency'!AP202</f>
        <v>0</v>
      </c>
      <c r="AQ202" s="52">
        <f>'FY 2013 by Agency'!AQ202</f>
        <v>0</v>
      </c>
      <c r="AR202" s="52">
        <f>'FY 2013 by Agency'!AR202</f>
        <v>0</v>
      </c>
      <c r="AS202" s="52">
        <f>'FY 2013 by Agency'!AS202</f>
        <v>3565.94409</v>
      </c>
      <c r="AT202" s="52" t="e">
        <f t="shared" si="225"/>
        <v>#REF!</v>
      </c>
      <c r="AU202" s="58" t="e">
        <f t="shared" si="226"/>
        <v>#REF!</v>
      </c>
      <c r="AV202" s="52">
        <f t="shared" si="227"/>
        <v>131.74985441102717</v>
      </c>
      <c r="AW202" s="58">
        <f t="shared" si="228"/>
        <v>3.836412426696411E-2</v>
      </c>
      <c r="AX202" s="284" t="s">
        <v>306</v>
      </c>
      <c r="AY202" s="65">
        <v>3598</v>
      </c>
      <c r="AZ202" s="282">
        <f t="shared" si="229"/>
        <v>0</v>
      </c>
      <c r="BA202" s="282">
        <f t="shared" si="230"/>
        <v>131.74985441102717</v>
      </c>
      <c r="BB202" s="282">
        <f t="shared" si="231"/>
        <v>3565.94409</v>
      </c>
      <c r="BC202" s="58">
        <f t="shared" si="232"/>
        <v>3.8364124266964117E-2</v>
      </c>
      <c r="BI202" s="219">
        <v>3598</v>
      </c>
      <c r="BJ202" s="65">
        <f t="shared" si="237"/>
        <v>0</v>
      </c>
      <c r="BK202" s="65">
        <f t="shared" si="238"/>
        <v>3598</v>
      </c>
      <c r="BL202" s="576">
        <f>'FY 2013 by Agency'!AS202*Inflator!$E$13</f>
        <v>3697.6130661641751</v>
      </c>
      <c r="BM202" s="52">
        <f t="shared" si="239"/>
        <v>263.41883057520226</v>
      </c>
      <c r="BN202" s="51">
        <f t="shared" si="233"/>
        <v>7.670469766833829E-2</v>
      </c>
      <c r="BO202" s="52">
        <f>'FY 2013 by Agency'!AX202*Inflator!$E$13</f>
        <v>3730.8526090936839</v>
      </c>
      <c r="BP202" s="52">
        <f t="shared" si="171"/>
        <v>296.65837350471111</v>
      </c>
      <c r="BQ202" s="51">
        <f t="shared" si="172"/>
        <v>8.6383690948637751E-2</v>
      </c>
      <c r="BR202" s="52">
        <f>'FY 2013 by Agency'!BE202*Inflator!$E$14</f>
        <v>4026.0567333532399</v>
      </c>
      <c r="BS202" s="52">
        <f t="shared" si="173"/>
        <v>295.20412425955601</v>
      </c>
      <c r="BT202" s="51">
        <f t="shared" si="174"/>
        <v>7.9125110313931268E-2</v>
      </c>
      <c r="BU202" s="52">
        <f>'FY 2013 by Agency'!BL202*Inflator!$E$14</f>
        <v>4026.0567333532399</v>
      </c>
      <c r="BV202" s="52">
        <f t="shared" si="240"/>
        <v>328.44366718906485</v>
      </c>
      <c r="BW202" s="39">
        <v>4193</v>
      </c>
      <c r="BX202" s="39">
        <f>'FY 2013 by Agency'!BV202*Inflator!E15</f>
        <v>4193</v>
      </c>
      <c r="BY202" s="39">
        <f t="shared" si="241"/>
        <v>166.94326664676009</v>
      </c>
      <c r="BZ202" s="51">
        <f t="shared" si="242"/>
        <v>4.1465701479997688E-2</v>
      </c>
      <c r="CB202" s="39"/>
    </row>
    <row r="203" spans="1:80" ht="18" customHeight="1">
      <c r="A203" s="57" t="s">
        <v>39</v>
      </c>
      <c r="B203" s="326">
        <f>'FY 2013 by Agency'!B203*Inflator!$E$2</f>
        <v>0</v>
      </c>
      <c r="C203" s="326">
        <f>'FY 2013 by Agency'!C203*Inflator!$E$3</f>
        <v>0</v>
      </c>
      <c r="D203" s="326">
        <f t="shared" si="150"/>
        <v>0</v>
      </c>
      <c r="E203" s="329" t="s">
        <v>78</v>
      </c>
      <c r="F203" s="10">
        <f>'FY 2013 by Agency'!F203*Inflator!$E$4</f>
        <v>0</v>
      </c>
      <c r="G203" s="10">
        <f t="shared" si="152"/>
        <v>0</v>
      </c>
      <c r="H203" s="329" t="s">
        <v>78</v>
      </c>
      <c r="I203" s="10">
        <f>'FY 2013 by Agency'!I203*Inflator!$E$5</f>
        <v>0</v>
      </c>
      <c r="J203" s="10">
        <f t="shared" si="154"/>
        <v>0</v>
      </c>
      <c r="K203" s="329" t="s">
        <v>78</v>
      </c>
      <c r="L203" s="10">
        <f>'FY 2013 by Agency'!L203*Inflator!$E$6</f>
        <v>0</v>
      </c>
      <c r="M203" s="10">
        <f t="shared" si="156"/>
        <v>0</v>
      </c>
      <c r="N203" s="329" t="s">
        <v>78</v>
      </c>
      <c r="O203" s="10">
        <f>'FY 2013 by Agency'!O203*Inflator!$E$7</f>
        <v>0</v>
      </c>
      <c r="P203" s="52">
        <f t="shared" si="234"/>
        <v>0</v>
      </c>
      <c r="Q203" s="60" t="s">
        <v>78</v>
      </c>
      <c r="R203" s="52">
        <f>'FY 2013 by Agency'!R203*Inflator!$E$8</f>
        <v>0</v>
      </c>
      <c r="S203" s="52">
        <f t="shared" si="219"/>
        <v>0</v>
      </c>
      <c r="T203" s="60" t="s">
        <v>78</v>
      </c>
      <c r="U203" s="52">
        <f>'FY 2013 by Agency'!U203*Inflator!$E$9</f>
        <v>0</v>
      </c>
      <c r="V203" s="52">
        <f t="shared" si="235"/>
        <v>0</v>
      </c>
      <c r="W203" s="60" t="s">
        <v>78</v>
      </c>
      <c r="X203" s="52">
        <f>'FY 2013 by Agency'!X203*Inflator!$E$10</f>
        <v>0</v>
      </c>
      <c r="Y203" s="39">
        <f t="shared" si="236"/>
        <v>0</v>
      </c>
      <c r="Z203" s="61" t="s">
        <v>127</v>
      </c>
      <c r="AA203" s="52">
        <f>'FY 2013 by Agency'!AA203*Inflator!$E$11</f>
        <v>28893.283848359355</v>
      </c>
      <c r="AB203" s="39">
        <f t="shared" si="221"/>
        <v>28893.283848359355</v>
      </c>
      <c r="AC203" s="58" t="e">
        <f t="shared" si="222"/>
        <v>#DIV/0!</v>
      </c>
      <c r="AD203" s="52" t="e">
        <f>'FY 2013 by Agency'!AD203*Inflator!#REF!</f>
        <v>#REF!</v>
      </c>
      <c r="AE203" s="52">
        <f>'FY 2013 by Agency'!AE203*Inflator!$B$8</f>
        <v>0</v>
      </c>
      <c r="AF203" s="52">
        <f>'FY 2013 by Agency'!AF203*Inflator!$E$12</f>
        <v>0</v>
      </c>
      <c r="AG203" s="52">
        <f t="shared" si="223"/>
        <v>-28893.283848359355</v>
      </c>
      <c r="AH203" s="58">
        <f t="shared" si="224"/>
        <v>-1</v>
      </c>
      <c r="AI203" s="52">
        <f>'FY 2013 by Agency'!AI203*Inflator!$B$8</f>
        <v>0</v>
      </c>
      <c r="AJ203" s="52">
        <f>'FY 2013 by Agency'!AJ203*Inflator!$B$8</f>
        <v>0</v>
      </c>
      <c r="AK203" s="52">
        <f>'FY 2013 by Agency'!AK203</f>
        <v>0</v>
      </c>
      <c r="AL203" s="52">
        <f>'FY 2013 by Agency'!AL203</f>
        <v>0</v>
      </c>
      <c r="AM203" s="52">
        <f>'FY 2013 by Agency'!AM203</f>
        <v>0</v>
      </c>
      <c r="AN203" s="52">
        <f>'FY 2013 by Agency'!AN203</f>
        <v>0</v>
      </c>
      <c r="AO203" s="52">
        <f>'FY 2013 by Agency'!AO203</f>
        <v>0</v>
      </c>
      <c r="AP203" s="52">
        <f>'FY 2013 by Agency'!AP203</f>
        <v>0</v>
      </c>
      <c r="AQ203" s="52">
        <f>'FY 2013 by Agency'!AQ203</f>
        <v>0</v>
      </c>
      <c r="AR203" s="52">
        <f>'FY 2013 by Agency'!AR203</f>
        <v>0</v>
      </c>
      <c r="AS203" s="52">
        <f>'FY 2013 by Agency'!AS203</f>
        <v>0</v>
      </c>
      <c r="AT203" s="52" t="e">
        <f t="shared" si="225"/>
        <v>#REF!</v>
      </c>
      <c r="AU203" s="58" t="e">
        <f t="shared" si="226"/>
        <v>#REF!</v>
      </c>
      <c r="AV203" s="52">
        <f t="shared" si="227"/>
        <v>0</v>
      </c>
      <c r="AW203" s="58" t="e">
        <f t="shared" si="228"/>
        <v>#DIV/0!</v>
      </c>
      <c r="AX203" s="284" t="s">
        <v>307</v>
      </c>
      <c r="AY203" s="65">
        <v>0</v>
      </c>
      <c r="AZ203" s="282">
        <f t="shared" si="229"/>
        <v>0</v>
      </c>
      <c r="BA203" s="282">
        <f t="shared" si="230"/>
        <v>0</v>
      </c>
      <c r="BB203" s="282">
        <f t="shared" si="231"/>
        <v>0</v>
      </c>
      <c r="BC203" s="58" t="e">
        <f t="shared" si="232"/>
        <v>#DIV/0!</v>
      </c>
      <c r="BI203" s="219">
        <v>0</v>
      </c>
      <c r="BJ203" s="65">
        <f t="shared" si="237"/>
        <v>0</v>
      </c>
      <c r="BK203" s="65">
        <f t="shared" si="238"/>
        <v>0</v>
      </c>
      <c r="BL203" s="576">
        <f>'FY 2013 by Agency'!AS203*Inflator!$E$13</f>
        <v>0</v>
      </c>
      <c r="BM203" s="52">
        <f t="shared" si="239"/>
        <v>0</v>
      </c>
      <c r="BN203" s="51" t="e">
        <f t="shared" si="233"/>
        <v>#DIV/0!</v>
      </c>
      <c r="BO203" s="52">
        <f>'FY 2013 by Agency'!AX203*Inflator!$E$13</f>
        <v>0</v>
      </c>
      <c r="BP203" s="52">
        <f t="shared" si="171"/>
        <v>0</v>
      </c>
      <c r="BQ203" s="51" t="e">
        <f t="shared" si="172"/>
        <v>#DIV/0!</v>
      </c>
      <c r="BR203" s="52">
        <f>'FY 2013 by Agency'!BE203*Inflator!$E$14</f>
        <v>0</v>
      </c>
      <c r="BS203" s="52">
        <f t="shared" si="173"/>
        <v>0</v>
      </c>
      <c r="BT203" s="51" t="e">
        <f t="shared" si="174"/>
        <v>#DIV/0!</v>
      </c>
      <c r="BU203" s="52">
        <f>'FY 2013 by Agency'!BL203*Inflator!$E$14</f>
        <v>0</v>
      </c>
      <c r="BV203" s="52">
        <f t="shared" si="240"/>
        <v>0</v>
      </c>
      <c r="BW203" s="39">
        <v>0</v>
      </c>
      <c r="BX203" s="39">
        <f>'FY 2013 by Agency'!BV203*Inflator!E15</f>
        <v>0</v>
      </c>
      <c r="BY203" s="39">
        <f t="shared" si="241"/>
        <v>0</v>
      </c>
      <c r="BZ203" s="51" t="e">
        <f t="shared" si="242"/>
        <v>#DIV/0!</v>
      </c>
      <c r="CB203" s="39"/>
    </row>
    <row r="204" spans="1:80" ht="18" customHeight="1">
      <c r="A204" s="57" t="s">
        <v>41</v>
      </c>
      <c r="B204" s="326">
        <f>'FY 2013 by Agency'!B204*Inflator!$E$2</f>
        <v>0</v>
      </c>
      <c r="C204" s="326">
        <f>'FY 2013 by Agency'!C204*Inflator!$E$3</f>
        <v>0</v>
      </c>
      <c r="D204" s="326">
        <f t="shared" ref="D204:D244" si="243">C204-B204</f>
        <v>0</v>
      </c>
      <c r="E204" s="329" t="s">
        <v>78</v>
      </c>
      <c r="F204" s="10">
        <f>'FY 2013 by Agency'!F204*Inflator!$E$4</f>
        <v>0</v>
      </c>
      <c r="G204" s="10">
        <f t="shared" ref="G204:G244" si="244">F204-C204</f>
        <v>0</v>
      </c>
      <c r="H204" s="329" t="s">
        <v>78</v>
      </c>
      <c r="I204" s="10">
        <f>'FY 2013 by Agency'!I204*Inflator!$E$5</f>
        <v>0</v>
      </c>
      <c r="J204" s="10">
        <f t="shared" ref="J204:J244" si="245">I204-F204</f>
        <v>0</v>
      </c>
      <c r="K204" s="329" t="s">
        <v>78</v>
      </c>
      <c r="L204" s="10">
        <f>'FY 2013 by Agency'!L204*Inflator!$E$6</f>
        <v>0</v>
      </c>
      <c r="M204" s="10">
        <f t="shared" ref="M204:M244" si="246">L204-I204</f>
        <v>0</v>
      </c>
      <c r="N204" s="329" t="s">
        <v>78</v>
      </c>
      <c r="O204" s="10">
        <f>'FY 2013 by Agency'!O204*Inflator!$E$7</f>
        <v>0</v>
      </c>
      <c r="P204" s="52">
        <f t="shared" si="234"/>
        <v>0</v>
      </c>
      <c r="Q204" s="60" t="s">
        <v>78</v>
      </c>
      <c r="R204" s="52">
        <f>'FY 2013 by Agency'!R204*Inflator!$E$8</f>
        <v>0</v>
      </c>
      <c r="S204" s="52">
        <f t="shared" si="219"/>
        <v>0</v>
      </c>
      <c r="T204" s="60" t="s">
        <v>78</v>
      </c>
      <c r="U204" s="52">
        <f>'FY 2013 by Agency'!U204*Inflator!$E$9</f>
        <v>0</v>
      </c>
      <c r="V204" s="52">
        <f t="shared" si="235"/>
        <v>0</v>
      </c>
      <c r="W204" s="60" t="s">
        <v>78</v>
      </c>
      <c r="X204" s="52">
        <f>'FY 2013 by Agency'!X204*Inflator!$E$10</f>
        <v>0</v>
      </c>
      <c r="Y204" s="39">
        <f t="shared" si="236"/>
        <v>0</v>
      </c>
      <c r="Z204" s="61" t="s">
        <v>127</v>
      </c>
      <c r="AA204" s="52">
        <f>'FY 2013 by Agency'!AA204*Inflator!$E$11</f>
        <v>42519.924179675065</v>
      </c>
      <c r="AB204" s="39">
        <f t="shared" si="221"/>
        <v>42519.924179675065</v>
      </c>
      <c r="AC204" s="58" t="e">
        <f t="shared" si="222"/>
        <v>#DIV/0!</v>
      </c>
      <c r="AD204" s="52" t="e">
        <f>'FY 2013 by Agency'!AD204*Inflator!#REF!</f>
        <v>#REF!</v>
      </c>
      <c r="AE204" s="52">
        <f>'FY 2013 by Agency'!AE204*Inflator!$B$8</f>
        <v>0</v>
      </c>
      <c r="AF204" s="52">
        <f>'FY 2013 by Agency'!AF204*Inflator!$E$12</f>
        <v>2565.5325814536345</v>
      </c>
      <c r="AG204" s="52">
        <f t="shared" si="223"/>
        <v>-39954.391598221431</v>
      </c>
      <c r="AH204" s="58">
        <f t="shared" si="224"/>
        <v>-0.93966281382317274</v>
      </c>
      <c r="AI204" s="52">
        <f>'FY 2013 by Agency'!AI204*Inflator!$B$8</f>
        <v>0</v>
      </c>
      <c r="AJ204" s="52">
        <f>'FY 2013 by Agency'!AJ204*Inflator!$B$8</f>
        <v>0</v>
      </c>
      <c r="AK204" s="52">
        <f>'FY 2013 by Agency'!AK204</f>
        <v>0</v>
      </c>
      <c r="AL204" s="52">
        <f>'FY 2013 by Agency'!AL204</f>
        <v>3467</v>
      </c>
      <c r="AM204" s="52">
        <f>'FY 2013 by Agency'!AM204</f>
        <v>3467</v>
      </c>
      <c r="AN204" s="52">
        <f>'FY 2013 by Agency'!AN204</f>
        <v>0</v>
      </c>
      <c r="AO204" s="52">
        <f>'FY 2013 by Agency'!AO204</f>
        <v>973</v>
      </c>
      <c r="AP204" s="52">
        <f>'FY 2013 by Agency'!AP204</f>
        <v>0</v>
      </c>
      <c r="AQ204" s="52">
        <f>'FY 2013 by Agency'!AQ204</f>
        <v>0</v>
      </c>
      <c r="AR204" s="52">
        <f>'FY 2013 by Agency'!AR204</f>
        <v>0</v>
      </c>
      <c r="AS204" s="52">
        <f>'FY 2013 by Agency'!AS204</f>
        <v>0</v>
      </c>
      <c r="AT204" s="52" t="e">
        <f t="shared" si="225"/>
        <v>#REF!</v>
      </c>
      <c r="AU204" s="58" t="e">
        <f t="shared" si="226"/>
        <v>#REF!</v>
      </c>
      <c r="AV204" s="52">
        <f t="shared" si="227"/>
        <v>-2565.5325814536345</v>
      </c>
      <c r="AW204" s="58">
        <f t="shared" si="228"/>
        <v>-1</v>
      </c>
      <c r="AX204" s="284" t="s">
        <v>308</v>
      </c>
      <c r="AY204" s="65">
        <v>973</v>
      </c>
      <c r="AZ204" s="282">
        <f t="shared" si="229"/>
        <v>0</v>
      </c>
      <c r="BA204" s="282">
        <f t="shared" si="230"/>
        <v>-2565.5325814536345</v>
      </c>
      <c r="BB204" s="282">
        <f t="shared" si="231"/>
        <v>0</v>
      </c>
      <c r="BC204" s="58">
        <f t="shared" si="232"/>
        <v>-1</v>
      </c>
      <c r="BI204" s="219">
        <v>973</v>
      </c>
      <c r="BJ204" s="65">
        <f t="shared" si="237"/>
        <v>0</v>
      </c>
      <c r="BK204" s="65">
        <f t="shared" si="238"/>
        <v>973</v>
      </c>
      <c r="BL204" s="576">
        <f>'FY 2013 by Agency'!AS204*Inflator!$E$13</f>
        <v>0</v>
      </c>
      <c r="BM204" s="52">
        <f t="shared" si="239"/>
        <v>-2565.5325814536345</v>
      </c>
      <c r="BN204" s="51">
        <f t="shared" si="233"/>
        <v>-1</v>
      </c>
      <c r="BO204" s="52">
        <f>'FY 2013 by Agency'!AX204*Inflator!$E$13</f>
        <v>1008.9270674397317</v>
      </c>
      <c r="BP204" s="52">
        <f t="shared" ref="BP204:BP244" si="247">BO204-AF204</f>
        <v>-1556.6055140139028</v>
      </c>
      <c r="BQ204" s="51">
        <f t="shared" ref="BQ204:BQ244" si="248">BP204/AF204</f>
        <v>-0.60673776870607032</v>
      </c>
      <c r="BR204" s="52">
        <f>'FY 2013 by Agency'!BE204*Inflator!$E$14</f>
        <v>22677.008062108092</v>
      </c>
      <c r="BS204" s="52">
        <f t="shared" ref="BS204:BS244" si="249">BR204-BO204</f>
        <v>21668.080994668362</v>
      </c>
      <c r="BT204" s="51">
        <f t="shared" ref="BT204:BT244" si="250">BS204/BO204</f>
        <v>21.476360079875352</v>
      </c>
      <c r="BU204" s="52">
        <f>'FY 2013 by Agency'!BL204*Inflator!$E$14</f>
        <v>22677.008062108092</v>
      </c>
      <c r="BV204" s="52">
        <f t="shared" si="240"/>
        <v>22677.008062108092</v>
      </c>
      <c r="BW204" s="39">
        <v>27161</v>
      </c>
      <c r="BX204" s="39">
        <f>'FY 2013 by Agency'!BV204*Inflator!E15</f>
        <v>46162</v>
      </c>
      <c r="BY204" s="39">
        <f t="shared" si="241"/>
        <v>4483.9919378919076</v>
      </c>
      <c r="BZ204" s="51">
        <f t="shared" si="242"/>
        <v>0.19773296043336452</v>
      </c>
      <c r="CB204" s="39"/>
    </row>
    <row r="205" spans="1:80" ht="18" customHeight="1">
      <c r="A205" s="316" t="s">
        <v>401</v>
      </c>
      <c r="B205" s="329" t="s">
        <v>78</v>
      </c>
      <c r="C205" s="329" t="s">
        <v>78</v>
      </c>
      <c r="D205" s="329" t="s">
        <v>78</v>
      </c>
      <c r="E205" s="329" t="s">
        <v>78</v>
      </c>
      <c r="F205" s="10">
        <f>'FY 2013 by Agency'!F205*Inflator!$E$4</f>
        <v>0</v>
      </c>
      <c r="G205" s="329" t="s">
        <v>78</v>
      </c>
      <c r="H205" s="329" t="s">
        <v>78</v>
      </c>
      <c r="I205" s="10">
        <f>'FY 2013 by Agency'!I205*Inflator!$E$5</f>
        <v>0</v>
      </c>
      <c r="J205" s="10">
        <f t="shared" si="245"/>
        <v>0</v>
      </c>
      <c r="K205" s="329" t="s">
        <v>78</v>
      </c>
      <c r="L205" s="10">
        <f>'FY 2013 by Agency'!L205*Inflator!$E$6</f>
        <v>0</v>
      </c>
      <c r="M205" s="10">
        <f t="shared" si="246"/>
        <v>0</v>
      </c>
      <c r="N205" s="329" t="s">
        <v>78</v>
      </c>
      <c r="O205" s="10">
        <f>'FY 2013 by Agency'!O205*Inflator!$E$7</f>
        <v>0</v>
      </c>
      <c r="P205" s="69">
        <f t="shared" si="234"/>
        <v>0</v>
      </c>
      <c r="Q205" s="60" t="s">
        <v>78</v>
      </c>
      <c r="R205" s="52">
        <f>'FY 2013 by Agency'!R205*Inflator!$E$8</f>
        <v>0</v>
      </c>
      <c r="S205" s="52">
        <f t="shared" si="219"/>
        <v>0</v>
      </c>
      <c r="T205" s="60" t="s">
        <v>78</v>
      </c>
      <c r="U205" s="52">
        <f>'FY 2013 by Agency'!U205*Inflator!$E$9</f>
        <v>0</v>
      </c>
      <c r="V205" s="52">
        <f t="shared" si="235"/>
        <v>0</v>
      </c>
      <c r="W205" s="60" t="s">
        <v>78</v>
      </c>
      <c r="X205" s="52">
        <f>'FY 2013 by Agency'!X205*Inflator!$E$10</f>
        <v>0</v>
      </c>
      <c r="Y205" s="39">
        <f t="shared" si="236"/>
        <v>0</v>
      </c>
      <c r="Z205" s="61" t="s">
        <v>127</v>
      </c>
      <c r="AA205" s="52">
        <f>'FY 2013 by Agency'!AA205*Inflator!$E$11</f>
        <v>49795.476266326863</v>
      </c>
      <c r="AB205" s="39">
        <f t="shared" si="221"/>
        <v>49795.476266326863</v>
      </c>
      <c r="AC205" s="58" t="e">
        <f t="shared" si="222"/>
        <v>#DIV/0!</v>
      </c>
      <c r="AD205" s="52" t="e">
        <f>'FY 2013 by Agency'!AD205*Inflator!#REF!</f>
        <v>#REF!</v>
      </c>
      <c r="AE205" s="52">
        <f>'FY 2013 by Agency'!AE205*Inflator!$B$8</f>
        <v>0</v>
      </c>
      <c r="AF205" s="52">
        <f>'FY 2013 by Agency'!AF205*Inflator!$E$12</f>
        <v>0</v>
      </c>
      <c r="AG205" s="52">
        <f t="shared" si="223"/>
        <v>-49795.476266326863</v>
      </c>
      <c r="AH205" s="58">
        <f t="shared" si="224"/>
        <v>-1</v>
      </c>
      <c r="AI205" s="52">
        <f>'FY 2013 by Agency'!AI205*Inflator!$B$8</f>
        <v>0</v>
      </c>
      <c r="AJ205" s="52">
        <f>'FY 2013 by Agency'!AJ205*Inflator!$B$8</f>
        <v>0</v>
      </c>
      <c r="AK205" s="52">
        <f>'FY 2013 by Agency'!AK205</f>
        <v>0</v>
      </c>
      <c r="AL205" s="52">
        <f>'FY 2013 by Agency'!AL205</f>
        <v>0</v>
      </c>
      <c r="AM205" s="52">
        <f>'FY 2013 by Agency'!AM205</f>
        <v>0</v>
      </c>
      <c r="AN205" s="52">
        <f>'FY 2013 by Agency'!AN205</f>
        <v>0</v>
      </c>
      <c r="AO205" s="52">
        <f>'FY 2013 by Agency'!AO205</f>
        <v>0</v>
      </c>
      <c r="AP205" s="52">
        <f>'FY 2013 by Agency'!AP205</f>
        <v>0</v>
      </c>
      <c r="AQ205" s="52">
        <f>'FY 2013 by Agency'!AQ205</f>
        <v>0</v>
      </c>
      <c r="AR205" s="52">
        <f>'FY 2013 by Agency'!AR205</f>
        <v>0</v>
      </c>
      <c r="AS205" s="52">
        <f>'FY 2013 by Agency'!AS205</f>
        <v>0</v>
      </c>
      <c r="AT205" s="52" t="e">
        <f t="shared" si="225"/>
        <v>#REF!</v>
      </c>
      <c r="AU205" s="58" t="e">
        <f t="shared" si="226"/>
        <v>#REF!</v>
      </c>
      <c r="AV205" s="52">
        <f t="shared" si="227"/>
        <v>0</v>
      </c>
      <c r="AW205" s="58" t="e">
        <f t="shared" si="228"/>
        <v>#DIV/0!</v>
      </c>
      <c r="AX205" s="284" t="s">
        <v>310</v>
      </c>
      <c r="AY205" s="65">
        <v>0</v>
      </c>
      <c r="AZ205" s="282">
        <f t="shared" si="229"/>
        <v>0</v>
      </c>
      <c r="BA205" s="282">
        <f t="shared" si="230"/>
        <v>0</v>
      </c>
      <c r="BB205" s="282">
        <f t="shared" si="231"/>
        <v>0</v>
      </c>
      <c r="BC205" s="58" t="e">
        <f t="shared" si="232"/>
        <v>#DIV/0!</v>
      </c>
      <c r="BI205" s="219">
        <v>40000</v>
      </c>
      <c r="BJ205" s="65">
        <f t="shared" si="237"/>
        <v>40000</v>
      </c>
      <c r="BK205" s="65">
        <f t="shared" si="238"/>
        <v>40000</v>
      </c>
      <c r="BL205" s="576">
        <f>'FY 2013 by Agency'!AS205*Inflator!$E$13</f>
        <v>0</v>
      </c>
      <c r="BM205" s="52">
        <f t="shared" si="239"/>
        <v>0</v>
      </c>
      <c r="BN205" s="51" t="e">
        <f t="shared" si="233"/>
        <v>#DIV/0!</v>
      </c>
      <c r="BO205" s="52">
        <f>'FY 2013 by Agency'!AX205*Inflator!$E$13</f>
        <v>41476.960634726893</v>
      </c>
      <c r="BP205" s="52">
        <f t="shared" si="247"/>
        <v>41476.960634726893</v>
      </c>
      <c r="BQ205" s="51" t="e">
        <f t="shared" si="248"/>
        <v>#DIV/0!</v>
      </c>
      <c r="BR205" s="52">
        <f>'FY 2013 by Agency'!BE205*Inflator!$E$14</f>
        <v>0</v>
      </c>
      <c r="BS205" s="52">
        <f t="shared" si="249"/>
        <v>-41476.960634726893</v>
      </c>
      <c r="BT205" s="51">
        <f t="shared" si="250"/>
        <v>-1</v>
      </c>
      <c r="BU205" s="52">
        <f>'FY 2013 by Agency'!BL205*Inflator!$E$14</f>
        <v>0</v>
      </c>
      <c r="BV205" s="52">
        <f t="shared" si="240"/>
        <v>0</v>
      </c>
      <c r="BW205" s="39">
        <v>0</v>
      </c>
      <c r="BX205" s="39">
        <f>'FY 2013 by Agency'!BV205*Inflator!E15</f>
        <v>0</v>
      </c>
      <c r="BY205" s="39">
        <f t="shared" si="241"/>
        <v>0</v>
      </c>
      <c r="BZ205" s="51" t="e">
        <f t="shared" si="242"/>
        <v>#DIV/0!</v>
      </c>
      <c r="CB205" s="39"/>
    </row>
    <row r="206" spans="1:80" ht="18" customHeight="1">
      <c r="A206" s="59" t="s">
        <v>42</v>
      </c>
      <c r="B206" s="329" t="s">
        <v>78</v>
      </c>
      <c r="C206" s="329" t="s">
        <v>78</v>
      </c>
      <c r="D206" s="329" t="s">
        <v>78</v>
      </c>
      <c r="E206" s="329" t="s">
        <v>78</v>
      </c>
      <c r="F206" s="329" t="s">
        <v>78</v>
      </c>
      <c r="G206" s="329" t="s">
        <v>78</v>
      </c>
      <c r="H206" s="329" t="s">
        <v>78</v>
      </c>
      <c r="I206" s="329" t="s">
        <v>78</v>
      </c>
      <c r="J206" s="329" t="s">
        <v>78</v>
      </c>
      <c r="K206" s="329" t="s">
        <v>78</v>
      </c>
      <c r="L206" s="10">
        <f>'FY 2013 by Agency'!L206*Inflator!$E$6</f>
        <v>0</v>
      </c>
      <c r="M206" s="329" t="s">
        <v>78</v>
      </c>
      <c r="N206" s="329" t="s">
        <v>78</v>
      </c>
      <c r="O206" s="10">
        <f>'FY 2013 by Agency'!O206*Inflator!$E$7</f>
        <v>26382.641323477645</v>
      </c>
      <c r="P206" s="69">
        <f t="shared" si="234"/>
        <v>26382.641323477645</v>
      </c>
      <c r="Q206" s="60" t="s">
        <v>78</v>
      </c>
      <c r="R206" s="52">
        <f>'FY 2013 by Agency'!R206*Inflator!$E$8</f>
        <v>28344.348947725728</v>
      </c>
      <c r="S206" s="52">
        <f t="shared" si="219"/>
        <v>1961.7076242480834</v>
      </c>
      <c r="T206" s="58">
        <f t="shared" si="220"/>
        <v>7.4355997953183706E-2</v>
      </c>
      <c r="U206" s="52">
        <f>'FY 2013 by Agency'!U206*Inflator!$E$9</f>
        <v>24665.91976127321</v>
      </c>
      <c r="V206" s="52">
        <f t="shared" si="235"/>
        <v>-3678.4291864525185</v>
      </c>
      <c r="W206" s="58">
        <f>V206/R206</f>
        <v>-0.12977645714270905</v>
      </c>
      <c r="X206" s="52">
        <f>'FY 2013 by Agency'!X206*Inflator!$E$10</f>
        <v>32259.958081930774</v>
      </c>
      <c r="Y206" s="39">
        <f t="shared" si="236"/>
        <v>7594.0383206575643</v>
      </c>
      <c r="Z206" s="58">
        <f>Y206/U206</f>
        <v>0.30787574086657832</v>
      </c>
      <c r="AA206" s="52">
        <f>'FY 2013 by Agency'!AA206*Inflator!$E$11</f>
        <v>46583.668047148778</v>
      </c>
      <c r="AB206" s="39">
        <f t="shared" si="221"/>
        <v>14323.709965218004</v>
      </c>
      <c r="AC206" s="58">
        <f t="shared" si="222"/>
        <v>0.44400894535696567</v>
      </c>
      <c r="AD206" s="52" t="e">
        <f>'FY 2013 by Agency'!AD206*Inflator!#REF!</f>
        <v>#REF!</v>
      </c>
      <c r="AE206" s="52">
        <f>'FY 2013 by Agency'!AE206*Inflator!$B$8</f>
        <v>0</v>
      </c>
      <c r="AF206" s="52">
        <f>'FY 2013 by Agency'!AF206*Inflator!$E$12</f>
        <v>46693.757518797</v>
      </c>
      <c r="AG206" s="52">
        <f t="shared" si="223"/>
        <v>110.08947164822166</v>
      </c>
      <c r="AH206" s="58">
        <f t="shared" si="224"/>
        <v>2.36326326936721E-3</v>
      </c>
      <c r="AI206" s="52">
        <f>'FY 2013 by Agency'!AI206*Inflator!$B$8</f>
        <v>0</v>
      </c>
      <c r="AJ206" s="52">
        <f>'FY 2013 by Agency'!AJ206*Inflator!$B$8</f>
        <v>0</v>
      </c>
      <c r="AK206" s="52">
        <f>'FY 2013 by Agency'!AK206</f>
        <v>44605</v>
      </c>
      <c r="AL206" s="52">
        <f>'FY 2013 by Agency'!AL206</f>
        <v>0</v>
      </c>
      <c r="AM206" s="52">
        <f>'FY 2013 by Agency'!AM206</f>
        <v>44605</v>
      </c>
      <c r="AN206" s="52">
        <f>'FY 2013 by Agency'!AN206</f>
        <v>49804</v>
      </c>
      <c r="AO206" s="52">
        <f>'FY 2013 by Agency'!AO206</f>
        <v>49804</v>
      </c>
      <c r="AP206" s="52">
        <f>'FY 2013 by Agency'!AP206</f>
        <v>0</v>
      </c>
      <c r="AQ206" s="52">
        <f>'FY 2013 by Agency'!AQ206</f>
        <v>0</v>
      </c>
      <c r="AR206" s="52">
        <f>'FY 2013 by Agency'!AR206</f>
        <v>0</v>
      </c>
      <c r="AS206" s="52">
        <f>'FY 2013 by Agency'!AS206</f>
        <v>48246.766940000001</v>
      </c>
      <c r="AT206" s="52" t="e">
        <f t="shared" si="225"/>
        <v>#REF!</v>
      </c>
      <c r="AU206" s="58" t="e">
        <f t="shared" si="226"/>
        <v>#REF!</v>
      </c>
      <c r="AV206" s="52">
        <f t="shared" si="227"/>
        <v>1553.0094212030017</v>
      </c>
      <c r="AW206" s="58">
        <f t="shared" si="228"/>
        <v>3.3259465584405443E-2</v>
      </c>
      <c r="AX206" s="284" t="s">
        <v>311</v>
      </c>
      <c r="AY206" s="65">
        <v>49804</v>
      </c>
      <c r="AZ206" s="282">
        <f t="shared" si="229"/>
        <v>0</v>
      </c>
      <c r="BA206" s="282">
        <f t="shared" si="230"/>
        <v>1553.0094212030017</v>
      </c>
      <c r="BB206" s="282">
        <f t="shared" si="231"/>
        <v>48246.766940000001</v>
      </c>
      <c r="BC206" s="58">
        <f t="shared" si="232"/>
        <v>3.3259465584405401E-2</v>
      </c>
      <c r="BI206" s="219">
        <v>49804</v>
      </c>
      <c r="BJ206" s="65">
        <f t="shared" si="237"/>
        <v>0</v>
      </c>
      <c r="BK206" s="65">
        <f t="shared" si="238"/>
        <v>49804</v>
      </c>
      <c r="BL206" s="576">
        <f>'FY 2013 by Agency'!AS206*Inflator!$E$13</f>
        <v>50028.231328080568</v>
      </c>
      <c r="BM206" s="52">
        <f t="shared" si="239"/>
        <v>3334.4738092835687</v>
      </c>
      <c r="BN206" s="51">
        <f t="shared" si="233"/>
        <v>7.1411554487583184E-2</v>
      </c>
      <c r="BO206" s="52">
        <f>'FY 2013 by Agency'!AX206*Inflator!$E$13</f>
        <v>51642.963686298455</v>
      </c>
      <c r="BP206" s="52">
        <f t="shared" si="247"/>
        <v>4949.2061675014556</v>
      </c>
      <c r="BQ206" s="51">
        <f t="shared" si="248"/>
        <v>0.10599288706866453</v>
      </c>
      <c r="BR206" s="52">
        <f>'FY 2013 by Agency'!BE206*Inflator!$E$14</f>
        <v>54401.482830695735</v>
      </c>
      <c r="BS206" s="52">
        <f t="shared" si="249"/>
        <v>2758.5191443972799</v>
      </c>
      <c r="BT206" s="51">
        <f t="shared" si="250"/>
        <v>5.3415198266964503E-2</v>
      </c>
      <c r="BU206" s="52">
        <f>'FY 2013 by Agency'!BL206*Inflator!$E$14</f>
        <v>54401.482830695735</v>
      </c>
      <c r="BV206" s="52">
        <f t="shared" si="240"/>
        <v>4373.2515026151668</v>
      </c>
      <c r="BW206" s="39">
        <v>50036</v>
      </c>
      <c r="BX206" s="39">
        <f>'FY 2013 by Agency'!BV206*Inflator!E15</f>
        <v>50036</v>
      </c>
      <c r="BY206" s="39">
        <f t="shared" si="241"/>
        <v>-4365.4828306957352</v>
      </c>
      <c r="BZ206" s="51">
        <f t="shared" si="242"/>
        <v>-8.0245658822971189E-2</v>
      </c>
      <c r="CB206" s="39"/>
    </row>
    <row r="207" spans="1:80" ht="18" customHeight="1">
      <c r="A207" s="59" t="s">
        <v>93</v>
      </c>
      <c r="B207" s="329" t="s">
        <v>78</v>
      </c>
      <c r="C207" s="329" t="s">
        <v>78</v>
      </c>
      <c r="D207" s="329" t="s">
        <v>78</v>
      </c>
      <c r="E207" s="329" t="s">
        <v>78</v>
      </c>
      <c r="F207" s="329" t="s">
        <v>78</v>
      </c>
      <c r="G207" s="329" t="s">
        <v>78</v>
      </c>
      <c r="H207" s="329" t="s">
        <v>78</v>
      </c>
      <c r="I207" s="329" t="s">
        <v>78</v>
      </c>
      <c r="J207" s="329" t="s">
        <v>78</v>
      </c>
      <c r="K207" s="329" t="s">
        <v>78</v>
      </c>
      <c r="L207" s="10">
        <f>'FY 2013 by Agency'!L207*Inflator!$E$6</f>
        <v>0</v>
      </c>
      <c r="M207" s="329" t="s">
        <v>78</v>
      </c>
      <c r="N207" s="329" t="s">
        <v>78</v>
      </c>
      <c r="O207" s="10">
        <f>'FY 2013 by Agency'!O207*Inflator!$E$7</f>
        <v>0</v>
      </c>
      <c r="P207" s="69">
        <f t="shared" si="234"/>
        <v>0</v>
      </c>
      <c r="Q207" s="60" t="s">
        <v>78</v>
      </c>
      <c r="R207" s="52">
        <f>'FY 2013 by Agency'!R207*Inflator!$E$8</f>
        <v>0</v>
      </c>
      <c r="S207" s="52">
        <v>12208</v>
      </c>
      <c r="T207" s="60" t="s">
        <v>78</v>
      </c>
      <c r="U207" s="52">
        <f>'FY 2013 by Agency'!U207*Inflator!$E$9</f>
        <v>0</v>
      </c>
      <c r="V207" s="52">
        <f t="shared" si="235"/>
        <v>0</v>
      </c>
      <c r="W207" s="60" t="s">
        <v>78</v>
      </c>
      <c r="X207" s="52">
        <f>'FY 2013 by Agency'!X207*Inflator!$E$10</f>
        <v>5088.9069545887587</v>
      </c>
      <c r="Y207" s="39">
        <f t="shared" si="236"/>
        <v>5088.9069545887587</v>
      </c>
      <c r="Z207" s="61" t="s">
        <v>127</v>
      </c>
      <c r="AA207" s="52">
        <f>'FY 2013 by Agency'!AA207*Inflator!$E$11</f>
        <v>9323.6616756928979</v>
      </c>
      <c r="AB207" s="39">
        <f t="shared" si="221"/>
        <v>4234.7547211041392</v>
      </c>
      <c r="AC207" s="58">
        <f t="shared" si="222"/>
        <v>0.83215408709439753</v>
      </c>
      <c r="AD207" s="52" t="e">
        <f>'FY 2013 by Agency'!AD207*Inflator!#REF!</f>
        <v>#REF!</v>
      </c>
      <c r="AE207" s="52">
        <f>'FY 2013 by Agency'!AE207*Inflator!$B$8</f>
        <v>0</v>
      </c>
      <c r="AF207" s="52">
        <f>'FY 2013 by Agency'!AF207*Inflator!$E$12</f>
        <v>9167.7869674185476</v>
      </c>
      <c r="AG207" s="52">
        <f t="shared" si="223"/>
        <v>-155.87470827435027</v>
      </c>
      <c r="AH207" s="58">
        <f t="shared" si="224"/>
        <v>-1.6718185804695265E-2</v>
      </c>
      <c r="AI207" s="52">
        <f>'FY 2013 by Agency'!AI207*Inflator!$B$8</f>
        <v>0</v>
      </c>
      <c r="AJ207" s="52">
        <f>'FY 2013 by Agency'!AJ207*Inflator!$B$8</f>
        <v>0</v>
      </c>
      <c r="AK207" s="52">
        <f>'FY 2013 by Agency'!AK207</f>
        <v>8613</v>
      </c>
      <c r="AL207" s="52">
        <f>'FY 2013 by Agency'!AL207</f>
        <v>0</v>
      </c>
      <c r="AM207" s="52">
        <f>'FY 2013 by Agency'!AM207</f>
        <v>8613</v>
      </c>
      <c r="AN207" s="52">
        <f>'FY 2013 by Agency'!AN207</f>
        <v>8613</v>
      </c>
      <c r="AO207" s="52">
        <f>'FY 2013 by Agency'!AO207</f>
        <v>8613</v>
      </c>
      <c r="AP207" s="52">
        <f>'FY 2013 by Agency'!AP207</f>
        <v>0</v>
      </c>
      <c r="AQ207" s="52">
        <f>'FY 2013 by Agency'!AQ207</f>
        <v>0</v>
      </c>
      <c r="AR207" s="52">
        <f>'FY 2013 by Agency'!AR207</f>
        <v>0</v>
      </c>
      <c r="AS207" s="52">
        <f>'FY 2013 by Agency'!AS207</f>
        <v>8612.9629999999997</v>
      </c>
      <c r="AT207" s="52" t="e">
        <f t="shared" si="225"/>
        <v>#REF!</v>
      </c>
      <c r="AU207" s="58" t="e">
        <f t="shared" si="226"/>
        <v>#REF!</v>
      </c>
      <c r="AV207" s="52">
        <f t="shared" si="227"/>
        <v>-554.82396741854791</v>
      </c>
      <c r="AW207" s="58">
        <f t="shared" si="228"/>
        <v>-6.0518854701831541E-2</v>
      </c>
      <c r="AX207" s="287" t="s">
        <v>303</v>
      </c>
      <c r="AY207" s="65">
        <v>8613</v>
      </c>
      <c r="AZ207" s="282">
        <f t="shared" si="229"/>
        <v>0</v>
      </c>
      <c r="BA207" s="282">
        <f t="shared" si="230"/>
        <v>-554.82396741854791</v>
      </c>
      <c r="BB207" s="282">
        <f t="shared" si="231"/>
        <v>8612.9629999999997</v>
      </c>
      <c r="BC207" s="58">
        <f t="shared" si="232"/>
        <v>-6.0518854701831493E-2</v>
      </c>
      <c r="BI207" s="65">
        <v>8613</v>
      </c>
      <c r="BJ207" s="65">
        <f t="shared" si="237"/>
        <v>0</v>
      </c>
      <c r="BK207" s="65">
        <f t="shared" si="238"/>
        <v>8613</v>
      </c>
      <c r="BL207" s="576">
        <f>'FY 2013 by Agency'!AS207*Inflator!$E$13</f>
        <v>8930.9881824839813</v>
      </c>
      <c r="BM207" s="52">
        <f t="shared" si="239"/>
        <v>-236.79878493456636</v>
      </c>
      <c r="BN207" s="51">
        <f t="shared" si="233"/>
        <v>-2.5829437984993212E-2</v>
      </c>
      <c r="BO207" s="52">
        <f>'FY 2013 by Agency'!AX207*Inflator!$E$13</f>
        <v>8931.0265486725675</v>
      </c>
      <c r="BP207" s="52">
        <f t="shared" si="247"/>
        <v>-236.76041874598013</v>
      </c>
      <c r="BQ207" s="51">
        <f t="shared" si="248"/>
        <v>-2.5825253094056873E-2</v>
      </c>
      <c r="BR207" s="52">
        <f>'FY 2013 by Agency'!BE207*Inflator!$E$14</f>
        <v>8747.135861451181</v>
      </c>
      <c r="BS207" s="52">
        <f t="shared" si="249"/>
        <v>-183.89068722138654</v>
      </c>
      <c r="BT207" s="51">
        <f t="shared" si="250"/>
        <v>-2.0590095239244193E-2</v>
      </c>
      <c r="BU207" s="52">
        <f>'FY 2013 by Agency'!BL207*Inflator!$E$14</f>
        <v>8747.135861451181</v>
      </c>
      <c r="BV207" s="52">
        <f t="shared" si="240"/>
        <v>-183.85232103280032</v>
      </c>
      <c r="BW207" s="39">
        <v>8626</v>
      </c>
      <c r="BX207" s="39">
        <f>'FY 2013 by Agency'!BV207*Inflator!E15</f>
        <v>8626</v>
      </c>
      <c r="BY207" s="39">
        <f t="shared" si="241"/>
        <v>-121.13586145118097</v>
      </c>
      <c r="BZ207" s="51">
        <f t="shared" si="242"/>
        <v>-1.3848631525780841E-2</v>
      </c>
      <c r="CB207" s="39"/>
    </row>
    <row r="208" spans="1:80" ht="18" customHeight="1">
      <c r="A208" s="57" t="s">
        <v>79</v>
      </c>
      <c r="B208" s="329" t="s">
        <v>78</v>
      </c>
      <c r="C208" s="329" t="s">
        <v>78</v>
      </c>
      <c r="D208" s="329" t="s">
        <v>78</v>
      </c>
      <c r="E208" s="329" t="s">
        <v>78</v>
      </c>
      <c r="F208" s="329" t="s">
        <v>78</v>
      </c>
      <c r="G208" s="329" t="s">
        <v>78</v>
      </c>
      <c r="H208" s="329" t="s">
        <v>78</v>
      </c>
      <c r="I208" s="329" t="s">
        <v>78</v>
      </c>
      <c r="J208" s="329" t="s">
        <v>78</v>
      </c>
      <c r="K208" s="329" t="s">
        <v>78</v>
      </c>
      <c r="L208" s="10">
        <f>'FY 2013 by Agency'!L208*Inflator!$E$6</f>
        <v>0</v>
      </c>
      <c r="M208" s="329" t="s">
        <v>78</v>
      </c>
      <c r="N208" s="329" t="s">
        <v>78</v>
      </c>
      <c r="O208" s="10">
        <f>'FY 2013 by Agency'!O208*Inflator!$E$7</f>
        <v>448.52164730728612</v>
      </c>
      <c r="P208" s="69">
        <f t="shared" si="234"/>
        <v>448.52164730728612</v>
      </c>
      <c r="Q208" s="60" t="s">
        <v>78</v>
      </c>
      <c r="R208" s="52">
        <f>'FY 2013 by Agency'!R208*Inflator!$E$8</f>
        <v>0</v>
      </c>
      <c r="S208" s="52">
        <f t="shared" ref="S208:S222" si="251">R208-O208</f>
        <v>-448.52164730728612</v>
      </c>
      <c r="T208" s="58">
        <f>S208/O208</f>
        <v>-1</v>
      </c>
      <c r="U208" s="52">
        <f>'FY 2013 by Agency'!U208*Inflator!$E$9</f>
        <v>0</v>
      </c>
      <c r="V208" s="52">
        <f t="shared" si="235"/>
        <v>0</v>
      </c>
      <c r="W208" s="60" t="s">
        <v>78</v>
      </c>
      <c r="X208" s="52">
        <f>'FY 2013 by Agency'!X208*Inflator!$E$10</f>
        <v>0</v>
      </c>
      <c r="Y208" s="39">
        <f t="shared" si="236"/>
        <v>0</v>
      </c>
      <c r="Z208" s="61" t="s">
        <v>127</v>
      </c>
      <c r="AA208" s="52">
        <f>'FY 2013 by Agency'!AA208*Inflator!$E$11</f>
        <v>0</v>
      </c>
      <c r="AB208" s="39">
        <f t="shared" si="221"/>
        <v>0</v>
      </c>
      <c r="AC208" s="58" t="e">
        <f t="shared" si="222"/>
        <v>#DIV/0!</v>
      </c>
      <c r="AD208" s="52" t="e">
        <f>'FY 2013 by Agency'!AD208*Inflator!#REF!</f>
        <v>#REF!</v>
      </c>
      <c r="AE208" s="52">
        <f>'FY 2013 by Agency'!AE208*Inflator!$B$8</f>
        <v>0</v>
      </c>
      <c r="AF208" s="52">
        <f>'FY 2013 by Agency'!AF208*Inflator!$E$12</f>
        <v>0</v>
      </c>
      <c r="AG208" s="52">
        <f t="shared" si="223"/>
        <v>0</v>
      </c>
      <c r="AH208" s="58" t="e">
        <f t="shared" si="224"/>
        <v>#DIV/0!</v>
      </c>
      <c r="AI208" s="52">
        <f>'FY 2013 by Agency'!AI208*Inflator!$B$8</f>
        <v>0</v>
      </c>
      <c r="AJ208" s="52">
        <f>'FY 2013 by Agency'!AJ208*Inflator!$B$8</f>
        <v>0</v>
      </c>
      <c r="AK208" s="52">
        <f>'FY 2013 by Agency'!AK208</f>
        <v>0</v>
      </c>
      <c r="AL208" s="52">
        <f>'FY 2013 by Agency'!AL208</f>
        <v>0</v>
      </c>
      <c r="AM208" s="52">
        <f>'FY 2013 by Agency'!AM208</f>
        <v>0</v>
      </c>
      <c r="AN208" s="52">
        <f>'FY 2013 by Agency'!AN208</f>
        <v>0</v>
      </c>
      <c r="AO208" s="52">
        <f>'FY 2013 by Agency'!AO208</f>
        <v>0</v>
      </c>
      <c r="AP208" s="52">
        <f>'FY 2013 by Agency'!AP208</f>
        <v>0</v>
      </c>
      <c r="AQ208" s="52">
        <f>'FY 2013 by Agency'!AQ208</f>
        <v>0</v>
      </c>
      <c r="AR208" s="52">
        <f>'FY 2013 by Agency'!AR208</f>
        <v>0</v>
      </c>
      <c r="AS208" s="52">
        <f>'FY 2013 by Agency'!AS208</f>
        <v>0</v>
      </c>
      <c r="AT208" s="52" t="e">
        <f t="shared" si="225"/>
        <v>#REF!</v>
      </c>
      <c r="AU208" s="58" t="e">
        <f t="shared" si="226"/>
        <v>#REF!</v>
      </c>
      <c r="AV208" s="52">
        <f t="shared" si="227"/>
        <v>0</v>
      </c>
      <c r="AW208" s="58" t="e">
        <f t="shared" si="228"/>
        <v>#DIV/0!</v>
      </c>
      <c r="AX208" s="284" t="s">
        <v>312</v>
      </c>
      <c r="AY208" s="65"/>
      <c r="AZ208" s="282"/>
      <c r="BA208" s="282"/>
      <c r="BB208" s="282"/>
      <c r="BC208" s="58"/>
      <c r="BI208" s="65"/>
      <c r="BJ208" s="65">
        <f t="shared" si="237"/>
        <v>0</v>
      </c>
      <c r="BK208" s="65">
        <f t="shared" si="238"/>
        <v>0</v>
      </c>
      <c r="BL208" s="576">
        <f>'FY 2013 by Agency'!AS208*Inflator!$E$13</f>
        <v>0</v>
      </c>
      <c r="BM208" s="52">
        <f t="shared" si="239"/>
        <v>0</v>
      </c>
      <c r="BN208" s="51" t="e">
        <f t="shared" si="233"/>
        <v>#DIV/0!</v>
      </c>
      <c r="BO208" s="52">
        <f>'FY 2013 by Agency'!AX208*Inflator!$E$13</f>
        <v>0</v>
      </c>
      <c r="BP208" s="52">
        <f t="shared" si="247"/>
        <v>0</v>
      </c>
      <c r="BQ208" s="51" t="e">
        <f t="shared" si="248"/>
        <v>#DIV/0!</v>
      </c>
      <c r="BR208" s="52">
        <f>'FY 2013 by Agency'!BE208*Inflator!$E$14</f>
        <v>0</v>
      </c>
      <c r="BS208" s="52">
        <f t="shared" si="249"/>
        <v>0</v>
      </c>
      <c r="BT208" s="51" t="e">
        <f t="shared" si="250"/>
        <v>#DIV/0!</v>
      </c>
      <c r="BU208" s="52">
        <f>'FY 2013 by Agency'!BL208*Inflator!$E$14</f>
        <v>0</v>
      </c>
      <c r="BV208" s="52">
        <f t="shared" si="240"/>
        <v>0</v>
      </c>
      <c r="BW208" s="39">
        <v>0</v>
      </c>
      <c r="BX208" s="39">
        <f>'FY 2013 by Agency'!BV208*Inflator!E15</f>
        <v>0</v>
      </c>
      <c r="BY208" s="39">
        <f t="shared" si="241"/>
        <v>0</v>
      </c>
      <c r="BZ208" s="51" t="e">
        <f t="shared" si="242"/>
        <v>#DIV/0!</v>
      </c>
      <c r="CB208" s="39"/>
    </row>
    <row r="209" spans="1:80" ht="18" customHeight="1">
      <c r="A209" s="57" t="s">
        <v>146</v>
      </c>
      <c r="B209" s="329" t="s">
        <v>78</v>
      </c>
      <c r="C209" s="329" t="s">
        <v>78</v>
      </c>
      <c r="D209" s="329" t="s">
        <v>78</v>
      </c>
      <c r="E209" s="329" t="s">
        <v>78</v>
      </c>
      <c r="F209" s="329" t="s">
        <v>78</v>
      </c>
      <c r="G209" s="329" t="s">
        <v>78</v>
      </c>
      <c r="H209" s="329" t="s">
        <v>78</v>
      </c>
      <c r="I209" s="329" t="s">
        <v>78</v>
      </c>
      <c r="J209" s="329" t="s">
        <v>78</v>
      </c>
      <c r="K209" s="329" t="s">
        <v>78</v>
      </c>
      <c r="L209" s="10">
        <f>'FY 2013 by Agency'!L209*Inflator!$E$6</f>
        <v>0</v>
      </c>
      <c r="M209" s="329" t="s">
        <v>78</v>
      </c>
      <c r="N209" s="329" t="s">
        <v>78</v>
      </c>
      <c r="O209" s="10">
        <f>'FY 2013 by Agency'!O209*Inflator!$E$7</f>
        <v>24578.986272439277</v>
      </c>
      <c r="P209" s="69">
        <f t="shared" si="234"/>
        <v>24578.986272439277</v>
      </c>
      <c r="Q209" s="60" t="s">
        <v>78</v>
      </c>
      <c r="R209" s="52">
        <f>'FY 2013 by Agency'!R209*Inflator!$E$8</f>
        <v>305685.04887983704</v>
      </c>
      <c r="S209" s="52">
        <f t="shared" si="251"/>
        <v>281106.06260739773</v>
      </c>
      <c r="T209" s="58">
        <f>S209/O209</f>
        <v>11.436845258447679</v>
      </c>
      <c r="U209" s="52">
        <f>'FY 2013 by Agency'!U209*Inflator!$E$9</f>
        <v>133915.67572944297</v>
      </c>
      <c r="V209" s="52">
        <f t="shared" si="235"/>
        <v>-171769.37315039407</v>
      </c>
      <c r="W209" s="60">
        <f>V209/R209</f>
        <v>-0.56191617411395078</v>
      </c>
      <c r="X209" s="52">
        <f>'FY 2013 by Agency'!X209*Inflator!$E$10</f>
        <v>151865.45760558909</v>
      </c>
      <c r="Y209" s="39">
        <f t="shared" si="236"/>
        <v>17949.781876146124</v>
      </c>
      <c r="Z209" s="58">
        <f>Y209/U209</f>
        <v>0.13403794423896298</v>
      </c>
      <c r="AA209" s="52">
        <f>'FY 2013 by Agency'!AA209*Inflator!$E$11</f>
        <v>135328.9493469258</v>
      </c>
      <c r="AB209" s="39">
        <f t="shared" si="221"/>
        <v>-16536.508258663293</v>
      </c>
      <c r="AC209" s="58">
        <f t="shared" si="222"/>
        <v>-0.10888920047645319</v>
      </c>
      <c r="AD209" s="52" t="e">
        <f>'FY 2013 by Agency'!AD209*Inflator!#REF!</f>
        <v>#REF!</v>
      </c>
      <c r="AE209" s="52">
        <f>'FY 2013 by Agency'!AE209*Inflator!$B$8</f>
        <v>0</v>
      </c>
      <c r="AF209" s="52">
        <f>'FY 2013 by Agency'!AF209*Inflator!$E$12</f>
        <v>15896.721177944864</v>
      </c>
      <c r="AG209" s="52">
        <f t="shared" si="223"/>
        <v>-119432.22816898093</v>
      </c>
      <c r="AH209" s="58">
        <f t="shared" si="224"/>
        <v>-0.88253273778700192</v>
      </c>
      <c r="AI209" s="52">
        <f>'FY 2013 by Agency'!AI209*Inflator!$B$8</f>
        <v>0</v>
      </c>
      <c r="AJ209" s="52">
        <f>'FY 2013 by Agency'!AJ209*Inflator!$B$8</f>
        <v>0</v>
      </c>
      <c r="AK209" s="52">
        <f>'FY 2013 by Agency'!AK209</f>
        <v>0</v>
      </c>
      <c r="AL209" s="52">
        <f>'FY 2013 by Agency'!AL209</f>
        <v>0</v>
      </c>
      <c r="AM209" s="52">
        <f>'FY 2013 by Agency'!AM209</f>
        <v>0</v>
      </c>
      <c r="AN209" s="52">
        <f>'FY 2013 by Agency'!AN209</f>
        <v>0</v>
      </c>
      <c r="AO209" s="52">
        <f>'FY 2013 by Agency'!AO209</f>
        <v>7900</v>
      </c>
      <c r="AP209" s="52">
        <f>'FY 2013 by Agency'!AP209</f>
        <v>0</v>
      </c>
      <c r="AQ209" s="52">
        <f>'FY 2013 by Agency'!AQ209</f>
        <v>0</v>
      </c>
      <c r="AR209" s="52">
        <f>'FY 2013 by Agency'!AR209</f>
        <v>0</v>
      </c>
      <c r="AS209" s="52">
        <f>'FY 2013 by Agency'!AS209</f>
        <v>18696.287</v>
      </c>
      <c r="AT209" s="52" t="e">
        <f t="shared" si="225"/>
        <v>#REF!</v>
      </c>
      <c r="AU209" s="58" t="e">
        <f t="shared" si="226"/>
        <v>#REF!</v>
      </c>
      <c r="AV209" s="52">
        <f t="shared" si="227"/>
        <v>2799.5658220551359</v>
      </c>
      <c r="AW209" s="58">
        <f t="shared" si="228"/>
        <v>0.17610963863033957</v>
      </c>
      <c r="AY209" s="219">
        <v>7900</v>
      </c>
      <c r="AZ209" s="282">
        <f t="shared" si="229"/>
        <v>0</v>
      </c>
      <c r="BA209" s="282">
        <f t="shared" si="230"/>
        <v>2799.5658220551359</v>
      </c>
      <c r="BB209" s="282">
        <f t="shared" si="231"/>
        <v>18696.287</v>
      </c>
      <c r="BC209" s="58">
        <f t="shared" si="232"/>
        <v>0.17610963863033957</v>
      </c>
      <c r="BI209" s="219">
        <v>12071</v>
      </c>
      <c r="BJ209" s="65">
        <f t="shared" si="237"/>
        <v>4171</v>
      </c>
      <c r="BK209" s="65">
        <f t="shared" si="238"/>
        <v>12071</v>
      </c>
      <c r="BL209" s="576">
        <f>'FY 2013 by Agency'!AS209*Inflator!$E$13</f>
        <v>19386.628997863903</v>
      </c>
      <c r="BM209" s="52">
        <f t="shared" si="239"/>
        <v>3489.907819919039</v>
      </c>
      <c r="BN209" s="51">
        <f t="shared" si="233"/>
        <v>0.21953632958983657</v>
      </c>
      <c r="BO209" s="52">
        <f>'FY 2013 by Agency'!AX209*Inflator!$E$13</f>
        <v>12516.709795544708</v>
      </c>
      <c r="BP209" s="52">
        <f t="shared" si="247"/>
        <v>-3380.0113824001564</v>
      </c>
      <c r="BQ209" s="51">
        <f t="shared" si="248"/>
        <v>-0.21262317836269215</v>
      </c>
      <c r="BR209" s="52">
        <f>'FY 2013 by Agency'!BE209*Inflator!$E$14</f>
        <v>37995.910421021203</v>
      </c>
      <c r="BS209" s="52">
        <f t="shared" si="249"/>
        <v>25479.200625476493</v>
      </c>
      <c r="BT209" s="51">
        <f t="shared" si="250"/>
        <v>2.035614873370776</v>
      </c>
      <c r="BU209" s="52">
        <f>'FY 2013 by Agency'!BL209*Inflator!$E$14</f>
        <v>37995.910421021203</v>
      </c>
      <c r="BV209" s="52">
        <f t="shared" si="240"/>
        <v>18609.281423157299</v>
      </c>
      <c r="BW209" s="39">
        <v>31533</v>
      </c>
      <c r="BX209" s="39">
        <f>'FY 2013 by Agency'!BV209*Inflator!E15</f>
        <v>31533</v>
      </c>
      <c r="BY209" s="39">
        <f t="shared" si="241"/>
        <v>-6462.9104210212026</v>
      </c>
      <c r="BZ209" s="51">
        <f t="shared" si="242"/>
        <v>-0.17009489572450417</v>
      </c>
      <c r="CB209" s="39"/>
    </row>
    <row r="210" spans="1:80" ht="18" customHeight="1">
      <c r="A210" s="57" t="s">
        <v>40</v>
      </c>
      <c r="B210" s="326">
        <f>'FY 2013 by Agency'!B210*Inflator!$E$2</f>
        <v>0</v>
      </c>
      <c r="C210" s="326">
        <f>'FY 2013 by Agency'!C210*Inflator!$E$3</f>
        <v>0</v>
      </c>
      <c r="D210" s="326">
        <f t="shared" si="243"/>
        <v>0</v>
      </c>
      <c r="E210" s="329" t="s">
        <v>78</v>
      </c>
      <c r="F210" s="10">
        <f>'FY 2013 by Agency'!F210*Inflator!$E$4</f>
        <v>0</v>
      </c>
      <c r="G210" s="10">
        <f t="shared" si="244"/>
        <v>0</v>
      </c>
      <c r="H210" s="329" t="s">
        <v>78</v>
      </c>
      <c r="I210" s="10">
        <f>'FY 2013 by Agency'!I210*Inflator!$E$5</f>
        <v>0</v>
      </c>
      <c r="J210" s="10">
        <f t="shared" si="245"/>
        <v>0</v>
      </c>
      <c r="K210" s="329" t="s">
        <v>78</v>
      </c>
      <c r="L210" s="10">
        <f>'FY 2013 by Agency'!L210*Inflator!$E$6</f>
        <v>0</v>
      </c>
      <c r="M210" s="10">
        <f t="shared" si="246"/>
        <v>0</v>
      </c>
      <c r="N210" s="329" t="s">
        <v>78</v>
      </c>
      <c r="O210" s="10">
        <f>'FY 2013 by Agency'!O210*Inflator!$E$7</f>
        <v>0</v>
      </c>
      <c r="P210" s="69">
        <f t="shared" si="234"/>
        <v>0</v>
      </c>
      <c r="Q210" s="60" t="s">
        <v>78</v>
      </c>
      <c r="R210" s="52">
        <f>'FY 2013 by Agency'!R210*Inflator!$E$8</f>
        <v>0</v>
      </c>
      <c r="S210" s="52">
        <f t="shared" si="251"/>
        <v>0</v>
      </c>
      <c r="T210" s="60" t="s">
        <v>78</v>
      </c>
      <c r="U210" s="52">
        <f>'FY 2013 by Agency'!U210*Inflator!$E$9</f>
        <v>0</v>
      </c>
      <c r="V210" s="52">
        <f t="shared" si="235"/>
        <v>0</v>
      </c>
      <c r="W210" s="60" t="s">
        <v>78</v>
      </c>
      <c r="X210" s="52">
        <f>'FY 2013 by Agency'!X210*Inflator!$E$10</f>
        <v>0</v>
      </c>
      <c r="Y210" s="39">
        <f t="shared" si="236"/>
        <v>0</v>
      </c>
      <c r="Z210" s="61" t="s">
        <v>127</v>
      </c>
      <c r="AA210" s="52">
        <f>'FY 2013 by Agency'!AA210*Inflator!$E$11</f>
        <v>0</v>
      </c>
      <c r="AB210" s="39">
        <f t="shared" si="221"/>
        <v>0</v>
      </c>
      <c r="AC210" s="58" t="e">
        <f t="shared" si="222"/>
        <v>#DIV/0!</v>
      </c>
      <c r="AD210" s="52" t="e">
        <f>'FY 2013 by Agency'!AD210*Inflator!#REF!</f>
        <v>#REF!</v>
      </c>
      <c r="AE210" s="52">
        <f>'FY 2013 by Agency'!AE210*Inflator!$B$8</f>
        <v>0</v>
      </c>
      <c r="AF210" s="52">
        <f>'FY 2013 by Agency'!AF210*Inflator!$E$12</f>
        <v>0</v>
      </c>
      <c r="AG210" s="52">
        <f t="shared" si="223"/>
        <v>0</v>
      </c>
      <c r="AH210" s="58" t="e">
        <f t="shared" si="224"/>
        <v>#DIV/0!</v>
      </c>
      <c r="AI210" s="52">
        <f>'FY 2013 by Agency'!AI210*Inflator!$B$8</f>
        <v>0</v>
      </c>
      <c r="AJ210" s="52">
        <f>'FY 2013 by Agency'!AJ210*Inflator!$B$8</f>
        <v>0</v>
      </c>
      <c r="AK210" s="52">
        <f>'FY 2013 by Agency'!AK210</f>
        <v>0</v>
      </c>
      <c r="AL210" s="52">
        <f>'FY 2013 by Agency'!AL210</f>
        <v>0</v>
      </c>
      <c r="AM210" s="52">
        <f>'FY 2013 by Agency'!AM210</f>
        <v>0</v>
      </c>
      <c r="AN210" s="52">
        <f>'FY 2013 by Agency'!AN210</f>
        <v>0</v>
      </c>
      <c r="AO210" s="52">
        <f>'FY 2013 by Agency'!AO210</f>
        <v>0</v>
      </c>
      <c r="AP210" s="52">
        <f>'FY 2013 by Agency'!AP210</f>
        <v>0</v>
      </c>
      <c r="AQ210" s="52">
        <f>'FY 2013 by Agency'!AQ210</f>
        <v>0</v>
      </c>
      <c r="AR210" s="52">
        <f>'FY 2013 by Agency'!AR210</f>
        <v>0</v>
      </c>
      <c r="AS210" s="52">
        <f>'FY 2013 by Agency'!AS210</f>
        <v>0</v>
      </c>
      <c r="AT210" s="52" t="e">
        <f t="shared" si="225"/>
        <v>#REF!</v>
      </c>
      <c r="AU210" s="58" t="e">
        <f t="shared" si="226"/>
        <v>#REF!</v>
      </c>
      <c r="AV210" s="52">
        <f t="shared" si="227"/>
        <v>0</v>
      </c>
      <c r="AW210" s="58" t="e">
        <f t="shared" si="228"/>
        <v>#DIV/0!</v>
      </c>
      <c r="AZ210" s="282">
        <f t="shared" si="229"/>
        <v>0</v>
      </c>
      <c r="BA210" s="282">
        <f t="shared" si="230"/>
        <v>0</v>
      </c>
      <c r="BB210" s="282">
        <f t="shared" si="231"/>
        <v>0</v>
      </c>
      <c r="BC210" s="58" t="e">
        <f t="shared" si="232"/>
        <v>#DIV/0!</v>
      </c>
      <c r="BI210" s="65"/>
      <c r="BJ210" s="65">
        <f t="shared" si="237"/>
        <v>0</v>
      </c>
      <c r="BK210" s="65">
        <f t="shared" si="238"/>
        <v>0</v>
      </c>
      <c r="BL210" s="576">
        <f>'FY 2013 by Agency'!AS210*Inflator!$E$13</f>
        <v>0</v>
      </c>
      <c r="BM210" s="52">
        <f t="shared" si="239"/>
        <v>0</v>
      </c>
      <c r="BN210" s="51" t="e">
        <f t="shared" si="233"/>
        <v>#DIV/0!</v>
      </c>
      <c r="BO210" s="52">
        <f>'FY 2013 by Agency'!AX210*Inflator!$E$13</f>
        <v>0</v>
      </c>
      <c r="BP210" s="52">
        <f t="shared" si="247"/>
        <v>0</v>
      </c>
      <c r="BQ210" s="51" t="e">
        <f t="shared" si="248"/>
        <v>#DIV/0!</v>
      </c>
      <c r="BR210" s="52">
        <f>'FY 2013 by Agency'!BE210*Inflator!$E$14</f>
        <v>0</v>
      </c>
      <c r="BS210" s="52">
        <f t="shared" si="249"/>
        <v>0</v>
      </c>
      <c r="BT210" s="51" t="e">
        <f t="shared" si="250"/>
        <v>#DIV/0!</v>
      </c>
      <c r="BU210" s="52">
        <f>'FY 2013 by Agency'!BL210*Inflator!$E$14</f>
        <v>0</v>
      </c>
      <c r="BV210" s="52">
        <f t="shared" si="240"/>
        <v>0</v>
      </c>
      <c r="BW210" s="39">
        <v>0</v>
      </c>
      <c r="BX210" s="39">
        <f>'FY 2013 by Agency'!BV210*Inflator!E15</f>
        <v>0</v>
      </c>
      <c r="BY210" s="39">
        <f t="shared" si="241"/>
        <v>0</v>
      </c>
      <c r="BZ210" s="51" t="e">
        <f t="shared" si="242"/>
        <v>#DIV/0!</v>
      </c>
      <c r="CB210" s="39"/>
    </row>
    <row r="211" spans="1:80" s="63" customFormat="1" ht="18" customHeight="1">
      <c r="A211" s="53" t="s">
        <v>75</v>
      </c>
      <c r="B211" s="329" t="s">
        <v>78</v>
      </c>
      <c r="C211" s="329" t="s">
        <v>78</v>
      </c>
      <c r="D211" s="329" t="s">
        <v>78</v>
      </c>
      <c r="E211" s="329" t="s">
        <v>78</v>
      </c>
      <c r="F211" s="329" t="s">
        <v>78</v>
      </c>
      <c r="G211" s="329" t="s">
        <v>78</v>
      </c>
      <c r="H211" s="329" t="s">
        <v>78</v>
      </c>
      <c r="I211" s="329" t="s">
        <v>78</v>
      </c>
      <c r="J211" s="329" t="s">
        <v>78</v>
      </c>
      <c r="K211" s="329" t="s">
        <v>78</v>
      </c>
      <c r="L211" s="10">
        <f>'FY 2013 by Agency'!L211*Inflator!$E$6</f>
        <v>0</v>
      </c>
      <c r="M211" s="329" t="s">
        <v>78</v>
      </c>
      <c r="N211" s="329" t="s">
        <v>78</v>
      </c>
      <c r="O211" s="10">
        <f>'FY 2013 by Agency'!O211*Inflator!$E$7</f>
        <v>5902.5448785638855</v>
      </c>
      <c r="P211" s="69">
        <f t="shared" si="234"/>
        <v>5902.5448785638855</v>
      </c>
      <c r="Q211" s="60" t="s">
        <v>78</v>
      </c>
      <c r="R211" s="52">
        <f>'FY 2013 by Agency'!R211*Inflator!$E$8</f>
        <v>10606.927359131025</v>
      </c>
      <c r="S211" s="52">
        <f t="shared" si="251"/>
        <v>4704.3824805671393</v>
      </c>
      <c r="T211" s="58">
        <f>S211/O211</f>
        <v>0.79700918457255943</v>
      </c>
      <c r="U211" s="52">
        <f>'FY 2013 by Agency'!U211*Inflator!$E$9</f>
        <v>7217.3700265251982</v>
      </c>
      <c r="V211" s="52">
        <f t="shared" si="235"/>
        <v>-3389.5573326058266</v>
      </c>
      <c r="W211" s="60">
        <f>V211/R211</f>
        <v>-0.31956071893788446</v>
      </c>
      <c r="X211" s="52">
        <f>'FY 2013 by Agency'!X211*Inflator!$E$10</f>
        <v>17498.243251825977</v>
      </c>
      <c r="Y211" s="39">
        <f t="shared" si="236"/>
        <v>10280.87322530078</v>
      </c>
      <c r="Z211" s="58">
        <f>Y211/U211</f>
        <v>1.4244625379489522</v>
      </c>
      <c r="AA211" s="52">
        <f>'FY 2013 by Agency'!AA211*Inflator!$E$11</f>
        <v>16237.655304237021</v>
      </c>
      <c r="AB211" s="39">
        <f t="shared" si="221"/>
        <v>-1260.587947588956</v>
      </c>
      <c r="AC211" s="58">
        <f t="shared" si="222"/>
        <v>-7.2040828867629955E-2</v>
      </c>
      <c r="AD211" s="52" t="e">
        <f>'FY 2013 by Agency'!AD211*Inflator!#REF!</f>
        <v>#REF!</v>
      </c>
      <c r="AE211" s="52">
        <f>'FY 2013 by Agency'!AE211*Inflator!$B$8</f>
        <v>0</v>
      </c>
      <c r="AF211" s="52">
        <f>'FY 2013 by Agency'!AF211*Inflator!$E$12</f>
        <v>6934.3897243107776</v>
      </c>
      <c r="AG211" s="52">
        <f t="shared" si="223"/>
        <v>-9303.2655799262429</v>
      </c>
      <c r="AH211" s="58">
        <f t="shared" si="224"/>
        <v>-0.57294390142021723</v>
      </c>
      <c r="AI211" s="52">
        <f>'FY 2013 by Agency'!AI211*Inflator!$B$8</f>
        <v>0</v>
      </c>
      <c r="AJ211" s="52">
        <f>'FY 2013 by Agency'!AJ211*Inflator!$B$8</f>
        <v>0</v>
      </c>
      <c r="AK211" s="52">
        <f>'FY 2013 by Agency'!AK211</f>
        <v>15000</v>
      </c>
      <c r="AL211" s="52">
        <f>'FY 2013 by Agency'!AL211</f>
        <v>0</v>
      </c>
      <c r="AM211" s="52">
        <f>'FY 2013 by Agency'!AM211</f>
        <v>15000</v>
      </c>
      <c r="AN211" s="52">
        <f>'FY 2013 by Agency'!AN211</f>
        <v>15000</v>
      </c>
      <c r="AO211" s="52">
        <f>'FY 2013 by Agency'!AO211</f>
        <v>15000</v>
      </c>
      <c r="AP211" s="52">
        <f>'FY 2013 by Agency'!AP211</f>
        <v>0</v>
      </c>
      <c r="AQ211" s="52">
        <f>'FY 2013 by Agency'!AQ211</f>
        <v>0</v>
      </c>
      <c r="AR211" s="52">
        <f>'FY 2013 by Agency'!AR211</f>
        <v>0</v>
      </c>
      <c r="AS211" s="52">
        <f>'FY 2013 by Agency'!AS211</f>
        <v>5884.4930599999998</v>
      </c>
      <c r="AT211" s="52" t="e">
        <f t="shared" si="225"/>
        <v>#REF!</v>
      </c>
      <c r="AU211" s="58" t="e">
        <f t="shared" si="226"/>
        <v>#REF!</v>
      </c>
      <c r="AV211" s="52">
        <f t="shared" si="227"/>
        <v>-1049.8966643107779</v>
      </c>
      <c r="AW211" s="58">
        <f t="shared" si="228"/>
        <v>-0.15140433492366615</v>
      </c>
      <c r="AX211" s="287" t="s">
        <v>302</v>
      </c>
      <c r="AY211" s="65">
        <v>15000</v>
      </c>
      <c r="AZ211" s="282">
        <f t="shared" si="229"/>
        <v>0</v>
      </c>
      <c r="BA211" s="282">
        <f t="shared" si="230"/>
        <v>-1049.8966643107779</v>
      </c>
      <c r="BB211" s="282">
        <f t="shared" si="231"/>
        <v>5884.4930599999998</v>
      </c>
      <c r="BC211" s="58">
        <f t="shared" si="232"/>
        <v>-0.15140433492366612</v>
      </c>
      <c r="BD211" s="282"/>
      <c r="BE211" s="282"/>
      <c r="BI211" s="80">
        <v>15000</v>
      </c>
      <c r="BJ211" s="65">
        <f t="shared" si="237"/>
        <v>0</v>
      </c>
      <c r="BK211" s="65">
        <f t="shared" si="238"/>
        <v>15000</v>
      </c>
      <c r="BL211" s="576">
        <f>'FY 2013 by Agency'!AS211*Inflator!$E$13</f>
        <v>6101.7721751235895</v>
      </c>
      <c r="BM211" s="52">
        <f t="shared" si="239"/>
        <v>-832.61754918718816</v>
      </c>
      <c r="BN211" s="51">
        <f t="shared" si="233"/>
        <v>-0.12007077512072536</v>
      </c>
      <c r="BO211" s="52">
        <f>'FY 2013 by Agency'!AX211*Inflator!$E$13</f>
        <v>15553.860238022584</v>
      </c>
      <c r="BP211" s="52">
        <f t="shared" si="247"/>
        <v>8619.4705137118071</v>
      </c>
      <c r="BQ211" s="51">
        <f t="shared" si="248"/>
        <v>1.2430034734698319</v>
      </c>
      <c r="BR211" s="52">
        <f>'FY 2013 by Agency'!BE211*Inflator!$E$14</f>
        <v>6087.7873992236491</v>
      </c>
      <c r="BS211" s="52">
        <f t="shared" si="249"/>
        <v>-9466.0728387989348</v>
      </c>
      <c r="BT211" s="51">
        <f t="shared" si="250"/>
        <v>-0.6085995819647656</v>
      </c>
      <c r="BU211" s="69">
        <f>'FY 2013 by Agency'!BL211*Inflator!$E$14</f>
        <v>6087.7873992236491</v>
      </c>
      <c r="BV211" s="52">
        <f t="shared" si="240"/>
        <v>-13.98477589994036</v>
      </c>
      <c r="BW211" s="39">
        <v>6000</v>
      </c>
      <c r="BX211" s="39">
        <f>'FY 2013 by Agency'!BV211*Inflator!E15</f>
        <v>6000</v>
      </c>
      <c r="BY211" s="39">
        <f t="shared" si="241"/>
        <v>-87.787399223649118</v>
      </c>
      <c r="BZ211" s="51">
        <f t="shared" si="242"/>
        <v>-1.442024720423783E-2</v>
      </c>
      <c r="CB211" s="39"/>
    </row>
    <row r="212" spans="1:80" s="63" customFormat="1" ht="18" customHeight="1">
      <c r="A212" s="53" t="s">
        <v>81</v>
      </c>
      <c r="B212" s="329" t="s">
        <v>78</v>
      </c>
      <c r="C212" s="329" t="s">
        <v>78</v>
      </c>
      <c r="D212" s="329" t="s">
        <v>78</v>
      </c>
      <c r="E212" s="329" t="s">
        <v>78</v>
      </c>
      <c r="F212" s="329" t="s">
        <v>78</v>
      </c>
      <c r="G212" s="329" t="s">
        <v>78</v>
      </c>
      <c r="H212" s="329" t="s">
        <v>78</v>
      </c>
      <c r="I212" s="329" t="s">
        <v>78</v>
      </c>
      <c r="J212" s="329" t="s">
        <v>78</v>
      </c>
      <c r="K212" s="329" t="s">
        <v>78</v>
      </c>
      <c r="L212" s="10">
        <f>'FY 2013 by Agency'!L212*Inflator!$E$6</f>
        <v>81393.896037804428</v>
      </c>
      <c r="M212" s="329" t="s">
        <v>78</v>
      </c>
      <c r="N212" s="329" t="s">
        <v>78</v>
      </c>
      <c r="O212" s="10">
        <f>'FY 2013 by Agency'!O212*Inflator!$E$7</f>
        <v>0</v>
      </c>
      <c r="P212" s="69">
        <f t="shared" si="234"/>
        <v>-81393.896037804428</v>
      </c>
      <c r="Q212" s="58">
        <f>P212/L212</f>
        <v>-1</v>
      </c>
      <c r="R212" s="52">
        <f>'FY 2013 by Agency'!R212*Inflator!$E$8</f>
        <v>0</v>
      </c>
      <c r="S212" s="52">
        <f t="shared" si="251"/>
        <v>0</v>
      </c>
      <c r="T212" s="60" t="s">
        <v>78</v>
      </c>
      <c r="U212" s="52">
        <f>'FY 2013 by Agency'!U212*Inflator!$E$9</f>
        <v>0</v>
      </c>
      <c r="V212" s="52">
        <f t="shared" si="235"/>
        <v>0</v>
      </c>
      <c r="W212" s="60" t="s">
        <v>78</v>
      </c>
      <c r="X212" s="52">
        <f>'FY 2013 by Agency'!X212*Inflator!$E$10</f>
        <v>0</v>
      </c>
      <c r="Y212" s="39">
        <f t="shared" si="236"/>
        <v>0</v>
      </c>
      <c r="Z212" s="61" t="s">
        <v>127</v>
      </c>
      <c r="AA212" s="52">
        <f>'FY 2013 by Agency'!AA212*Inflator!$E$11</f>
        <v>0</v>
      </c>
      <c r="AB212" s="39">
        <f t="shared" si="221"/>
        <v>0</v>
      </c>
      <c r="AC212" s="58" t="e">
        <f t="shared" si="222"/>
        <v>#DIV/0!</v>
      </c>
      <c r="AD212" s="52" t="e">
        <f>'FY 2013 by Agency'!AD212*Inflator!#REF!</f>
        <v>#REF!</v>
      </c>
      <c r="AE212" s="52">
        <f>'FY 2013 by Agency'!AE212*Inflator!$B$8</f>
        <v>0</v>
      </c>
      <c r="AF212" s="52">
        <f>'FY 2013 by Agency'!AF212*Inflator!$E$12</f>
        <v>0</v>
      </c>
      <c r="AG212" s="52">
        <f t="shared" si="223"/>
        <v>0</v>
      </c>
      <c r="AH212" s="58" t="e">
        <f t="shared" si="224"/>
        <v>#DIV/0!</v>
      </c>
      <c r="AI212" s="52">
        <f>'FY 2013 by Agency'!AI212*Inflator!$B$8</f>
        <v>0</v>
      </c>
      <c r="AJ212" s="52">
        <f>'FY 2013 by Agency'!AJ212*Inflator!$B$8</f>
        <v>0</v>
      </c>
      <c r="AK212" s="52">
        <f>'FY 2013 by Agency'!AK212</f>
        <v>0</v>
      </c>
      <c r="AL212" s="52">
        <f>'FY 2013 by Agency'!AL212</f>
        <v>0</v>
      </c>
      <c r="AM212" s="52">
        <f>'FY 2013 by Agency'!AM212</f>
        <v>0</v>
      </c>
      <c r="AN212" s="52">
        <f>'FY 2013 by Agency'!AN212</f>
        <v>0</v>
      </c>
      <c r="AO212" s="52">
        <f>'FY 2013 by Agency'!AO212</f>
        <v>0</v>
      </c>
      <c r="AP212" s="52">
        <f>'FY 2013 by Agency'!AP212</f>
        <v>0</v>
      </c>
      <c r="AQ212" s="52">
        <f>'FY 2013 by Agency'!AQ212</f>
        <v>0</v>
      </c>
      <c r="AR212" s="52">
        <f>'FY 2013 by Agency'!AR212</f>
        <v>0</v>
      </c>
      <c r="AS212" s="52">
        <f>'FY 2013 by Agency'!AS212</f>
        <v>0</v>
      </c>
      <c r="AT212" s="52" t="e">
        <f t="shared" si="225"/>
        <v>#REF!</v>
      </c>
      <c r="AU212" s="58" t="e">
        <f t="shared" si="226"/>
        <v>#REF!</v>
      </c>
      <c r="AV212" s="52">
        <f t="shared" si="227"/>
        <v>0</v>
      </c>
      <c r="AW212" s="58" t="e">
        <f t="shared" si="228"/>
        <v>#DIV/0!</v>
      </c>
      <c r="AZ212" s="282">
        <f t="shared" si="229"/>
        <v>0</v>
      </c>
      <c r="BA212" s="282">
        <f t="shared" si="230"/>
        <v>0</v>
      </c>
      <c r="BB212" s="282">
        <f t="shared" si="231"/>
        <v>0</v>
      </c>
      <c r="BC212" s="58" t="e">
        <f t="shared" si="232"/>
        <v>#DIV/0!</v>
      </c>
      <c r="BD212" s="282"/>
      <c r="BE212" s="282"/>
      <c r="BI212" s="80"/>
      <c r="BJ212" s="65">
        <f t="shared" si="237"/>
        <v>0</v>
      </c>
      <c r="BK212" s="65">
        <f t="shared" si="238"/>
        <v>0</v>
      </c>
      <c r="BL212" s="576">
        <f>'FY 2013 by Agency'!AS212*Inflator!$E$13</f>
        <v>0</v>
      </c>
      <c r="BM212" s="52">
        <f t="shared" si="239"/>
        <v>0</v>
      </c>
      <c r="BN212" s="51" t="e">
        <f t="shared" si="233"/>
        <v>#DIV/0!</v>
      </c>
      <c r="BO212" s="52">
        <f>'FY 2013 by Agency'!AX212*Inflator!$E$13</f>
        <v>0</v>
      </c>
      <c r="BP212" s="52">
        <f t="shared" si="247"/>
        <v>0</v>
      </c>
      <c r="BQ212" s="51" t="e">
        <f t="shared" si="248"/>
        <v>#DIV/0!</v>
      </c>
      <c r="BR212" s="52">
        <f>'FY 2013 by Agency'!BE212*Inflator!$E$14</f>
        <v>0</v>
      </c>
      <c r="BS212" s="52">
        <f t="shared" si="249"/>
        <v>0</v>
      </c>
      <c r="BT212" s="51" t="e">
        <f t="shared" si="250"/>
        <v>#DIV/0!</v>
      </c>
      <c r="BU212" s="69">
        <f>'FY 2013 by Agency'!BL212*Inflator!$E$14</f>
        <v>0</v>
      </c>
      <c r="BV212" s="52">
        <f t="shared" si="240"/>
        <v>0</v>
      </c>
      <c r="BW212" s="39">
        <v>0</v>
      </c>
      <c r="BX212" s="39">
        <f>'FY 2013 by Agency'!BV212*Inflator!E15</f>
        <v>0</v>
      </c>
      <c r="BY212" s="39">
        <f t="shared" si="241"/>
        <v>0</v>
      </c>
      <c r="BZ212" s="51" t="e">
        <f t="shared" si="242"/>
        <v>#DIV/0!</v>
      </c>
      <c r="CB212" s="39"/>
    </row>
    <row r="213" spans="1:80" s="63" customFormat="1" ht="18" customHeight="1">
      <c r="A213" s="53" t="s">
        <v>88</v>
      </c>
      <c r="B213" s="329" t="s">
        <v>78</v>
      </c>
      <c r="C213" s="329" t="s">
        <v>78</v>
      </c>
      <c r="D213" s="329" t="s">
        <v>78</v>
      </c>
      <c r="E213" s="329" t="s">
        <v>78</v>
      </c>
      <c r="F213" s="329" t="s">
        <v>78</v>
      </c>
      <c r="G213" s="329" t="s">
        <v>78</v>
      </c>
      <c r="H213" s="329" t="s">
        <v>78</v>
      </c>
      <c r="I213" s="329" t="s">
        <v>78</v>
      </c>
      <c r="J213" s="329" t="s">
        <v>78</v>
      </c>
      <c r="K213" s="329" t="s">
        <v>78</v>
      </c>
      <c r="L213" s="10">
        <f>'FY 2013 by Agency'!L213*Inflator!$E$6</f>
        <v>0</v>
      </c>
      <c r="M213" s="329" t="s">
        <v>78</v>
      </c>
      <c r="N213" s="329" t="s">
        <v>78</v>
      </c>
      <c r="O213" s="10">
        <f>'FY 2013 by Agency'!O213*Inflator!$E$7</f>
        <v>0</v>
      </c>
      <c r="P213" s="69">
        <f t="shared" si="234"/>
        <v>0</v>
      </c>
      <c r="Q213" s="70" t="s">
        <v>78</v>
      </c>
      <c r="R213" s="52">
        <f>'FY 2013 by Agency'!R213*Inflator!$E$8</f>
        <v>159173.11608961303</v>
      </c>
      <c r="S213" s="52">
        <f t="shared" si="251"/>
        <v>159173.11608961303</v>
      </c>
      <c r="T213" s="70" t="s">
        <v>78</v>
      </c>
      <c r="U213" s="52">
        <f>'FY 2013 by Agency'!U213*Inflator!$E$9</f>
        <v>5295.2917771883285</v>
      </c>
      <c r="V213" s="69">
        <f t="shared" si="235"/>
        <v>-153877.82431242469</v>
      </c>
      <c r="W213" s="72">
        <f>V213/R213</f>
        <v>-0.96673249913504777</v>
      </c>
      <c r="X213" s="52">
        <f>'FY 2013 by Agency'!X213*Inflator!$E$10</f>
        <v>119676.71832327725</v>
      </c>
      <c r="Y213" s="39">
        <f t="shared" si="236"/>
        <v>114381.42654608893</v>
      </c>
      <c r="Z213" s="58">
        <f>Y213/U213</f>
        <v>21.600589988040788</v>
      </c>
      <c r="AA213" s="52">
        <f>'FY 2013 by Agency'!AA213*Inflator!$E$11</f>
        <v>87791.589678241493</v>
      </c>
      <c r="AB213" s="39">
        <f t="shared" si="221"/>
        <v>-31885.128645035758</v>
      </c>
      <c r="AC213" s="58">
        <f t="shared" si="222"/>
        <v>-0.26642716387748799</v>
      </c>
      <c r="AD213" s="52" t="e">
        <f>'FY 2013 by Agency'!AD213*Inflator!#REF!</f>
        <v>#REF!</v>
      </c>
      <c r="AE213" s="52">
        <f>'FY 2013 by Agency'!AE213*Inflator!$B$8</f>
        <v>0</v>
      </c>
      <c r="AF213" s="52">
        <f>'FY 2013 by Agency'!AF213*Inflator!$E$12</f>
        <v>96553.446115288229</v>
      </c>
      <c r="AG213" s="52">
        <f t="shared" si="223"/>
        <v>8761.8564370467357</v>
      </c>
      <c r="AH213" s="58">
        <f t="shared" si="224"/>
        <v>9.9802913572463736E-2</v>
      </c>
      <c r="AI213" s="52">
        <f>'FY 2013 by Agency'!AI213*Inflator!$B$8</f>
        <v>0</v>
      </c>
      <c r="AJ213" s="52">
        <f>'FY 2013 by Agency'!AJ213*Inflator!$B$8</f>
        <v>0</v>
      </c>
      <c r="AK213" s="52">
        <f>'FY 2013 by Agency'!AK213</f>
        <v>96700</v>
      </c>
      <c r="AL213" s="52">
        <f>'FY 2013 by Agency'!AL213</f>
        <v>0</v>
      </c>
      <c r="AM213" s="52">
        <f>'FY 2013 by Agency'!AM213</f>
        <v>96700</v>
      </c>
      <c r="AN213" s="52">
        <f>'FY 2013 by Agency'!AN213</f>
        <v>98700</v>
      </c>
      <c r="AO213" s="52">
        <f>'FY 2013 by Agency'!AO213</f>
        <v>98700</v>
      </c>
      <c r="AP213" s="52">
        <f>'FY 2013 by Agency'!AP213</f>
        <v>0</v>
      </c>
      <c r="AQ213" s="52">
        <f>'FY 2013 by Agency'!AQ213</f>
        <v>0</v>
      </c>
      <c r="AR213" s="52">
        <f>'FY 2013 by Agency'!AR213</f>
        <v>0</v>
      </c>
      <c r="AS213" s="52">
        <f>'FY 2013 by Agency'!AS213</f>
        <v>94200</v>
      </c>
      <c r="AT213" s="52" t="e">
        <f t="shared" si="225"/>
        <v>#REF!</v>
      </c>
      <c r="AU213" s="58" t="e">
        <f t="shared" si="226"/>
        <v>#REF!</v>
      </c>
      <c r="AV213" s="52">
        <f t="shared" si="227"/>
        <v>-2353.4461152882286</v>
      </c>
      <c r="AW213" s="58">
        <f t="shared" si="228"/>
        <v>-2.4374542908371502E-2</v>
      </c>
      <c r="AX213" s="281" t="s">
        <v>313</v>
      </c>
      <c r="AY213" s="65">
        <v>98700</v>
      </c>
      <c r="AZ213" s="282">
        <f t="shared" si="229"/>
        <v>0</v>
      </c>
      <c r="BA213" s="282">
        <f t="shared" si="230"/>
        <v>-2353.4461152882286</v>
      </c>
      <c r="BB213" s="282">
        <f t="shared" si="231"/>
        <v>94200</v>
      </c>
      <c r="BC213" s="58">
        <f t="shared" si="232"/>
        <v>-2.4374542908371488E-2</v>
      </c>
      <c r="BD213" s="282"/>
      <c r="BE213" s="282"/>
      <c r="BI213" s="80">
        <v>98700</v>
      </c>
      <c r="BJ213" s="65">
        <f t="shared" si="237"/>
        <v>0</v>
      </c>
      <c r="BK213" s="65">
        <f t="shared" si="238"/>
        <v>98700</v>
      </c>
      <c r="BL213" s="576">
        <f>'FY 2013 by Agency'!AS213*Inflator!$E$13</f>
        <v>97678.242294781827</v>
      </c>
      <c r="BM213" s="52">
        <f t="shared" si="239"/>
        <v>1124.7961794935982</v>
      </c>
      <c r="BN213" s="51">
        <f t="shared" si="233"/>
        <v>1.1649466950672602E-2</v>
      </c>
      <c r="BO213" s="52">
        <f>'FY 2013 by Agency'!AX213*Inflator!$E$13</f>
        <v>102344.40036618861</v>
      </c>
      <c r="BP213" s="52">
        <f t="shared" si="247"/>
        <v>5790.9542509003804</v>
      </c>
      <c r="BQ213" s="51">
        <f t="shared" si="248"/>
        <v>5.9976670785895886E-2</v>
      </c>
      <c r="BR213" s="52">
        <f>'FY 2013 by Agency'!BE213*Inflator!$E$14</f>
        <v>111406.50940579278</v>
      </c>
      <c r="BS213" s="52">
        <f t="shared" si="249"/>
        <v>9062.1090396041691</v>
      </c>
      <c r="BT213" s="51">
        <f t="shared" si="250"/>
        <v>8.8545235569116754E-2</v>
      </c>
      <c r="BU213" s="69">
        <f>'FY 2013 by Agency'!BL213*Inflator!$E$14</f>
        <v>111406.50940579278</v>
      </c>
      <c r="BV213" s="52">
        <f t="shared" si="240"/>
        <v>13728.267111010951</v>
      </c>
      <c r="BW213" s="39">
        <v>107800</v>
      </c>
      <c r="BX213" s="39">
        <f>'FY 2013 by Agency'!BV213*Inflator!E15</f>
        <v>107800</v>
      </c>
      <c r="BY213" s="39">
        <f t="shared" si="241"/>
        <v>-3606.5094057927781</v>
      </c>
      <c r="BZ213" s="51">
        <f t="shared" si="242"/>
        <v>-3.2372519568459358E-2</v>
      </c>
      <c r="CB213" s="39"/>
    </row>
    <row r="214" spans="1:80" s="63" customFormat="1" ht="18" customHeight="1">
      <c r="A214" s="53" t="s">
        <v>105</v>
      </c>
      <c r="B214" s="326">
        <f>'FY 2013 by Agency'!B214*Inflator!$E$2</f>
        <v>0</v>
      </c>
      <c r="C214" s="326">
        <f>'FY 2013 by Agency'!C214*Inflator!$E$3</f>
        <v>0</v>
      </c>
      <c r="D214" s="326">
        <f t="shared" si="243"/>
        <v>0</v>
      </c>
      <c r="E214" s="329" t="s">
        <v>78</v>
      </c>
      <c r="F214" s="10">
        <f>'FY 2013 by Agency'!F214*Inflator!$E$4</f>
        <v>0</v>
      </c>
      <c r="G214" s="10">
        <f t="shared" si="244"/>
        <v>0</v>
      </c>
      <c r="H214" s="329" t="s">
        <v>78</v>
      </c>
      <c r="I214" s="10">
        <f>'FY 2013 by Agency'!I214*Inflator!$E$5</f>
        <v>0</v>
      </c>
      <c r="J214" s="10">
        <f t="shared" si="245"/>
        <v>0</v>
      </c>
      <c r="K214" s="329" t="s">
        <v>78</v>
      </c>
      <c r="L214" s="10">
        <f>'FY 2013 by Agency'!L214*Inflator!$E$6</f>
        <v>0</v>
      </c>
      <c r="M214" s="10">
        <f t="shared" si="246"/>
        <v>0</v>
      </c>
      <c r="N214" s="329" t="s">
        <v>78</v>
      </c>
      <c r="O214" s="10">
        <f>'FY 2013 by Agency'!O214*Inflator!$E$7</f>
        <v>0</v>
      </c>
      <c r="P214" s="69">
        <f t="shared" si="234"/>
        <v>0</v>
      </c>
      <c r="Q214" s="60" t="s">
        <v>78</v>
      </c>
      <c r="R214" s="52">
        <f>'FY 2013 by Agency'!R214*Inflator!$E$8</f>
        <v>0</v>
      </c>
      <c r="S214" s="52">
        <f t="shared" si="251"/>
        <v>0</v>
      </c>
      <c r="T214" s="60" t="s">
        <v>78</v>
      </c>
      <c r="U214" s="52">
        <f>'FY 2013 by Agency'!U214*Inflator!$E$9</f>
        <v>0</v>
      </c>
      <c r="V214" s="69">
        <f t="shared" si="235"/>
        <v>0</v>
      </c>
      <c r="W214" s="60" t="s">
        <v>78</v>
      </c>
      <c r="X214" s="52">
        <f>'FY 2013 by Agency'!X214*Inflator!$E$10</f>
        <v>2710.6306764052083</v>
      </c>
      <c r="Y214" s="39">
        <f t="shared" si="236"/>
        <v>2710.6306764052083</v>
      </c>
      <c r="Z214" s="61" t="s">
        <v>127</v>
      </c>
      <c r="AA214" s="52">
        <f>'FY 2013 by Agency'!AA214*Inflator!$E$11</f>
        <v>6495.0621216948084</v>
      </c>
      <c r="AB214" s="39">
        <f t="shared" si="221"/>
        <v>3784.4314452896001</v>
      </c>
      <c r="AC214" s="58">
        <f t="shared" si="222"/>
        <v>1.3961442546309732</v>
      </c>
      <c r="AD214" s="52" t="e">
        <f>'FY 2013 by Agency'!AD214*Inflator!#REF!</f>
        <v>#REF!</v>
      </c>
      <c r="AE214" s="52">
        <f>'FY 2013 by Agency'!AE214*Inflator!$B$8</f>
        <v>0</v>
      </c>
      <c r="AF214" s="52">
        <f>'FY 2013 by Agency'!AF214*Inflator!$E$12</f>
        <v>2287.6885964912285</v>
      </c>
      <c r="AG214" s="52">
        <f t="shared" si="223"/>
        <v>-4207.3735252035804</v>
      </c>
      <c r="AH214" s="58">
        <f t="shared" si="224"/>
        <v>-0.64778033625731002</v>
      </c>
      <c r="AI214" s="52">
        <f>'FY 2013 by Agency'!AI214*Inflator!$B$8</f>
        <v>0</v>
      </c>
      <c r="AJ214" s="52">
        <f>'FY 2013 by Agency'!AJ214*Inflator!$B$8</f>
        <v>0</v>
      </c>
      <c r="AK214" s="52">
        <f>'FY 2013 by Agency'!AK214</f>
        <v>0</v>
      </c>
      <c r="AL214" s="52">
        <f>'FY 2013 by Agency'!AL214</f>
        <v>0</v>
      </c>
      <c r="AM214" s="52">
        <f>'FY 2013 by Agency'!AM214</f>
        <v>0</v>
      </c>
      <c r="AN214" s="52">
        <f>'FY 2013 by Agency'!AN214</f>
        <v>0</v>
      </c>
      <c r="AO214" s="52">
        <f>'FY 2013 by Agency'!AO214</f>
        <v>7574</v>
      </c>
      <c r="AP214" s="52">
        <f>'FY 2013 by Agency'!AP214</f>
        <v>0</v>
      </c>
      <c r="AQ214" s="52">
        <f>'FY 2013 by Agency'!AQ214</f>
        <v>0</v>
      </c>
      <c r="AR214" s="52">
        <f>'FY 2013 by Agency'!AR214</f>
        <v>0</v>
      </c>
      <c r="AS214" s="52">
        <f>'FY 2013 by Agency'!AS214</f>
        <v>4782.4245799999999</v>
      </c>
      <c r="AT214" s="52" t="e">
        <f t="shared" si="225"/>
        <v>#REF!</v>
      </c>
      <c r="AU214" s="58" t="e">
        <f t="shared" si="226"/>
        <v>#REF!</v>
      </c>
      <c r="AV214" s="52">
        <f t="shared" si="227"/>
        <v>2494.7359835087714</v>
      </c>
      <c r="AW214" s="58">
        <f t="shared" si="228"/>
        <v>1.0905050570847381</v>
      </c>
      <c r="AX214" s="284" t="s">
        <v>304</v>
      </c>
      <c r="AY214" s="65">
        <v>7574</v>
      </c>
      <c r="AZ214" s="282">
        <f t="shared" si="229"/>
        <v>0</v>
      </c>
      <c r="BA214" s="282">
        <f t="shared" si="230"/>
        <v>2494.7359835087714</v>
      </c>
      <c r="BB214" s="282">
        <f t="shared" si="231"/>
        <v>4782.4245799999999</v>
      </c>
      <c r="BC214" s="58">
        <f t="shared" si="232"/>
        <v>1.0905050570847381</v>
      </c>
      <c r="BD214" s="282"/>
      <c r="BE214" s="282"/>
      <c r="BI214" s="80">
        <v>7574</v>
      </c>
      <c r="BJ214" s="65">
        <f t="shared" si="237"/>
        <v>0</v>
      </c>
      <c r="BK214" s="65">
        <f t="shared" si="238"/>
        <v>7574</v>
      </c>
      <c r="BL214" s="576">
        <f>'FY 2013 by Agency'!AS214*Inflator!$E$13</f>
        <v>4959.0109010802571</v>
      </c>
      <c r="BM214" s="52">
        <f t="shared" si="239"/>
        <v>2671.3223045890286</v>
      </c>
      <c r="BN214" s="51">
        <f t="shared" si="233"/>
        <v>1.1676948989850293</v>
      </c>
      <c r="BO214" s="52">
        <f>'FY 2013 by Agency'!AX214*Inflator!$E$13</f>
        <v>7853.6624961855368</v>
      </c>
      <c r="BP214" s="52">
        <f t="shared" si="247"/>
        <v>5565.9738996943088</v>
      </c>
      <c r="BQ214" s="51">
        <f t="shared" si="248"/>
        <v>2.4330120402886966</v>
      </c>
      <c r="BR214" s="52">
        <f>'FY 2013 by Agency'!BE214*Inflator!$E$14</f>
        <v>6788.8975813675734</v>
      </c>
      <c r="BS214" s="52">
        <f t="shared" si="249"/>
        <v>-1064.7649148179635</v>
      </c>
      <c r="BT214" s="51">
        <f t="shared" si="250"/>
        <v>-0.13557558850219392</v>
      </c>
      <c r="BU214" s="69">
        <f>'FY 2013 by Agency'!BL214*Inflator!$E$14</f>
        <v>6788.8975813675734</v>
      </c>
      <c r="BV214" s="52">
        <f t="shared" si="240"/>
        <v>1829.8866802873163</v>
      </c>
      <c r="BW214" s="39">
        <v>8222</v>
      </c>
      <c r="BX214" s="39">
        <f>'FY 2013 by Agency'!BV214*Inflator!E15</f>
        <v>8222</v>
      </c>
      <c r="BY214" s="39">
        <f t="shared" si="241"/>
        <v>1433.1024186324266</v>
      </c>
      <c r="BZ214" s="51">
        <f t="shared" si="242"/>
        <v>0.21109501232801611</v>
      </c>
      <c r="CB214" s="39"/>
    </row>
    <row r="215" spans="1:80" s="63" customFormat="1" ht="18" customHeight="1">
      <c r="A215" s="245" t="s">
        <v>478</v>
      </c>
      <c r="B215" s="326">
        <f>'FY 2013 by Agency'!B215*Inflator!$E$2</f>
        <v>0</v>
      </c>
      <c r="C215" s="326">
        <f>'FY 2013 by Agency'!C215*Inflator!$E$3</f>
        <v>0</v>
      </c>
      <c r="D215" s="326">
        <f t="shared" si="243"/>
        <v>0</v>
      </c>
      <c r="E215" s="329" t="s">
        <v>78</v>
      </c>
      <c r="F215" s="10">
        <f>'FY 2013 by Agency'!F215*Inflator!$E$4</f>
        <v>0</v>
      </c>
      <c r="G215" s="10">
        <f t="shared" si="244"/>
        <v>0</v>
      </c>
      <c r="H215" s="329" t="s">
        <v>78</v>
      </c>
      <c r="I215" s="10">
        <f>'FY 2013 by Agency'!I215*Inflator!$E$5</f>
        <v>0</v>
      </c>
      <c r="J215" s="10">
        <f t="shared" si="245"/>
        <v>0</v>
      </c>
      <c r="K215" s="329" t="s">
        <v>78</v>
      </c>
      <c r="L215" s="329" t="s">
        <v>78</v>
      </c>
      <c r="M215" s="329" t="s">
        <v>78</v>
      </c>
      <c r="N215" s="329" t="s">
        <v>78</v>
      </c>
      <c r="O215" s="329" t="s">
        <v>78</v>
      </c>
      <c r="P215" s="329" t="s">
        <v>78</v>
      </c>
      <c r="Q215" s="329" t="s">
        <v>78</v>
      </c>
      <c r="R215" s="329" t="s">
        <v>78</v>
      </c>
      <c r="S215" s="329" t="s">
        <v>78</v>
      </c>
      <c r="T215" s="329" t="s">
        <v>78</v>
      </c>
      <c r="U215" s="329" t="s">
        <v>78</v>
      </c>
      <c r="V215" s="329" t="s">
        <v>78</v>
      </c>
      <c r="W215" s="329" t="s">
        <v>78</v>
      </c>
      <c r="X215" s="52">
        <f>'FY 2013 by Agency'!X215*Inflator!$E$10</f>
        <v>50065.737059383937</v>
      </c>
      <c r="Y215" s="61" t="s">
        <v>127</v>
      </c>
      <c r="Z215" s="61" t="s">
        <v>127</v>
      </c>
      <c r="AA215" s="52">
        <f>'FY 2013 by Agency'!AA215*Inflator!$E$11</f>
        <v>54173.148136349162</v>
      </c>
      <c r="AB215" s="39">
        <f t="shared" si="221"/>
        <v>4107.4110769652252</v>
      </c>
      <c r="AC215" s="58">
        <f t="shared" si="222"/>
        <v>8.2040359699355789E-2</v>
      </c>
      <c r="AD215" s="52" t="e">
        <f>'FY 2013 by Agency'!AD215*Inflator!#REF!</f>
        <v>#REF!</v>
      </c>
      <c r="AE215" s="52">
        <f>'FY 2013 by Agency'!AE215*Inflator!$B$8</f>
        <v>0</v>
      </c>
      <c r="AF215" s="52">
        <f>'FY 2013 by Agency'!AF215*Inflator!$E$12</f>
        <v>34151.390350877198</v>
      </c>
      <c r="AG215" s="52">
        <f t="shared" si="223"/>
        <v>-20021.757785471964</v>
      </c>
      <c r="AH215" s="58">
        <f t="shared" si="224"/>
        <v>-0.36958822727228108</v>
      </c>
      <c r="AI215" s="52">
        <f>'FY 2013 by Agency'!AI215*Inflator!$B$8</f>
        <v>0</v>
      </c>
      <c r="AJ215" s="52">
        <f>'FY 2013 by Agency'!AJ215*Inflator!$B$8</f>
        <v>0</v>
      </c>
      <c r="AK215" s="52">
        <f>'FY 2013 by Agency'!AK215</f>
        <v>0</v>
      </c>
      <c r="AL215" s="52">
        <f>'FY 2013 by Agency'!AL215</f>
        <v>0</v>
      </c>
      <c r="AM215" s="52">
        <f>'FY 2013 by Agency'!AM215</f>
        <v>0</v>
      </c>
      <c r="AN215" s="52">
        <f>'FY 2013 by Agency'!AN215</f>
        <v>0</v>
      </c>
      <c r="AO215" s="52">
        <f>'FY 2013 by Agency'!AO215</f>
        <v>29582</v>
      </c>
      <c r="AP215" s="52">
        <f>'FY 2013 by Agency'!AP215</f>
        <v>0</v>
      </c>
      <c r="AQ215" s="52">
        <f>'FY 2013 by Agency'!AQ215</f>
        <v>0</v>
      </c>
      <c r="AR215" s="52">
        <f>'FY 2013 by Agency'!AR215</f>
        <v>0</v>
      </c>
      <c r="AS215" s="52">
        <f>'FY 2013 by Agency'!AS215</f>
        <v>30336</v>
      </c>
      <c r="AT215" s="52" t="e">
        <f t="shared" si="225"/>
        <v>#REF!</v>
      </c>
      <c r="AU215" s="58" t="e">
        <f t="shared" si="226"/>
        <v>#REF!</v>
      </c>
      <c r="AV215" s="52">
        <f t="shared" si="227"/>
        <v>-3815.3903508771982</v>
      </c>
      <c r="AW215" s="58">
        <f t="shared" si="228"/>
        <v>-0.11171991276715906</v>
      </c>
      <c r="AX215" s="287" t="s">
        <v>314</v>
      </c>
      <c r="AY215" s="65">
        <v>29582</v>
      </c>
      <c r="AZ215" s="282">
        <f t="shared" si="229"/>
        <v>0</v>
      </c>
      <c r="BA215" s="282">
        <f t="shared" si="230"/>
        <v>-3815.3903508771982</v>
      </c>
      <c r="BB215" s="282">
        <f t="shared" si="231"/>
        <v>30336</v>
      </c>
      <c r="BC215" s="58">
        <f t="shared" si="232"/>
        <v>-0.11171991276715909</v>
      </c>
      <c r="BD215" s="282"/>
      <c r="BE215" s="282"/>
      <c r="BI215" s="246">
        <v>29582</v>
      </c>
      <c r="BJ215" s="65">
        <f t="shared" si="237"/>
        <v>0</v>
      </c>
      <c r="BK215" s="65">
        <f t="shared" si="238"/>
        <v>29582</v>
      </c>
      <c r="BL215" s="576">
        <f>'FY 2013 by Agency'!AS215*Inflator!$E$13</f>
        <v>31456.126945376873</v>
      </c>
      <c r="BM215" s="52">
        <f t="shared" si="239"/>
        <v>-2695.2634055003255</v>
      </c>
      <c r="BN215" s="51">
        <f t="shared" si="233"/>
        <v>-7.8921044730792228E-2</v>
      </c>
      <c r="BO215" s="52">
        <f>'FY 2013 by Agency'!AX215*Inflator!$E$13</f>
        <v>30674.286237412274</v>
      </c>
      <c r="BP215" s="52">
        <f t="shared" si="247"/>
        <v>-3477.104113464924</v>
      </c>
      <c r="BQ215" s="51">
        <f t="shared" si="248"/>
        <v>-0.10181442329991736</v>
      </c>
      <c r="BR215" s="52">
        <f>'FY 2013 by Agency'!BE215*Inflator!$E$14</f>
        <v>46211.379516273519</v>
      </c>
      <c r="BS215" s="52">
        <f t="shared" si="249"/>
        <v>15537.093278861244</v>
      </c>
      <c r="BT215" s="51">
        <f t="shared" si="250"/>
        <v>0.50651849430521501</v>
      </c>
      <c r="BU215" s="69">
        <f>'FY 2013 by Agency'!BL215*Inflator!$E$14</f>
        <v>46211.379516273519</v>
      </c>
      <c r="BV215" s="52">
        <f>BU215-BL215</f>
        <v>14755.252570896646</v>
      </c>
      <c r="BW215" s="39">
        <v>47020</v>
      </c>
      <c r="BX215" s="39">
        <f>'FY 2013 by Agency'!BV215*Inflator!E15</f>
        <v>47020</v>
      </c>
      <c r="BY215" s="39">
        <f t="shared" si="241"/>
        <v>808.62048372648132</v>
      </c>
      <c r="BZ215" s="51">
        <f t="shared" si="242"/>
        <v>1.7498297869288287E-2</v>
      </c>
      <c r="CB215" s="39"/>
    </row>
    <row r="216" spans="1:80" s="63" customFormat="1" ht="18" customHeight="1">
      <c r="A216" s="63" t="s">
        <v>148</v>
      </c>
      <c r="B216" s="329" t="s">
        <v>78</v>
      </c>
      <c r="C216" s="329" t="s">
        <v>78</v>
      </c>
      <c r="D216" s="329" t="s">
        <v>78</v>
      </c>
      <c r="E216" s="329" t="s">
        <v>78</v>
      </c>
      <c r="F216" s="10">
        <f>'FY 2013 by Agency'!F216*Inflator!$E$4</f>
        <v>0</v>
      </c>
      <c r="G216" s="329" t="s">
        <v>78</v>
      </c>
      <c r="H216" s="329" t="s">
        <v>78</v>
      </c>
      <c r="I216" s="10">
        <f>'FY 2013 by Agency'!I216*Inflator!$E$5</f>
        <v>13425.195983637042</v>
      </c>
      <c r="J216" s="10">
        <f t="shared" si="245"/>
        <v>13425.195983637042</v>
      </c>
      <c r="K216" s="329" t="s">
        <v>78</v>
      </c>
      <c r="L216" s="329" t="s">
        <v>78</v>
      </c>
      <c r="M216" s="329" t="s">
        <v>78</v>
      </c>
      <c r="N216" s="329" t="s">
        <v>78</v>
      </c>
      <c r="O216" s="329" t="s">
        <v>78</v>
      </c>
      <c r="P216" s="329" t="s">
        <v>78</v>
      </c>
      <c r="Q216" s="329" t="s">
        <v>78</v>
      </c>
      <c r="R216" s="329" t="s">
        <v>78</v>
      </c>
      <c r="S216" s="329" t="s">
        <v>78</v>
      </c>
      <c r="T216" s="329" t="s">
        <v>78</v>
      </c>
      <c r="U216" s="329" t="s">
        <v>78</v>
      </c>
      <c r="V216" s="329" t="s">
        <v>78</v>
      </c>
      <c r="W216" s="329" t="s">
        <v>78</v>
      </c>
      <c r="X216" s="329" t="s">
        <v>78</v>
      </c>
      <c r="Y216" s="329" t="s">
        <v>78</v>
      </c>
      <c r="Z216" s="329" t="s">
        <v>78</v>
      </c>
      <c r="AA216" s="52">
        <f>'FY 2013 by Agency'!AA216*Inflator!$E$11</f>
        <v>0</v>
      </c>
      <c r="AB216" s="39" t="e">
        <f t="shared" si="221"/>
        <v>#VALUE!</v>
      </c>
      <c r="AC216" s="58" t="e">
        <f t="shared" si="222"/>
        <v>#VALUE!</v>
      </c>
      <c r="AD216" s="52" t="e">
        <f>'FY 2013 by Agency'!AD216*Inflator!#REF!</f>
        <v>#REF!</v>
      </c>
      <c r="AE216" s="52">
        <f>'FY 2013 by Agency'!AE216*Inflator!$B$8</f>
        <v>0</v>
      </c>
      <c r="AF216" s="52">
        <f>'FY 2013 by Agency'!AF216*Inflator!$E$12</f>
        <v>0</v>
      </c>
      <c r="AG216" s="52">
        <f t="shared" si="223"/>
        <v>0</v>
      </c>
      <c r="AH216" s="58" t="e">
        <f t="shared" si="224"/>
        <v>#DIV/0!</v>
      </c>
      <c r="AI216" s="52">
        <f>'FY 2013 by Agency'!AI216*Inflator!$B$8</f>
        <v>0</v>
      </c>
      <c r="AJ216" s="52">
        <f>'FY 2013 by Agency'!AJ216*Inflator!$B$8</f>
        <v>0</v>
      </c>
      <c r="AK216" s="52">
        <f>'FY 2013 by Agency'!AK216</f>
        <v>0</v>
      </c>
      <c r="AL216" s="52">
        <f>'FY 2013 by Agency'!AL216</f>
        <v>0</v>
      </c>
      <c r="AM216" s="52">
        <f>'FY 2013 by Agency'!AM216</f>
        <v>0</v>
      </c>
      <c r="AN216" s="52">
        <f>'FY 2013 by Agency'!AN216</f>
        <v>0</v>
      </c>
      <c r="AO216" s="52">
        <f>'FY 2013 by Agency'!AO216</f>
        <v>0</v>
      </c>
      <c r="AP216" s="52">
        <f>'FY 2013 by Agency'!AP216</f>
        <v>0</v>
      </c>
      <c r="AQ216" s="52">
        <f>'FY 2013 by Agency'!AQ216</f>
        <v>0</v>
      </c>
      <c r="AR216" s="52">
        <f>'FY 2013 by Agency'!AR216</f>
        <v>0</v>
      </c>
      <c r="AS216" s="52">
        <f>'FY 2013 by Agency'!AS216</f>
        <v>0</v>
      </c>
      <c r="AT216" s="52" t="e">
        <f t="shared" si="225"/>
        <v>#REF!</v>
      </c>
      <c r="AU216" s="58" t="e">
        <f t="shared" si="226"/>
        <v>#REF!</v>
      </c>
      <c r="AV216" s="52">
        <f t="shared" si="227"/>
        <v>0</v>
      </c>
      <c r="AW216" s="58" t="e">
        <f t="shared" si="228"/>
        <v>#DIV/0!</v>
      </c>
      <c r="AX216" s="284" t="s">
        <v>309</v>
      </c>
      <c r="AY216" s="65">
        <v>0</v>
      </c>
      <c r="AZ216" s="282">
        <f t="shared" si="229"/>
        <v>0</v>
      </c>
      <c r="BA216" s="282">
        <f t="shared" si="230"/>
        <v>0</v>
      </c>
      <c r="BB216" s="282">
        <f t="shared" si="231"/>
        <v>0</v>
      </c>
      <c r="BC216" s="58" t="e">
        <f t="shared" si="232"/>
        <v>#DIV/0!</v>
      </c>
      <c r="BD216" s="282"/>
      <c r="BE216" s="282"/>
      <c r="BI216" s="80">
        <v>0</v>
      </c>
      <c r="BJ216" s="65">
        <f t="shared" si="237"/>
        <v>0</v>
      </c>
      <c r="BK216" s="65">
        <f t="shared" si="238"/>
        <v>0</v>
      </c>
      <c r="BL216" s="576">
        <f>'FY 2013 by Agency'!AS216*Inflator!$E$13</f>
        <v>0</v>
      </c>
      <c r="BM216" s="52">
        <f t="shared" si="239"/>
        <v>0</v>
      </c>
      <c r="BN216" s="51" t="e">
        <f t="shared" si="233"/>
        <v>#DIV/0!</v>
      </c>
      <c r="BO216" s="52">
        <f>'FY 2013 by Agency'!AX216*Inflator!$E$13</f>
        <v>0</v>
      </c>
      <c r="BP216" s="52">
        <f t="shared" si="247"/>
        <v>0</v>
      </c>
      <c r="BQ216" s="51" t="e">
        <f t="shared" si="248"/>
        <v>#DIV/0!</v>
      </c>
      <c r="BR216" s="52">
        <v>0</v>
      </c>
      <c r="BS216" s="52">
        <f t="shared" si="249"/>
        <v>0</v>
      </c>
      <c r="BT216" s="51" t="e">
        <f t="shared" si="250"/>
        <v>#DIV/0!</v>
      </c>
      <c r="BU216" s="69">
        <f>'FY 2013 by Agency'!BL216*Inflator!$E$14</f>
        <v>0</v>
      </c>
      <c r="BV216" s="52">
        <f t="shared" si="240"/>
        <v>0</v>
      </c>
      <c r="BW216" s="39">
        <v>0</v>
      </c>
      <c r="BX216" s="39">
        <f>'FY 2013 by Agency'!BV216*Inflator!E15</f>
        <v>0</v>
      </c>
      <c r="BY216" s="39">
        <f t="shared" si="241"/>
        <v>0</v>
      </c>
      <c r="BZ216" s="51" t="e">
        <f t="shared" si="242"/>
        <v>#DIV/0!</v>
      </c>
      <c r="CB216" s="39"/>
    </row>
    <row r="217" spans="1:80" s="63" customFormat="1" ht="18" customHeight="1">
      <c r="A217" s="253" t="s">
        <v>480</v>
      </c>
      <c r="B217" s="329" t="s">
        <v>78</v>
      </c>
      <c r="C217" s="329" t="s">
        <v>78</v>
      </c>
      <c r="D217" s="329" t="s">
        <v>78</v>
      </c>
      <c r="E217" s="329" t="s">
        <v>78</v>
      </c>
      <c r="F217" s="329" t="s">
        <v>78</v>
      </c>
      <c r="G217" s="329" t="s">
        <v>78</v>
      </c>
      <c r="H217" s="329" t="s">
        <v>78</v>
      </c>
      <c r="I217" s="329" t="s">
        <v>78</v>
      </c>
      <c r="J217" s="329" t="s">
        <v>78</v>
      </c>
      <c r="K217" s="329" t="s">
        <v>78</v>
      </c>
      <c r="L217" s="329" t="s">
        <v>78</v>
      </c>
      <c r="M217" s="329" t="s">
        <v>78</v>
      </c>
      <c r="N217" s="329" t="s">
        <v>78</v>
      </c>
      <c r="O217" s="329" t="s">
        <v>78</v>
      </c>
      <c r="P217" s="329" t="s">
        <v>78</v>
      </c>
      <c r="Q217" s="329" t="s">
        <v>78</v>
      </c>
      <c r="R217" s="329" t="s">
        <v>78</v>
      </c>
      <c r="S217" s="329" t="s">
        <v>78</v>
      </c>
      <c r="T217" s="329" t="s">
        <v>78</v>
      </c>
      <c r="U217" s="329" t="s">
        <v>78</v>
      </c>
      <c r="V217" s="329" t="s">
        <v>78</v>
      </c>
      <c r="W217" s="329" t="s">
        <v>78</v>
      </c>
      <c r="X217" s="329" t="s">
        <v>78</v>
      </c>
      <c r="Y217" s="329" t="s">
        <v>78</v>
      </c>
      <c r="Z217" s="329" t="s">
        <v>78</v>
      </c>
      <c r="AA217" s="52">
        <f>'FY 2013 by Agency'!AA217*Inflator!$E$11</f>
        <v>0</v>
      </c>
      <c r="AB217" s="39" t="e">
        <f t="shared" si="221"/>
        <v>#VALUE!</v>
      </c>
      <c r="AC217" s="58" t="e">
        <f t="shared" si="222"/>
        <v>#VALUE!</v>
      </c>
      <c r="AD217" s="52" t="e">
        <f>'FY 2013 by Agency'!AD217*Inflator!#REF!</f>
        <v>#REF!</v>
      </c>
      <c r="AE217" s="52">
        <f>'FY 2013 by Agency'!AE217*Inflator!$B$8</f>
        <v>0</v>
      </c>
      <c r="AF217" s="52">
        <f>'FY 2013 by Agency'!AF217*Inflator!$E$12</f>
        <v>36343.270676691733</v>
      </c>
      <c r="AG217" s="52">
        <f t="shared" si="223"/>
        <v>36343.270676691733</v>
      </c>
      <c r="AH217" s="58" t="e">
        <f t="shared" si="224"/>
        <v>#DIV/0!</v>
      </c>
      <c r="AI217" s="52">
        <f>'FY 2013 by Agency'!AI217*Inflator!$B$8</f>
        <v>0</v>
      </c>
      <c r="AJ217" s="52">
        <f>'FY 2013 by Agency'!AJ217*Inflator!$B$8</f>
        <v>0</v>
      </c>
      <c r="AK217" s="52">
        <f>'FY 2013 by Agency'!AK217</f>
        <v>0</v>
      </c>
      <c r="AL217" s="52">
        <f>'FY 2013 by Agency'!AL217</f>
        <v>0</v>
      </c>
      <c r="AM217" s="52">
        <f>'FY 2013 by Agency'!AM217</f>
        <v>0</v>
      </c>
      <c r="AN217" s="52">
        <f>'FY 2013 by Agency'!AN217</f>
        <v>0</v>
      </c>
      <c r="AO217" s="52">
        <f>'FY 2013 by Agency'!AO217</f>
        <v>67904</v>
      </c>
      <c r="AP217" s="52">
        <f>'FY 2013 by Agency'!AP217</f>
        <v>0</v>
      </c>
      <c r="AQ217" s="52">
        <f>'FY 2013 by Agency'!AQ217</f>
        <v>0</v>
      </c>
      <c r="AR217" s="52">
        <f>'FY 2013 by Agency'!AR217</f>
        <v>0</v>
      </c>
      <c r="AS217" s="52">
        <f>'FY 2013 by Agency'!AS217</f>
        <v>58253.516000000003</v>
      </c>
      <c r="AT217" s="52" t="e">
        <f t="shared" si="225"/>
        <v>#REF!</v>
      </c>
      <c r="AU217" s="58" t="e">
        <f t="shared" si="226"/>
        <v>#REF!</v>
      </c>
      <c r="AV217" s="52">
        <f t="shared" si="227"/>
        <v>21910.245323308271</v>
      </c>
      <c r="AW217" s="58">
        <f t="shared" si="228"/>
        <v>0.60286938724422812</v>
      </c>
      <c r="AX217" s="287" t="s">
        <v>317</v>
      </c>
      <c r="AY217" s="65">
        <v>61304</v>
      </c>
      <c r="AZ217" s="282">
        <f t="shared" si="229"/>
        <v>-6600</v>
      </c>
      <c r="BA217" s="282">
        <f t="shared" si="230"/>
        <v>15310.245323308271</v>
      </c>
      <c r="BB217" s="282">
        <f t="shared" si="231"/>
        <v>51653.516000000003</v>
      </c>
      <c r="BC217" s="58">
        <f t="shared" si="232"/>
        <v>0.42126768004750015</v>
      </c>
      <c r="BD217" s="282"/>
      <c r="BE217" s="282"/>
      <c r="BI217" s="246">
        <v>61304</v>
      </c>
      <c r="BJ217" s="65">
        <f t="shared" si="237"/>
        <v>0</v>
      </c>
      <c r="BK217" s="65">
        <f t="shared" si="238"/>
        <v>61304</v>
      </c>
      <c r="BL217" s="576">
        <f>'FY 2013 by Agency'!AS217*Inflator!$E$13</f>
        <v>60404.469749160831</v>
      </c>
      <c r="BM217" s="52">
        <f t="shared" si="239"/>
        <v>24061.199072469099</v>
      </c>
      <c r="BN217" s="51">
        <f t="shared" si="233"/>
        <v>0.66205376193344168</v>
      </c>
      <c r="BO217" s="52">
        <f>'FY 2013 by Agency'!AX217*Inflator!$E$13</f>
        <v>63567.589868782437</v>
      </c>
      <c r="BP217" s="52">
        <f t="shared" si="247"/>
        <v>27224.319192090705</v>
      </c>
      <c r="BQ217" s="51">
        <f t="shared" si="248"/>
        <v>0.74908830947762373</v>
      </c>
      <c r="BR217" s="52">
        <f>'FY 2013 by Agency'!BE217*Inflator!$E$14</f>
        <v>66423.848312929244</v>
      </c>
      <c r="BS217" s="52">
        <f t="shared" si="249"/>
        <v>2856.2584441468061</v>
      </c>
      <c r="BT217" s="51">
        <f t="shared" si="250"/>
        <v>4.4932621325470344E-2</v>
      </c>
      <c r="BU217" s="69">
        <f>'FY 2013 by Agency'!BL217*Inflator!$E$14</f>
        <v>66423.848312929244</v>
      </c>
      <c r="BV217" s="52">
        <f t="shared" si="240"/>
        <v>6019.3785637684123</v>
      </c>
      <c r="BW217" s="39">
        <v>71461</v>
      </c>
      <c r="BX217" s="39">
        <f>'FY 2013 by Agency'!BV217*Inflator!E15</f>
        <v>71461</v>
      </c>
      <c r="BY217" s="39">
        <f t="shared" si="241"/>
        <v>5037.1516870707565</v>
      </c>
      <c r="BZ217" s="51">
        <f t="shared" si="242"/>
        <v>7.5833481723917018E-2</v>
      </c>
      <c r="CB217" s="39"/>
    </row>
    <row r="218" spans="1:80" s="63" customFormat="1" ht="18" customHeight="1">
      <c r="A218" s="63" t="s">
        <v>150</v>
      </c>
      <c r="B218" s="329" t="s">
        <v>78</v>
      </c>
      <c r="C218" s="329" t="s">
        <v>78</v>
      </c>
      <c r="D218" s="329" t="s">
        <v>78</v>
      </c>
      <c r="E218" s="329" t="s">
        <v>78</v>
      </c>
      <c r="F218" s="329" t="s">
        <v>78</v>
      </c>
      <c r="G218" s="329" t="s">
        <v>78</v>
      </c>
      <c r="H218" s="329" t="s">
        <v>78</v>
      </c>
      <c r="I218" s="329" t="s">
        <v>78</v>
      </c>
      <c r="J218" s="329" t="s">
        <v>78</v>
      </c>
      <c r="K218" s="329" t="s">
        <v>78</v>
      </c>
      <c r="L218" s="329" t="s">
        <v>78</v>
      </c>
      <c r="M218" s="329" t="s">
        <v>78</v>
      </c>
      <c r="N218" s="329" t="s">
        <v>78</v>
      </c>
      <c r="O218" s="329" t="s">
        <v>78</v>
      </c>
      <c r="P218" s="329" t="s">
        <v>78</v>
      </c>
      <c r="Q218" s="329" t="s">
        <v>78</v>
      </c>
      <c r="R218" s="329" t="s">
        <v>78</v>
      </c>
      <c r="S218" s="329" t="s">
        <v>78</v>
      </c>
      <c r="T218" s="329" t="s">
        <v>78</v>
      </c>
      <c r="U218" s="329" t="s">
        <v>78</v>
      </c>
      <c r="V218" s="329" t="s">
        <v>78</v>
      </c>
      <c r="W218" s="329" t="s">
        <v>78</v>
      </c>
      <c r="X218" s="329" t="s">
        <v>78</v>
      </c>
      <c r="Y218" s="329" t="s">
        <v>78</v>
      </c>
      <c r="Z218" s="329" t="s">
        <v>78</v>
      </c>
      <c r="AA218" s="52">
        <f>'FY 2013 by Agency'!AA218*Inflator!$E$11</f>
        <v>0</v>
      </c>
      <c r="AB218" s="39" t="e">
        <f t="shared" si="221"/>
        <v>#VALUE!</v>
      </c>
      <c r="AC218" s="58" t="e">
        <f t="shared" si="222"/>
        <v>#VALUE!</v>
      </c>
      <c r="AD218" s="52" t="e">
        <f>'FY 2013 by Agency'!AD218*Inflator!#REF!</f>
        <v>#REF!</v>
      </c>
      <c r="AE218" s="52">
        <f>'FY 2013 by Agency'!AE218*Inflator!$B$8</f>
        <v>0</v>
      </c>
      <c r="AF218" s="52">
        <f>'FY 2013 by Agency'!AF218*Inflator!$E$12</f>
        <v>26495.244987468675</v>
      </c>
      <c r="AG218" s="52">
        <f t="shared" si="223"/>
        <v>26495.244987468675</v>
      </c>
      <c r="AH218" s="58" t="e">
        <f t="shared" si="224"/>
        <v>#DIV/0!</v>
      </c>
      <c r="AI218" s="52">
        <f>'FY 2013 by Agency'!AI218*Inflator!$B$8</f>
        <v>0</v>
      </c>
      <c r="AJ218" s="52">
        <f>'FY 2013 by Agency'!AJ218*Inflator!$B$8</f>
        <v>0</v>
      </c>
      <c r="AK218" s="52">
        <f>'FY 2013 by Agency'!AK218</f>
        <v>0</v>
      </c>
      <c r="AL218" s="52">
        <f>'FY 2013 by Agency'!AL218</f>
        <v>0</v>
      </c>
      <c r="AM218" s="52">
        <f>'FY 2013 by Agency'!AM218</f>
        <v>0</v>
      </c>
      <c r="AN218" s="52">
        <f>'FY 2013 by Agency'!AN218</f>
        <v>0</v>
      </c>
      <c r="AO218" s="52">
        <f>'FY 2013 by Agency'!AO218</f>
        <v>37678</v>
      </c>
      <c r="AP218" s="52">
        <f>'FY 2013 by Agency'!AP218</f>
        <v>0</v>
      </c>
      <c r="AQ218" s="52">
        <f>'FY 2013 by Agency'!AQ218</f>
        <v>0</v>
      </c>
      <c r="AR218" s="52">
        <f>'FY 2013 by Agency'!AR218</f>
        <v>0</v>
      </c>
      <c r="AS218" s="52">
        <f>'FY 2013 by Agency'!AS218</f>
        <v>30001.348720000002</v>
      </c>
      <c r="AT218" s="52" t="e">
        <f t="shared" si="225"/>
        <v>#REF!</v>
      </c>
      <c r="AU218" s="58" t="e">
        <f t="shared" si="226"/>
        <v>#REF!</v>
      </c>
      <c r="AV218" s="52">
        <f t="shared" si="227"/>
        <v>3506.1037325313264</v>
      </c>
      <c r="AW218" s="58">
        <f t="shared" si="228"/>
        <v>0.13232954570488367</v>
      </c>
      <c r="AX218" s="287" t="s">
        <v>315</v>
      </c>
      <c r="AY218" s="65">
        <v>37678</v>
      </c>
      <c r="AZ218" s="282">
        <f t="shared" si="229"/>
        <v>0</v>
      </c>
      <c r="BA218" s="282">
        <f t="shared" si="230"/>
        <v>3506.1037325313264</v>
      </c>
      <c r="BB218" s="282">
        <f t="shared" si="231"/>
        <v>30001.348720000002</v>
      </c>
      <c r="BC218" s="58">
        <f t="shared" si="232"/>
        <v>0.13232954570488364</v>
      </c>
      <c r="BD218" s="282"/>
      <c r="BE218" s="282"/>
      <c r="BI218" s="246">
        <v>37678</v>
      </c>
      <c r="BJ218" s="65">
        <f t="shared" si="237"/>
        <v>0</v>
      </c>
      <c r="BK218" s="65">
        <f t="shared" si="238"/>
        <v>37678</v>
      </c>
      <c r="BL218" s="576">
        <f>'FY 2013 by Agency'!AS218*Inflator!$E$13</f>
        <v>31109.118996203852</v>
      </c>
      <c r="BM218" s="52">
        <f t="shared" si="239"/>
        <v>4613.8740087351762</v>
      </c>
      <c r="BN218" s="51">
        <f t="shared" si="233"/>
        <v>0.17413969981849109</v>
      </c>
      <c r="BO218" s="52">
        <f>'FY 2013 by Agency'!AX218*Inflator!$E$13</f>
        <v>39069.223069880994</v>
      </c>
      <c r="BP218" s="52">
        <f t="shared" si="247"/>
        <v>12573.978082412319</v>
      </c>
      <c r="BQ218" s="51">
        <f t="shared" si="248"/>
        <v>0.47457489403700065</v>
      </c>
      <c r="BR218" s="52">
        <f>'FY 2013 by Agency'!BE218*Inflator!$E$14</f>
        <v>37839.657211107799</v>
      </c>
      <c r="BS218" s="52">
        <f t="shared" si="249"/>
        <v>-1229.5658587731959</v>
      </c>
      <c r="BT218" s="51">
        <f t="shared" si="250"/>
        <v>-3.1471469411458182E-2</v>
      </c>
      <c r="BU218" s="69">
        <f>'FY 2013 by Agency'!BL218*Inflator!$E$14</f>
        <v>37839.657211107799</v>
      </c>
      <c r="BV218" s="52">
        <f t="shared" si="240"/>
        <v>6730.5382149039469</v>
      </c>
      <c r="BW218" s="39">
        <v>36472</v>
      </c>
      <c r="BX218" s="39">
        <f>'FY 2013 by Agency'!BV218*Inflator!E15</f>
        <v>36472</v>
      </c>
      <c r="BY218" s="39">
        <f t="shared" si="241"/>
        <v>-1367.6572111077985</v>
      </c>
      <c r="BZ218" s="51">
        <f t="shared" si="242"/>
        <v>-3.6143488390437212E-2</v>
      </c>
      <c r="CB218" s="39"/>
    </row>
    <row r="219" spans="1:80" s="63" customFormat="1" ht="18" customHeight="1">
      <c r="A219" s="63" t="s">
        <v>151</v>
      </c>
      <c r="B219" s="329" t="s">
        <v>78</v>
      </c>
      <c r="C219" s="329" t="s">
        <v>78</v>
      </c>
      <c r="D219" s="329" t="s">
        <v>78</v>
      </c>
      <c r="E219" s="329" t="s">
        <v>78</v>
      </c>
      <c r="F219" s="329" t="s">
        <v>78</v>
      </c>
      <c r="G219" s="329" t="s">
        <v>78</v>
      </c>
      <c r="H219" s="329" t="s">
        <v>78</v>
      </c>
      <c r="I219" s="329" t="s">
        <v>78</v>
      </c>
      <c r="J219" s="329" t="s">
        <v>78</v>
      </c>
      <c r="K219" s="329" t="s">
        <v>78</v>
      </c>
      <c r="L219" s="329" t="s">
        <v>78</v>
      </c>
      <c r="M219" s="329" t="s">
        <v>78</v>
      </c>
      <c r="N219" s="329" t="s">
        <v>78</v>
      </c>
      <c r="O219" s="329" t="s">
        <v>78</v>
      </c>
      <c r="P219" s="329" t="s">
        <v>78</v>
      </c>
      <c r="Q219" s="329" t="s">
        <v>78</v>
      </c>
      <c r="R219" s="329" t="s">
        <v>78</v>
      </c>
      <c r="S219" s="329" t="s">
        <v>78</v>
      </c>
      <c r="T219" s="329" t="s">
        <v>78</v>
      </c>
      <c r="U219" s="329" t="s">
        <v>78</v>
      </c>
      <c r="V219" s="329" t="s">
        <v>78</v>
      </c>
      <c r="W219" s="329" t="s">
        <v>78</v>
      </c>
      <c r="X219" s="329" t="s">
        <v>78</v>
      </c>
      <c r="Y219" s="329" t="s">
        <v>78</v>
      </c>
      <c r="Z219" s="329" t="s">
        <v>78</v>
      </c>
      <c r="AA219" s="52">
        <f>'FY 2013 by Agency'!AA219*Inflator!$E$11</f>
        <v>0</v>
      </c>
      <c r="AB219" s="39" t="e">
        <f t="shared" si="221"/>
        <v>#VALUE!</v>
      </c>
      <c r="AC219" s="58" t="e">
        <f t="shared" si="222"/>
        <v>#VALUE!</v>
      </c>
      <c r="AD219" s="52" t="e">
        <f>'FY 2013 by Agency'!AD219*Inflator!#REF!</f>
        <v>#REF!</v>
      </c>
      <c r="AE219" s="52">
        <f>'FY 2013 by Agency'!AE219*Inflator!$B$8</f>
        <v>0</v>
      </c>
      <c r="AF219" s="52">
        <f>'FY 2013 by Agency'!AF219*Inflator!$E$12</f>
        <v>99059.364661654152</v>
      </c>
      <c r="AG219" s="52">
        <f t="shared" si="223"/>
        <v>99059.364661654152</v>
      </c>
      <c r="AH219" s="58" t="e">
        <f t="shared" si="224"/>
        <v>#DIV/0!</v>
      </c>
      <c r="AI219" s="52">
        <f>'FY 2013 by Agency'!AI219*Inflator!$B$8</f>
        <v>0</v>
      </c>
      <c r="AJ219" s="52">
        <f>'FY 2013 by Agency'!AJ219*Inflator!$B$8</f>
        <v>0</v>
      </c>
      <c r="AK219" s="52">
        <f>'FY 2013 by Agency'!AK219</f>
        <v>0</v>
      </c>
      <c r="AL219" s="52">
        <f>'FY 2013 by Agency'!AL219</f>
        <v>0</v>
      </c>
      <c r="AM219" s="52">
        <f>'FY 2013 by Agency'!AM219</f>
        <v>0</v>
      </c>
      <c r="AN219" s="52">
        <f>'FY 2013 by Agency'!AN219</f>
        <v>0</v>
      </c>
      <c r="AO219" s="52">
        <f>'FY 2013 by Agency'!AO219</f>
        <v>101696</v>
      </c>
      <c r="AP219" s="52">
        <f>'FY 2013 by Agency'!AP219</f>
        <v>0</v>
      </c>
      <c r="AQ219" s="52">
        <f>'FY 2013 by Agency'!AQ219</f>
        <v>0</v>
      </c>
      <c r="AR219" s="52">
        <f>'FY 2013 by Agency'!AR219</f>
        <v>0</v>
      </c>
      <c r="AS219" s="52">
        <f>'FY 2013 by Agency'!AS219</f>
        <v>96844</v>
      </c>
      <c r="AT219" s="52" t="e">
        <f t="shared" si="225"/>
        <v>#REF!</v>
      </c>
      <c r="AU219" s="58" t="e">
        <f t="shared" si="226"/>
        <v>#REF!</v>
      </c>
      <c r="AV219" s="52">
        <f t="shared" si="227"/>
        <v>-2215.3646616541519</v>
      </c>
      <c r="AW219" s="58">
        <f t="shared" si="228"/>
        <v>-2.2364010401448888E-2</v>
      </c>
      <c r="AX219" s="287" t="s">
        <v>316</v>
      </c>
      <c r="AY219" s="65">
        <v>101696</v>
      </c>
      <c r="AZ219" s="282">
        <f t="shared" si="229"/>
        <v>0</v>
      </c>
      <c r="BA219" s="282">
        <f t="shared" si="230"/>
        <v>-2215.3646616541519</v>
      </c>
      <c r="BB219" s="282">
        <f t="shared" si="231"/>
        <v>96844</v>
      </c>
      <c r="BC219" s="58">
        <f t="shared" si="232"/>
        <v>-2.2364010401448864E-2</v>
      </c>
      <c r="BD219" s="282"/>
      <c r="BE219" s="282"/>
      <c r="BI219" s="246">
        <v>101696</v>
      </c>
      <c r="BJ219" s="65">
        <f t="shared" si="237"/>
        <v>0</v>
      </c>
      <c r="BK219" s="65">
        <f t="shared" si="238"/>
        <v>101696</v>
      </c>
      <c r="BL219" s="576">
        <f>'FY 2013 by Agency'!AS219*Inflator!$E$13</f>
        <v>100419.86939273728</v>
      </c>
      <c r="BM219" s="52">
        <f t="shared" si="239"/>
        <v>1360.5047310831287</v>
      </c>
      <c r="BN219" s="51">
        <f t="shared" si="233"/>
        <v>1.3734236391784367E-2</v>
      </c>
      <c r="BO219" s="52">
        <f>'FY 2013 by Agency'!AX219*Inflator!$E$13</f>
        <v>105451.02471772966</v>
      </c>
      <c r="BP219" s="52">
        <f t="shared" si="247"/>
        <v>6391.6600560755032</v>
      </c>
      <c r="BQ219" s="51">
        <f t="shared" si="248"/>
        <v>6.4523531701488016E-2</v>
      </c>
      <c r="BR219" s="52">
        <f>'FY 2013 by Agency'!BE219*Inflator!$E$14</f>
        <v>103206.25977903853</v>
      </c>
      <c r="BS219" s="52">
        <f t="shared" si="249"/>
        <v>-2244.7649386911216</v>
      </c>
      <c r="BT219" s="51">
        <f t="shared" si="250"/>
        <v>-2.1287274777081474E-2</v>
      </c>
      <c r="BU219" s="69">
        <f>'FY 2013 by Agency'!BL219*Inflator!$E$14</f>
        <v>103206.25977903853</v>
      </c>
      <c r="BV219" s="52">
        <f t="shared" si="240"/>
        <v>2786.3903863012529</v>
      </c>
      <c r="BW219" s="39">
        <v>103729</v>
      </c>
      <c r="BX219" s="39">
        <f>'FY 2013 by Agency'!BV219*Inflator!E15</f>
        <v>103729</v>
      </c>
      <c r="BY219" s="39">
        <f t="shared" si="241"/>
        <v>522.74022096146655</v>
      </c>
      <c r="BZ219" s="51">
        <f t="shared" si="242"/>
        <v>5.0650049917576462E-3</v>
      </c>
      <c r="CB219" s="39"/>
    </row>
    <row r="220" spans="1:80" s="63" customFormat="1" ht="18" customHeight="1">
      <c r="A220" s="53" t="s">
        <v>126</v>
      </c>
      <c r="B220" s="329" t="s">
        <v>78</v>
      </c>
      <c r="C220" s="329" t="s">
        <v>78</v>
      </c>
      <c r="D220" s="329" t="s">
        <v>78</v>
      </c>
      <c r="E220" s="329" t="s">
        <v>78</v>
      </c>
      <c r="F220" s="329" t="s">
        <v>78</v>
      </c>
      <c r="G220" s="329" t="s">
        <v>78</v>
      </c>
      <c r="H220" s="329" t="s">
        <v>78</v>
      </c>
      <c r="I220" s="329" t="s">
        <v>78</v>
      </c>
      <c r="J220" s="329" t="s">
        <v>78</v>
      </c>
      <c r="K220" s="329" t="s">
        <v>78</v>
      </c>
      <c r="L220" s="329" t="s">
        <v>78</v>
      </c>
      <c r="M220" s="329" t="s">
        <v>78</v>
      </c>
      <c r="N220" s="329" t="s">
        <v>78</v>
      </c>
      <c r="O220" s="329" t="s">
        <v>78</v>
      </c>
      <c r="P220" s="329" t="s">
        <v>78</v>
      </c>
      <c r="Q220" s="329" t="s">
        <v>78</v>
      </c>
      <c r="R220" s="329" t="s">
        <v>78</v>
      </c>
      <c r="S220" s="329" t="s">
        <v>78</v>
      </c>
      <c r="T220" s="329" t="s">
        <v>78</v>
      </c>
      <c r="U220" s="329" t="s">
        <v>78</v>
      </c>
      <c r="V220" s="329" t="s">
        <v>78</v>
      </c>
      <c r="W220" s="329" t="s">
        <v>78</v>
      </c>
      <c r="X220" s="329" t="s">
        <v>78</v>
      </c>
      <c r="Y220" s="329" t="s">
        <v>78</v>
      </c>
      <c r="Z220" s="329" t="s">
        <v>78</v>
      </c>
      <c r="AA220" s="52">
        <f>'FY 2013 by Agency'!AA220*Inflator!$E$11</f>
        <v>0</v>
      </c>
      <c r="AB220" s="39" t="e">
        <f t="shared" si="221"/>
        <v>#VALUE!</v>
      </c>
      <c r="AC220" s="58" t="e">
        <f t="shared" si="222"/>
        <v>#VALUE!</v>
      </c>
      <c r="AD220" s="52" t="e">
        <f>'FY 2013 by Agency'!AD220*Inflator!#REF!</f>
        <v>#REF!</v>
      </c>
      <c r="AE220" s="52">
        <f>'FY 2013 by Agency'!AE220*Inflator!$B$8</f>
        <v>0</v>
      </c>
      <c r="AF220" s="52">
        <f>'FY 2013 by Agency'!AF220*Inflator!$E$12</f>
        <v>0</v>
      </c>
      <c r="AG220" s="52">
        <f t="shared" si="223"/>
        <v>0</v>
      </c>
      <c r="AH220" s="58" t="e">
        <f t="shared" si="224"/>
        <v>#DIV/0!</v>
      </c>
      <c r="AI220" s="52">
        <f>'FY 2013 by Agency'!AI220*Inflator!$B$8</f>
        <v>0</v>
      </c>
      <c r="AJ220" s="52">
        <f>'FY 2013 by Agency'!AJ220*Inflator!$B$8</f>
        <v>0</v>
      </c>
      <c r="AK220" s="52">
        <f>'FY 2013 by Agency'!AK220</f>
        <v>0</v>
      </c>
      <c r="AL220" s="52">
        <f>'FY 2013 by Agency'!AL220</f>
        <v>0</v>
      </c>
      <c r="AM220" s="52">
        <f>'FY 2013 by Agency'!AM220</f>
        <v>0</v>
      </c>
      <c r="AN220" s="52">
        <f>'FY 2013 by Agency'!AN220</f>
        <v>0</v>
      </c>
      <c r="AO220" s="52">
        <f>'FY 2013 by Agency'!AO220</f>
        <v>0</v>
      </c>
      <c r="AP220" s="52">
        <f>'FY 2013 by Agency'!AP220</f>
        <v>0</v>
      </c>
      <c r="AQ220" s="52">
        <f>'FY 2013 by Agency'!AQ220</f>
        <v>0</v>
      </c>
      <c r="AR220" s="52">
        <f>'FY 2013 by Agency'!AR220</f>
        <v>0</v>
      </c>
      <c r="AS220" s="52">
        <f>'FY 2013 by Agency'!AS220</f>
        <v>782.93320000000006</v>
      </c>
      <c r="AT220" s="52" t="e">
        <f t="shared" si="225"/>
        <v>#REF!</v>
      </c>
      <c r="AU220" s="58" t="e">
        <f t="shared" si="226"/>
        <v>#REF!</v>
      </c>
      <c r="AV220" s="52">
        <f t="shared" si="227"/>
        <v>782.93320000000006</v>
      </c>
      <c r="AW220" s="58" t="e">
        <f t="shared" si="228"/>
        <v>#DIV/0!</v>
      </c>
      <c r="AX220" s="72"/>
      <c r="AY220" s="80"/>
      <c r="AZ220" s="80">
        <f>SUM(AZ198:AZ219)</f>
        <v>-8600</v>
      </c>
      <c r="BA220" s="282">
        <f t="shared" si="230"/>
        <v>-7817.0667999999996</v>
      </c>
      <c r="BB220" s="282">
        <f t="shared" si="231"/>
        <v>-7817.0667999999996</v>
      </c>
      <c r="BC220" s="58" t="e">
        <f t="shared" si="232"/>
        <v>#DIV/0!</v>
      </c>
      <c r="BD220" s="308"/>
      <c r="BE220" s="308"/>
      <c r="BI220" s="80"/>
      <c r="BJ220" s="65">
        <f t="shared" si="237"/>
        <v>0</v>
      </c>
      <c r="BK220" s="65">
        <f t="shared" si="238"/>
        <v>0</v>
      </c>
      <c r="BL220" s="576">
        <f>'FY 2013 by Agency'!AS220*Inflator!$E$13</f>
        <v>811.84223790051897</v>
      </c>
      <c r="BM220" s="52">
        <f t="shared" si="239"/>
        <v>811.84223790051897</v>
      </c>
      <c r="BN220" s="51" t="e">
        <f t="shared" si="233"/>
        <v>#DIV/0!</v>
      </c>
      <c r="BO220" s="52">
        <f>'FY 2013 by Agency'!AX220*Inflator!$E$13</f>
        <v>0</v>
      </c>
      <c r="BP220" s="52">
        <f t="shared" si="247"/>
        <v>0</v>
      </c>
      <c r="BQ220" s="51" t="e">
        <f t="shared" si="248"/>
        <v>#DIV/0!</v>
      </c>
      <c r="BR220" s="52">
        <f>'FY 2013 by Agency'!BE220*Inflator!$E$14</f>
        <v>0</v>
      </c>
      <c r="BS220" s="52">
        <f t="shared" si="249"/>
        <v>0</v>
      </c>
      <c r="BT220" s="51" t="e">
        <f t="shared" si="250"/>
        <v>#DIV/0!</v>
      </c>
      <c r="BU220" s="69">
        <f>'FY 2013 by Agency'!BL220*Inflator!$E$14</f>
        <v>0</v>
      </c>
      <c r="BV220" s="52">
        <f t="shared" si="240"/>
        <v>-811.84223790051897</v>
      </c>
      <c r="BW220" s="543">
        <v>0</v>
      </c>
      <c r="BX220" s="39">
        <f>'FY 2013 by Agency'!BV220*Inflator!E15</f>
        <v>21477</v>
      </c>
      <c r="BY220" s="39">
        <f t="shared" si="241"/>
        <v>0</v>
      </c>
      <c r="BZ220" s="51" t="e">
        <f t="shared" si="242"/>
        <v>#DIV/0!</v>
      </c>
      <c r="CB220" s="39"/>
    </row>
    <row r="221" spans="1:80" s="310" customFormat="1" ht="18" customHeight="1" thickBot="1">
      <c r="A221" s="256" t="s">
        <v>362</v>
      </c>
      <c r="B221" s="333" t="s">
        <v>78</v>
      </c>
      <c r="C221" s="333" t="s">
        <v>78</v>
      </c>
      <c r="D221" s="333" t="s">
        <v>78</v>
      </c>
      <c r="E221" s="333" t="s">
        <v>78</v>
      </c>
      <c r="F221" s="333" t="s">
        <v>78</v>
      </c>
      <c r="G221" s="333" t="s">
        <v>78</v>
      </c>
      <c r="H221" s="333" t="s">
        <v>78</v>
      </c>
      <c r="I221" s="333" t="s">
        <v>78</v>
      </c>
      <c r="J221" s="333" t="s">
        <v>78</v>
      </c>
      <c r="K221" s="333" t="s">
        <v>78</v>
      </c>
      <c r="L221" s="333" t="s">
        <v>78</v>
      </c>
      <c r="M221" s="333" t="s">
        <v>78</v>
      </c>
      <c r="N221" s="333" t="s">
        <v>78</v>
      </c>
      <c r="O221" s="333" t="s">
        <v>78</v>
      </c>
      <c r="P221" s="333" t="s">
        <v>78</v>
      </c>
      <c r="Q221" s="333" t="s">
        <v>78</v>
      </c>
      <c r="R221" s="333" t="s">
        <v>78</v>
      </c>
      <c r="S221" s="333" t="s">
        <v>78</v>
      </c>
      <c r="T221" s="333" t="s">
        <v>78</v>
      </c>
      <c r="U221" s="333" t="s">
        <v>78</v>
      </c>
      <c r="V221" s="333" t="s">
        <v>78</v>
      </c>
      <c r="W221" s="333" t="s">
        <v>78</v>
      </c>
      <c r="X221" s="333" t="s">
        <v>78</v>
      </c>
      <c r="Y221" s="333" t="s">
        <v>78</v>
      </c>
      <c r="Z221" s="333" t="s">
        <v>78</v>
      </c>
      <c r="AA221" s="75">
        <f>'FY 2013 by Agency'!AA221*Inflator!$E$11</f>
        <v>0</v>
      </c>
      <c r="AB221" s="102"/>
      <c r="AC221" s="77"/>
      <c r="AD221" s="75" t="e">
        <f>'FY 2013 by Agency'!AD221*Inflator!#REF!</f>
        <v>#REF!</v>
      </c>
      <c r="AE221" s="75"/>
      <c r="AF221" s="75"/>
      <c r="AG221" s="75"/>
      <c r="AH221" s="77"/>
      <c r="AI221" s="75"/>
      <c r="AJ221" s="75"/>
      <c r="AK221" s="75"/>
      <c r="AL221" s="75"/>
      <c r="AM221" s="75"/>
      <c r="AN221" s="75"/>
      <c r="AO221" s="75"/>
      <c r="AP221" s="75"/>
      <c r="AQ221" s="75"/>
      <c r="AR221" s="75"/>
      <c r="AS221" s="75"/>
      <c r="AT221" s="75"/>
      <c r="AU221" s="77"/>
      <c r="AV221" s="75"/>
      <c r="AW221" s="77"/>
      <c r="AX221" s="77"/>
      <c r="AY221" s="94"/>
      <c r="AZ221" s="94"/>
      <c r="BA221" s="285"/>
      <c r="BB221" s="285"/>
      <c r="BC221" s="77"/>
      <c r="BD221" s="285"/>
      <c r="BE221" s="285"/>
      <c r="BF221" s="54"/>
      <c r="BG221" s="54"/>
      <c r="BH221" s="54"/>
      <c r="BI221" s="94">
        <v>3000</v>
      </c>
      <c r="BJ221" s="94">
        <f t="shared" si="237"/>
        <v>3000</v>
      </c>
      <c r="BK221" s="94">
        <f t="shared" si="238"/>
        <v>3000</v>
      </c>
      <c r="BL221" s="584">
        <f>'FY 2013 by Agency'!AS221*Inflator!$E$13</f>
        <v>0</v>
      </c>
      <c r="BM221" s="52">
        <f t="shared" si="239"/>
        <v>0</v>
      </c>
      <c r="BN221" s="55" t="e">
        <f t="shared" si="233"/>
        <v>#DIV/0!</v>
      </c>
      <c r="BO221" s="75">
        <f>'FY 2013 by Agency'!AX221*Inflator!$E$13</f>
        <v>3110.772047604517</v>
      </c>
      <c r="BP221" s="75">
        <f t="shared" si="247"/>
        <v>3110.772047604517</v>
      </c>
      <c r="BQ221" s="55" t="e">
        <f t="shared" si="248"/>
        <v>#DIV/0!</v>
      </c>
      <c r="BR221" s="75">
        <f>'FY 2013 by Agency'!BE221*Inflator!$E$14</f>
        <v>3043.8936996118246</v>
      </c>
      <c r="BS221" s="75">
        <f t="shared" si="249"/>
        <v>-66.878347992692397</v>
      </c>
      <c r="BT221" s="55">
        <f t="shared" si="250"/>
        <v>-2.1498954911914159E-2</v>
      </c>
      <c r="BU221" s="75">
        <f>'FY 2013 by Agency'!BL221*Inflator!$E$14</f>
        <v>3043.8936996118246</v>
      </c>
      <c r="BV221" s="52">
        <f t="shared" si="240"/>
        <v>3043.8936996118246</v>
      </c>
      <c r="BW221" s="40">
        <v>3000</v>
      </c>
      <c r="BX221" s="39">
        <f>'FY 2013 by Agency'!BV221*Inflator!E15</f>
        <v>3000</v>
      </c>
      <c r="BY221" s="39">
        <f t="shared" si="241"/>
        <v>-43.893699611824559</v>
      </c>
      <c r="BZ221" s="51">
        <f t="shared" si="242"/>
        <v>-1.442024720423783E-2</v>
      </c>
      <c r="CB221" s="39"/>
    </row>
    <row r="222" spans="1:80" s="85" customFormat="1" ht="18" customHeight="1">
      <c r="A222" s="85" t="s">
        <v>62</v>
      </c>
      <c r="B222" s="326">
        <f>'FY 2013 by Agency'!B222*Inflator!$E$2</f>
        <v>534836.79984051036</v>
      </c>
      <c r="C222" s="326">
        <f>'FY 2013 by Agency'!C222*Inflator!$E$3</f>
        <v>357224.59737248841</v>
      </c>
      <c r="D222" s="47">
        <f t="shared" si="243"/>
        <v>-177612.20246802195</v>
      </c>
      <c r="E222" s="360">
        <f t="shared" ref="E222:E244" si="252">(C222-B222)/B222</f>
        <v>-0.33208672724275207</v>
      </c>
      <c r="F222" s="10">
        <f>'FY 2013 by Agency'!F222*Inflator!$E$4</f>
        <v>360211.28283212788</v>
      </c>
      <c r="G222" s="46">
        <f t="shared" si="244"/>
        <v>2986.6854596394696</v>
      </c>
      <c r="H222" s="392">
        <f t="shared" ref="H222:H244" si="253">(F222-C222)/C222</f>
        <v>8.3608057272863724E-3</v>
      </c>
      <c r="I222" s="10">
        <f>'FY 2013 by Agency'!I222*Inflator!$E$5</f>
        <v>371609.02045370033</v>
      </c>
      <c r="J222" s="46">
        <f t="shared" si="245"/>
        <v>11397.737621572451</v>
      </c>
      <c r="K222" s="392">
        <f t="shared" ref="K222:K244" si="254">(I222-F222)/F222</f>
        <v>3.1641811805445938E-2</v>
      </c>
      <c r="L222" s="10">
        <f>'FY 2013 by Agency'!L222*Inflator!$E$6</f>
        <v>492868.10396219551</v>
      </c>
      <c r="M222" s="12">
        <f t="shared" si="246"/>
        <v>121259.08350849518</v>
      </c>
      <c r="N222" s="15">
        <f t="shared" ref="N222:N244" si="255">(L222-I222)/I222</f>
        <v>0.32630823482284965</v>
      </c>
      <c r="O222" s="10">
        <f>'FY 2013 by Agency'!O222*Inflator!$E$7</f>
        <v>512813.33826117555</v>
      </c>
      <c r="P222" s="141">
        <f t="shared" si="234"/>
        <v>19945.234298980038</v>
      </c>
      <c r="Q222" s="393">
        <f>P222/L222</f>
        <v>4.0467691332912663E-2</v>
      </c>
      <c r="R222" s="52">
        <f>'FY 2013 by Agency'!R222*Inflator!$E$8</f>
        <v>989985.26951799041</v>
      </c>
      <c r="S222" s="141">
        <f t="shared" si="251"/>
        <v>477171.93125681486</v>
      </c>
      <c r="T222" s="393">
        <f>S222/O222</f>
        <v>0.93049828398533474</v>
      </c>
      <c r="U222" s="52">
        <f>'FY 2013 by Agency'!U222*Inflator!$E$9</f>
        <v>682529.31034482759</v>
      </c>
      <c r="V222" s="141">
        <f t="shared" si="235"/>
        <v>-307455.95917316282</v>
      </c>
      <c r="W222" s="393">
        <f>V222/R222</f>
        <v>-0.31056619592214607</v>
      </c>
      <c r="X222" s="52">
        <f>'FY 2013 by Agency'!X222*Inflator!$E$10</f>
        <v>901978.54366465553</v>
      </c>
      <c r="Y222" s="33">
        <f>X222-U222</f>
        <v>219449.23331982794</v>
      </c>
      <c r="Z222" s="393">
        <f>Y222/U222</f>
        <v>0.3215235301894328</v>
      </c>
      <c r="AA222" s="52">
        <f>'FY 2013 by Agency'!AA222*Inflator!$E$11</f>
        <v>1047682.7480089202</v>
      </c>
      <c r="AB222" s="33">
        <f t="shared" si="221"/>
        <v>145704.2043442647</v>
      </c>
      <c r="AC222" s="45">
        <f t="shared" si="222"/>
        <v>0.16153843721412925</v>
      </c>
      <c r="AD222" s="12" t="e">
        <f>'FY 2013 by Agency'!AD222*Inflator!#REF!</f>
        <v>#REF!</v>
      </c>
      <c r="AE222" s="141">
        <f>SUM(AE198:AE220)</f>
        <v>0</v>
      </c>
      <c r="AF222" s="52">
        <f>'FY 2013 by Agency'!AF222*Inflator!$E$12</f>
        <v>813824.19360902265</v>
      </c>
      <c r="AG222" s="46">
        <f t="shared" si="223"/>
        <v>-233858.55439989758</v>
      </c>
      <c r="AH222" s="45">
        <f t="shared" si="224"/>
        <v>-0.22321504753641935</v>
      </c>
      <c r="AI222" s="141">
        <f t="shared" ref="AI222:AS222" si="256">SUM(AI198:AI220)</f>
        <v>0</v>
      </c>
      <c r="AJ222" s="141">
        <f t="shared" si="256"/>
        <v>0</v>
      </c>
      <c r="AK222" s="141">
        <f t="shared" si="256"/>
        <v>703920</v>
      </c>
      <c r="AL222" s="141">
        <f t="shared" si="256"/>
        <v>3467</v>
      </c>
      <c r="AM222" s="141">
        <f t="shared" si="256"/>
        <v>707387</v>
      </c>
      <c r="AN222" s="141">
        <f t="shared" si="256"/>
        <v>643142</v>
      </c>
      <c r="AO222" s="141">
        <f t="shared" si="256"/>
        <v>905453</v>
      </c>
      <c r="AP222" s="141">
        <f t="shared" si="256"/>
        <v>0</v>
      </c>
      <c r="AQ222" s="141">
        <f t="shared" si="256"/>
        <v>0</v>
      </c>
      <c r="AR222" s="141">
        <f t="shared" si="256"/>
        <v>0</v>
      </c>
      <c r="AS222" s="141">
        <f t="shared" si="256"/>
        <v>861536.56293000001</v>
      </c>
      <c r="AT222" s="46" t="e">
        <f t="shared" si="225"/>
        <v>#REF!</v>
      </c>
      <c r="AU222" s="45" t="e">
        <f t="shared" si="226"/>
        <v>#REF!</v>
      </c>
      <c r="AV222" s="46">
        <f t="shared" si="227"/>
        <v>47712.369320977363</v>
      </c>
      <c r="AW222" s="45">
        <f t="shared" si="228"/>
        <v>5.8627366568435216E-2</v>
      </c>
      <c r="AX222" s="45"/>
      <c r="AY222" s="90">
        <f>SUM(AY198:AY221)</f>
        <v>896853</v>
      </c>
      <c r="AZ222" s="45">
        <f>+AY222/AF222</f>
        <v>1.1020230254187626</v>
      </c>
      <c r="BA222" s="45"/>
      <c r="BB222" s="394">
        <f>SUM(BB198:BB220)</f>
        <v>844336.56293000001</v>
      </c>
      <c r="BC222" s="45">
        <f t="shared" si="232"/>
        <v>3.7492580781686824E-2</v>
      </c>
      <c r="BD222" s="395">
        <f>SUM(BD198:BD220)</f>
        <v>0</v>
      </c>
      <c r="BE222" s="395"/>
      <c r="BF222" s="392">
        <f>(BB222-X222)/X222</f>
        <v>-6.3906155129213466E-2</v>
      </c>
      <c r="BI222" s="396">
        <f>SUM(BI198:BI221)</f>
        <v>938024</v>
      </c>
      <c r="BJ222" s="90">
        <f>SUM(BJ198:BJ221)</f>
        <v>41171</v>
      </c>
      <c r="BK222" s="396">
        <f>SUM(BK198:BK221)</f>
        <v>938024</v>
      </c>
      <c r="BL222" s="582">
        <f>SUM(BL198:BL221)</f>
        <v>893347.95265063772</v>
      </c>
      <c r="BM222" s="52">
        <f t="shared" si="239"/>
        <v>79523.759041615063</v>
      </c>
      <c r="BN222" s="540">
        <f>BM222/AF222</f>
        <v>9.7716140250089276E-2</v>
      </c>
      <c r="BO222" s="12">
        <f>'FY 2013 by Agency'!AX222*Inflator!$E$13</f>
        <v>972659.61306072643</v>
      </c>
      <c r="BP222" s="12">
        <f t="shared" si="247"/>
        <v>158835.41945170378</v>
      </c>
      <c r="BQ222" s="15">
        <f t="shared" si="248"/>
        <v>0.1951716607825639</v>
      </c>
      <c r="BR222" s="12">
        <f>'FY 2013 by Agency'!BE222*Inflator!$E$14</f>
        <v>1017140.4162436549</v>
      </c>
      <c r="BS222" s="12">
        <f t="shared" si="249"/>
        <v>44480.803182928474</v>
      </c>
      <c r="BT222" s="15">
        <f t="shared" si="250"/>
        <v>4.5731109409342142E-2</v>
      </c>
      <c r="BU222" s="141">
        <f>SUM(BU198:BU221)</f>
        <v>1017140.4162436547</v>
      </c>
      <c r="BV222" s="52">
        <f t="shared" si="240"/>
        <v>123792.46359301696</v>
      </c>
      <c r="BW222" s="30">
        <f>SUM(BW198:BW221)</f>
        <v>1033696</v>
      </c>
      <c r="BX222" s="141" t="e">
        <f>SUM(BX198:BX221)</f>
        <v>#REF!</v>
      </c>
      <c r="BY222" s="39">
        <f t="shared" si="241"/>
        <v>16555.583756345091</v>
      </c>
      <c r="BZ222" s="51">
        <f t="shared" si="242"/>
        <v>1.6276596123754088E-2</v>
      </c>
      <c r="CB222" s="39"/>
    </row>
    <row r="223" spans="1:80" s="85" customFormat="1" ht="18" customHeight="1">
      <c r="B223" s="326"/>
      <c r="C223" s="326"/>
      <c r="D223" s="47"/>
      <c r="E223" s="360"/>
      <c r="F223" s="10"/>
      <c r="G223" s="46"/>
      <c r="H223" s="392"/>
      <c r="I223" s="10"/>
      <c r="J223" s="46"/>
      <c r="K223" s="392"/>
      <c r="L223" s="10"/>
      <c r="M223" s="12"/>
      <c r="N223" s="15"/>
      <c r="O223" s="10"/>
      <c r="P223" s="141"/>
      <c r="Q223" s="393"/>
      <c r="R223" s="52"/>
      <c r="S223" s="141"/>
      <c r="T223" s="393"/>
      <c r="U223" s="52"/>
      <c r="V223" s="141"/>
      <c r="W223" s="393"/>
      <c r="X223" s="52"/>
      <c r="Y223" s="33"/>
      <c r="Z223" s="393"/>
      <c r="AA223" s="52"/>
      <c r="AB223" s="33"/>
      <c r="AC223" s="45"/>
      <c r="AD223" s="12"/>
      <c r="AE223" s="141"/>
      <c r="AF223" s="52"/>
      <c r="AG223" s="46"/>
      <c r="AH223" s="45"/>
      <c r="AI223" s="141"/>
      <c r="AJ223" s="141"/>
      <c r="AK223" s="141"/>
      <c r="AL223" s="141"/>
      <c r="AM223" s="141"/>
      <c r="AN223" s="141"/>
      <c r="AO223" s="141"/>
      <c r="AP223" s="141"/>
      <c r="AQ223" s="141"/>
      <c r="AR223" s="141"/>
      <c r="AS223" s="141"/>
      <c r="AT223" s="46"/>
      <c r="AU223" s="45"/>
      <c r="AV223" s="46"/>
      <c r="AW223" s="45"/>
      <c r="AX223" s="45"/>
      <c r="AY223" s="90"/>
      <c r="AZ223" s="45"/>
      <c r="BA223" s="45"/>
      <c r="BB223" s="394"/>
      <c r="BC223" s="45"/>
      <c r="BD223" s="395"/>
      <c r="BE223" s="395"/>
      <c r="BF223" s="392"/>
      <c r="BI223" s="396"/>
      <c r="BJ223" s="90"/>
      <c r="BK223" s="396"/>
      <c r="BL223" s="582"/>
      <c r="BM223" s="205"/>
      <c r="BN223" s="540"/>
      <c r="BO223" s="52"/>
      <c r="BP223" s="52"/>
      <c r="BQ223" s="50"/>
      <c r="BR223" s="52"/>
      <c r="BS223" s="52"/>
      <c r="BT223" s="50"/>
      <c r="BU223" s="205"/>
      <c r="BV223" s="205"/>
      <c r="BW223" s="39"/>
      <c r="BY223" s="39">
        <f t="shared" si="241"/>
        <v>0</v>
      </c>
      <c r="BZ223" s="51" t="e">
        <f t="shared" si="242"/>
        <v>#DIV/0!</v>
      </c>
      <c r="CB223" s="39"/>
    </row>
    <row r="224" spans="1:80" s="63" customFormat="1" ht="18" customHeight="1">
      <c r="A224" s="73" t="s">
        <v>197</v>
      </c>
      <c r="B224" s="326"/>
      <c r="C224" s="326"/>
      <c r="D224" s="329"/>
      <c r="E224" s="329"/>
      <c r="F224" s="10"/>
      <c r="G224" s="10"/>
      <c r="H224" s="329"/>
      <c r="I224" s="329"/>
      <c r="J224" s="329"/>
      <c r="K224" s="329"/>
      <c r="L224" s="10"/>
      <c r="M224" s="10"/>
      <c r="N224" s="14"/>
      <c r="O224" s="10"/>
      <c r="P224" s="46"/>
      <c r="Q224" s="36"/>
      <c r="R224" s="52"/>
      <c r="S224" s="12"/>
      <c r="T224" s="36"/>
      <c r="U224" s="52"/>
      <c r="V224" s="46"/>
      <c r="W224" s="45"/>
      <c r="X224" s="52"/>
      <c r="Y224" s="30"/>
      <c r="Z224" s="36"/>
      <c r="AA224" s="52"/>
      <c r="AB224" s="30"/>
      <c r="AC224" s="12"/>
      <c r="AD224" s="52"/>
      <c r="AE224" s="47"/>
      <c r="AF224" s="12"/>
      <c r="AG224" s="12"/>
      <c r="AH224" s="12"/>
      <c r="AI224" s="46"/>
      <c r="AJ224" s="90"/>
      <c r="AK224" s="90"/>
      <c r="AL224" s="90"/>
      <c r="AM224" s="90"/>
      <c r="AN224" s="165"/>
      <c r="AO224" s="97"/>
      <c r="AP224" s="46"/>
      <c r="AQ224" s="46"/>
      <c r="AR224" s="46"/>
      <c r="AS224" s="46"/>
      <c r="AT224" s="12"/>
      <c r="AU224" s="30"/>
      <c r="AV224" s="97"/>
      <c r="AW224" s="141"/>
      <c r="BD224" s="308"/>
      <c r="BE224" s="308"/>
      <c r="BI224" s="80"/>
      <c r="BK224" s="321"/>
      <c r="BL224" s="577"/>
      <c r="BM224" s="69"/>
      <c r="BN224" s="392"/>
      <c r="BP224" s="52"/>
      <c r="BQ224" s="50"/>
      <c r="BR224" s="52"/>
      <c r="BS224" s="52"/>
      <c r="BT224" s="50"/>
      <c r="BU224" s="69"/>
      <c r="BV224" s="69"/>
      <c r="BW224" s="39"/>
      <c r="BX224" s="141"/>
      <c r="BY224" s="39">
        <f t="shared" si="241"/>
        <v>0</v>
      </c>
      <c r="BZ224" s="51" t="e">
        <f t="shared" si="242"/>
        <v>#DIV/0!</v>
      </c>
      <c r="CB224" s="39"/>
    </row>
    <row r="225" spans="1:80" s="63" customFormat="1" ht="18" customHeight="1">
      <c r="A225" s="253" t="s">
        <v>363</v>
      </c>
      <c r="B225" s="326"/>
      <c r="C225" s="326"/>
      <c r="D225" s="329"/>
      <c r="E225" s="329"/>
      <c r="F225" s="10"/>
      <c r="G225" s="10"/>
      <c r="H225" s="329"/>
      <c r="I225" s="329"/>
      <c r="J225" s="329"/>
      <c r="K225" s="329"/>
      <c r="L225" s="10"/>
      <c r="M225" s="10"/>
      <c r="N225" s="14"/>
      <c r="O225" s="10"/>
      <c r="P225" s="46"/>
      <c r="Q225" s="36"/>
      <c r="R225" s="52"/>
      <c r="S225" s="12"/>
      <c r="T225" s="36"/>
      <c r="U225" s="52"/>
      <c r="V225" s="46"/>
      <c r="W225" s="45"/>
      <c r="X225" s="52"/>
      <c r="Y225" s="30"/>
      <c r="Z225" s="36"/>
      <c r="AA225" s="52"/>
      <c r="AB225" s="30"/>
      <c r="AC225" s="12"/>
      <c r="AD225" s="52"/>
      <c r="AE225" s="47"/>
      <c r="AF225" s="12"/>
      <c r="AG225" s="12"/>
      <c r="AH225" s="12"/>
      <c r="AI225" s="46"/>
      <c r="AJ225" s="90"/>
      <c r="AK225" s="90"/>
      <c r="AL225" s="90"/>
      <c r="AM225" s="90"/>
      <c r="AN225" s="165"/>
      <c r="AO225" s="97"/>
      <c r="AP225" s="46"/>
      <c r="AQ225" s="46"/>
      <c r="AR225" s="46"/>
      <c r="AS225" s="46"/>
      <c r="AT225" s="12"/>
      <c r="AU225" s="30"/>
      <c r="AV225" s="97"/>
      <c r="AW225" s="141"/>
      <c r="AY225" s="291"/>
      <c r="BD225" s="308"/>
      <c r="BE225" s="308"/>
      <c r="BI225" s="80"/>
      <c r="BK225" s="321"/>
      <c r="BL225" s="577"/>
      <c r="BM225" s="69"/>
      <c r="BN225" s="392"/>
      <c r="BP225" s="52"/>
      <c r="BQ225" s="50"/>
      <c r="BR225" s="52"/>
      <c r="BS225" s="52"/>
      <c r="BT225" s="50"/>
      <c r="BU225" s="69"/>
      <c r="BV225" s="69"/>
      <c r="BW225" s="39"/>
      <c r="BY225" s="39">
        <f t="shared" si="241"/>
        <v>0</v>
      </c>
      <c r="BZ225" s="51" t="e">
        <f t="shared" si="242"/>
        <v>#DIV/0!</v>
      </c>
      <c r="CB225" s="39"/>
    </row>
    <row r="226" spans="1:80" s="63" customFormat="1" ht="18" customHeight="1" thickBot="1">
      <c r="A226" s="253" t="s">
        <v>400</v>
      </c>
      <c r="B226" s="326"/>
      <c r="C226" s="326"/>
      <c r="D226" s="329"/>
      <c r="E226" s="329"/>
      <c r="F226" s="10"/>
      <c r="G226" s="10"/>
      <c r="H226" s="329"/>
      <c r="I226" s="329"/>
      <c r="J226" s="329"/>
      <c r="K226" s="329"/>
      <c r="L226" s="10"/>
      <c r="M226" s="10"/>
      <c r="N226" s="14"/>
      <c r="O226" s="10"/>
      <c r="P226" s="46"/>
      <c r="Q226" s="36"/>
      <c r="R226" s="52"/>
      <c r="S226" s="12"/>
      <c r="T226" s="36"/>
      <c r="U226" s="52"/>
      <c r="V226" s="46"/>
      <c r="W226" s="45"/>
      <c r="X226" s="52"/>
      <c r="Y226" s="30"/>
      <c r="Z226" s="36"/>
      <c r="AA226" s="52"/>
      <c r="AB226" s="30"/>
      <c r="AC226" s="28"/>
      <c r="AD226" s="52"/>
      <c r="AE226" s="180"/>
      <c r="AF226" s="163"/>
      <c r="AG226" s="163"/>
      <c r="AH226" s="163"/>
      <c r="AI226" s="163"/>
      <c r="AM226" s="84"/>
      <c r="AN226" s="172"/>
      <c r="AO226" s="101"/>
      <c r="AP226" s="69"/>
      <c r="AQ226" s="69"/>
      <c r="AR226" s="69"/>
      <c r="AS226" s="52"/>
      <c r="AT226" s="52"/>
      <c r="AU226" s="40"/>
      <c r="AV226" s="101"/>
      <c r="AW226" s="155"/>
      <c r="BD226" s="308"/>
      <c r="BE226" s="308"/>
      <c r="BI226" s="80"/>
      <c r="BK226" s="321"/>
      <c r="BL226" s="577"/>
      <c r="BM226" s="69"/>
      <c r="BN226" s="392"/>
      <c r="BP226" s="52"/>
      <c r="BQ226" s="50"/>
      <c r="BR226" s="52"/>
      <c r="BS226" s="52"/>
      <c r="BT226" s="50"/>
      <c r="BU226" s="69"/>
      <c r="BV226" s="69"/>
      <c r="BW226" s="102"/>
      <c r="BY226" s="39">
        <f t="shared" si="241"/>
        <v>0</v>
      </c>
      <c r="BZ226" s="51" t="e">
        <f t="shared" si="242"/>
        <v>#DIV/0!</v>
      </c>
      <c r="CB226" s="39"/>
    </row>
    <row r="227" spans="1:80" s="54" customFormat="1" ht="18" customHeight="1" thickBot="1">
      <c r="A227" s="247" t="s">
        <v>479</v>
      </c>
      <c r="B227" s="332"/>
      <c r="C227" s="332"/>
      <c r="D227" s="333"/>
      <c r="E227" s="333"/>
      <c r="F227" s="354"/>
      <c r="G227" s="354"/>
      <c r="H227" s="333"/>
      <c r="I227" s="333"/>
      <c r="J227" s="333"/>
      <c r="K227" s="333"/>
      <c r="L227" s="354"/>
      <c r="M227" s="354"/>
      <c r="N227" s="16"/>
      <c r="O227" s="354"/>
      <c r="P227" s="209"/>
      <c r="Q227" s="212"/>
      <c r="R227" s="75"/>
      <c r="S227" s="209"/>
      <c r="T227" s="212"/>
      <c r="U227" s="75"/>
      <c r="V227" s="209"/>
      <c r="W227" s="212"/>
      <c r="X227" s="75"/>
      <c r="Y227" s="213"/>
      <c r="Z227" s="212"/>
      <c r="AA227" s="75"/>
      <c r="AB227" s="213"/>
      <c r="AC227" s="214"/>
      <c r="AD227" s="75"/>
      <c r="AE227" s="215"/>
      <c r="AF227" s="216"/>
      <c r="AG227" s="216"/>
      <c r="AH227" s="216"/>
      <c r="AI227" s="216"/>
      <c r="AM227" s="127"/>
      <c r="AN227" s="174"/>
      <c r="AO227" s="129"/>
      <c r="AP227" s="75"/>
      <c r="AQ227" s="75"/>
      <c r="AR227" s="75"/>
      <c r="AS227" s="75"/>
      <c r="AT227" s="75"/>
      <c r="AU227" s="102"/>
      <c r="AV227" s="129"/>
      <c r="AW227" s="278"/>
      <c r="BD227" s="285"/>
      <c r="BE227" s="285"/>
      <c r="BI227" s="94"/>
      <c r="BK227" s="325"/>
      <c r="BL227" s="578"/>
      <c r="BM227" s="75"/>
      <c r="BN227" s="589"/>
      <c r="BP227" s="75"/>
      <c r="BR227" s="75"/>
      <c r="BS227" s="75"/>
      <c r="BU227" s="75"/>
      <c r="BV227" s="75"/>
      <c r="BW227" s="39"/>
      <c r="BY227" s="39">
        <f t="shared" si="241"/>
        <v>0</v>
      </c>
      <c r="BZ227" s="51" t="e">
        <f t="shared" si="242"/>
        <v>#DIV/0!</v>
      </c>
      <c r="CB227" s="39"/>
    </row>
    <row r="228" spans="1:80" s="63" customFormat="1" ht="18" hidden="1" customHeight="1">
      <c r="B228" s="326" t="e">
        <f>'FY 2013 by Agency'!B227*Inflator!#REF!</f>
        <v>#REF!</v>
      </c>
      <c r="C228" s="326" t="e">
        <f>'FY 2013 by Agency'!C227*Inflator!#REF!</f>
        <v>#REF!</v>
      </c>
      <c r="D228" s="326" t="e">
        <f t="shared" si="243"/>
        <v>#REF!</v>
      </c>
      <c r="E228" s="355" t="e">
        <f t="shared" si="252"/>
        <v>#REF!</v>
      </c>
      <c r="F228" s="10" t="e">
        <f>'FY 2013 by Agency'!F227*Inflator!#REF!</f>
        <v>#REF!</v>
      </c>
      <c r="G228" s="10" t="e">
        <f t="shared" si="244"/>
        <v>#REF!</v>
      </c>
      <c r="H228" s="14" t="e">
        <f t="shared" si="253"/>
        <v>#REF!</v>
      </c>
      <c r="I228" s="10" t="e">
        <f>'FY 2013 by Agency'!I227*Inflator!#REF!</f>
        <v>#REF!</v>
      </c>
      <c r="J228" s="10" t="e">
        <f t="shared" si="245"/>
        <v>#REF!</v>
      </c>
      <c r="K228" s="14" t="e">
        <f t="shared" si="254"/>
        <v>#REF!</v>
      </c>
      <c r="L228" s="10" t="e">
        <f>'FY 2013 by Agency'!L227*Inflator!#REF!</f>
        <v>#REF!</v>
      </c>
      <c r="M228" s="10" t="e">
        <f t="shared" si="246"/>
        <v>#REF!</v>
      </c>
      <c r="N228" s="14" t="e">
        <f t="shared" si="255"/>
        <v>#REF!</v>
      </c>
      <c r="O228" s="10" t="e">
        <f>'FY 2013 by Agency'!O227*Inflator!#REF!</f>
        <v>#REF!</v>
      </c>
      <c r="P228" s="69"/>
      <c r="Q228" s="60"/>
      <c r="R228" s="52" t="e">
        <f>'FY 2013 by Agency'!R227*Inflator!#REF!</f>
        <v>#REF!</v>
      </c>
      <c r="S228" s="52"/>
      <c r="T228" s="60"/>
      <c r="U228" s="52" t="e">
        <f>'FY 2013 by Agency'!U227*Inflator!#REF!</f>
        <v>#REF!</v>
      </c>
      <c r="V228" s="69"/>
      <c r="W228" s="60"/>
      <c r="X228" s="52" t="e">
        <f>'FY 2013 by Agency'!X227*Inflator!#REF!</f>
        <v>#REF!</v>
      </c>
      <c r="Y228" s="39"/>
      <c r="Z228" s="58"/>
      <c r="AA228" s="52" t="e">
        <f>'FY 2013 by Agency'!AA227*Inflator!#REF!</f>
        <v>#REF!</v>
      </c>
      <c r="AB228" s="39"/>
      <c r="AC228" s="65"/>
      <c r="AD228" s="52" t="e">
        <f>'FY 2013 by Agency'!AD227*Inflator!#REF!</f>
        <v>#REF!</v>
      </c>
      <c r="AE228" s="166"/>
      <c r="AF228" s="157"/>
      <c r="AG228" s="157"/>
      <c r="AH228" s="157"/>
      <c r="AI228" s="157"/>
      <c r="AM228" s="84"/>
      <c r="AN228" s="172">
        <f t="shared" ref="AN228:AN242" si="257">AI225-AE228</f>
        <v>0</v>
      </c>
      <c r="AO228" s="101"/>
      <c r="AP228" s="69"/>
      <c r="AQ228" s="69"/>
      <c r="AR228" s="69"/>
      <c r="AS228" s="52"/>
      <c r="AT228" s="52">
        <f t="shared" ref="AT228:AT242" si="258">AM228/1000</f>
        <v>0</v>
      </c>
      <c r="AU228" s="40"/>
      <c r="AV228" s="101"/>
      <c r="AW228" s="155"/>
      <c r="BD228" s="308"/>
      <c r="BE228" s="308"/>
      <c r="BI228" s="80"/>
      <c r="BK228" s="321"/>
      <c r="BL228" s="577">
        <f>'FY 2013 by Agency'!AS228*Inflator!$E$13</f>
        <v>0</v>
      </c>
      <c r="BM228" s="69">
        <f>'FY 2013 by Agency'!AT228*Inflator!$E$13</f>
        <v>0</v>
      </c>
      <c r="BN228" s="392" t="e">
        <f t="shared" ref="BN228:BN244" si="259">BM228/AF228</f>
        <v>#DIV/0!</v>
      </c>
      <c r="BP228" s="52">
        <f t="shared" si="247"/>
        <v>0</v>
      </c>
      <c r="BQ228" s="50" t="e">
        <f t="shared" si="248"/>
        <v>#DIV/0!</v>
      </c>
      <c r="BR228" s="52">
        <f>'FY 2013 by Agency'!BE227*Inflator!$E$14</f>
        <v>0</v>
      </c>
      <c r="BS228" s="52">
        <f t="shared" si="249"/>
        <v>0</v>
      </c>
      <c r="BT228" s="50" t="e">
        <f t="shared" si="250"/>
        <v>#DIV/0!</v>
      </c>
      <c r="BU228" s="69">
        <f>'FY 2013 by Agency'!BL228*Inflator!$E$14</f>
        <v>0</v>
      </c>
      <c r="BV228" s="69">
        <f>'FY 2013 by Agency'!BM228*Inflator!$E$14</f>
        <v>0</v>
      </c>
      <c r="BW228" s="39"/>
      <c r="BY228" s="39">
        <f t="shared" si="241"/>
        <v>0</v>
      </c>
      <c r="BZ228" s="51" t="e">
        <f t="shared" si="242"/>
        <v>#DIV/0!</v>
      </c>
      <c r="CB228" s="39">
        <f t="shared" ref="CB228:CB242" si="260">BW228-BR228</f>
        <v>0</v>
      </c>
    </row>
    <row r="229" spans="1:80" s="63" customFormat="1" ht="18" hidden="1" customHeight="1">
      <c r="A229" s="53"/>
      <c r="B229" s="326" t="e">
        <f>'FY 2013 by Agency'!B228*Inflator!#REF!</f>
        <v>#REF!</v>
      </c>
      <c r="C229" s="326" t="e">
        <f>'FY 2013 by Agency'!C228*Inflator!#REF!</f>
        <v>#REF!</v>
      </c>
      <c r="D229" s="326" t="e">
        <f t="shared" si="243"/>
        <v>#REF!</v>
      </c>
      <c r="E229" s="355" t="e">
        <f t="shared" si="252"/>
        <v>#REF!</v>
      </c>
      <c r="F229" s="10" t="e">
        <f>'FY 2013 by Agency'!F228*Inflator!#REF!</f>
        <v>#REF!</v>
      </c>
      <c r="G229" s="10" t="e">
        <f t="shared" si="244"/>
        <v>#REF!</v>
      </c>
      <c r="H229" s="14" t="e">
        <f t="shared" si="253"/>
        <v>#REF!</v>
      </c>
      <c r="I229" s="10" t="e">
        <f>'FY 2013 by Agency'!I228*Inflator!#REF!</f>
        <v>#REF!</v>
      </c>
      <c r="J229" s="10" t="e">
        <f t="shared" si="245"/>
        <v>#REF!</v>
      </c>
      <c r="K229" s="14" t="e">
        <f t="shared" si="254"/>
        <v>#REF!</v>
      </c>
      <c r="L229" s="10" t="e">
        <f>'FY 2013 by Agency'!L228*Inflator!#REF!</f>
        <v>#REF!</v>
      </c>
      <c r="M229" s="10" t="e">
        <f t="shared" si="246"/>
        <v>#REF!</v>
      </c>
      <c r="N229" s="14" t="e">
        <f t="shared" si="255"/>
        <v>#REF!</v>
      </c>
      <c r="O229" s="10" t="e">
        <f>'FY 2013 by Agency'!O228*Inflator!#REF!</f>
        <v>#REF!</v>
      </c>
      <c r="P229" s="69"/>
      <c r="Q229" s="60"/>
      <c r="R229" s="52" t="e">
        <f>'FY 2013 by Agency'!R228*Inflator!#REF!</f>
        <v>#REF!</v>
      </c>
      <c r="S229" s="52"/>
      <c r="T229" s="60"/>
      <c r="U229" s="52" t="e">
        <f>'FY 2013 by Agency'!U228*Inflator!#REF!</f>
        <v>#REF!</v>
      </c>
      <c r="V229" s="69"/>
      <c r="W229" s="60"/>
      <c r="X229" s="52" t="e">
        <f>'FY 2013 by Agency'!X228*Inflator!#REF!</f>
        <v>#REF!</v>
      </c>
      <c r="Y229" s="39"/>
      <c r="Z229" s="58"/>
      <c r="AA229" s="52" t="e">
        <f>'FY 2013 by Agency'!AA228*Inflator!#REF!</f>
        <v>#REF!</v>
      </c>
      <c r="AB229" s="39"/>
      <c r="AC229" s="65"/>
      <c r="AD229" s="52" t="e">
        <f>'FY 2013 by Agency'!AD228*Inflator!#REF!</f>
        <v>#REF!</v>
      </c>
      <c r="AE229" s="166"/>
      <c r="AF229" s="157"/>
      <c r="AG229" s="157"/>
      <c r="AH229" s="157"/>
      <c r="AI229" s="157"/>
      <c r="AJ229" s="88">
        <v>0</v>
      </c>
      <c r="AK229" s="88">
        <v>0</v>
      </c>
      <c r="AL229" s="88">
        <v>0</v>
      </c>
      <c r="AM229" s="86">
        <v>0</v>
      </c>
      <c r="AN229" s="172">
        <f t="shared" si="257"/>
        <v>0</v>
      </c>
      <c r="AO229" s="101"/>
      <c r="AP229" s="160">
        <v>0</v>
      </c>
      <c r="AQ229" s="160">
        <v>0</v>
      </c>
      <c r="AR229" s="160">
        <v>0</v>
      </c>
      <c r="AS229" s="164">
        <v>0</v>
      </c>
      <c r="AT229" s="52">
        <f t="shared" si="258"/>
        <v>0</v>
      </c>
      <c r="AU229" s="40"/>
      <c r="AV229" s="101"/>
      <c r="AW229" s="155">
        <v>393623</v>
      </c>
      <c r="BD229" s="308"/>
      <c r="BE229" s="308"/>
      <c r="BI229" s="80"/>
      <c r="BK229" s="321"/>
      <c r="BL229" s="577">
        <f>'FY 2013 by Agency'!AS229*Inflator!$E$13</f>
        <v>0</v>
      </c>
      <c r="BM229" s="69">
        <f>'FY 2013 by Agency'!AT229*Inflator!$E$13</f>
        <v>0</v>
      </c>
      <c r="BN229" s="392" t="e">
        <f t="shared" si="259"/>
        <v>#DIV/0!</v>
      </c>
      <c r="BP229" s="52">
        <f t="shared" si="247"/>
        <v>0</v>
      </c>
      <c r="BQ229" s="50" t="e">
        <f t="shared" si="248"/>
        <v>#DIV/0!</v>
      </c>
      <c r="BR229" s="52">
        <f>'FY 2013 by Agency'!BE228*Inflator!$E$14</f>
        <v>0</v>
      </c>
      <c r="BS229" s="52">
        <f t="shared" si="249"/>
        <v>0</v>
      </c>
      <c r="BT229" s="50" t="e">
        <f t="shared" si="250"/>
        <v>#DIV/0!</v>
      </c>
      <c r="BU229" s="69">
        <f>'FY 2013 by Agency'!BL229*Inflator!$E$14</f>
        <v>0</v>
      </c>
      <c r="BV229" s="69">
        <f>'FY 2013 by Agency'!BM229*Inflator!$E$14</f>
        <v>0</v>
      </c>
      <c r="BW229" s="39"/>
      <c r="BY229" s="39">
        <f t="shared" si="241"/>
        <v>0</v>
      </c>
      <c r="BZ229" s="51" t="e">
        <f t="shared" si="242"/>
        <v>#DIV/0!</v>
      </c>
      <c r="CB229" s="39">
        <f t="shared" si="260"/>
        <v>0</v>
      </c>
    </row>
    <row r="230" spans="1:80" s="63" customFormat="1" ht="18" hidden="1" customHeight="1">
      <c r="A230" s="53"/>
      <c r="B230" s="326" t="e">
        <f>'FY 2013 by Agency'!B229*Inflator!#REF!</f>
        <v>#REF!</v>
      </c>
      <c r="C230" s="326" t="e">
        <f>'FY 2013 by Agency'!C229*Inflator!#REF!</f>
        <v>#REF!</v>
      </c>
      <c r="D230" s="326" t="e">
        <f t="shared" si="243"/>
        <v>#REF!</v>
      </c>
      <c r="E230" s="355" t="e">
        <f t="shared" si="252"/>
        <v>#REF!</v>
      </c>
      <c r="F230" s="10" t="e">
        <f>'FY 2013 by Agency'!F229*Inflator!#REF!</f>
        <v>#REF!</v>
      </c>
      <c r="G230" s="10" t="e">
        <f t="shared" si="244"/>
        <v>#REF!</v>
      </c>
      <c r="H230" s="14" t="e">
        <f t="shared" si="253"/>
        <v>#REF!</v>
      </c>
      <c r="I230" s="10" t="e">
        <f>'FY 2013 by Agency'!I229*Inflator!#REF!</f>
        <v>#REF!</v>
      </c>
      <c r="J230" s="10" t="e">
        <f t="shared" si="245"/>
        <v>#REF!</v>
      </c>
      <c r="K230" s="14" t="e">
        <f t="shared" si="254"/>
        <v>#REF!</v>
      </c>
      <c r="L230" s="10" t="e">
        <f>'FY 2013 by Agency'!L229*Inflator!#REF!</f>
        <v>#REF!</v>
      </c>
      <c r="M230" s="10" t="e">
        <f t="shared" si="246"/>
        <v>#REF!</v>
      </c>
      <c r="N230" s="14" t="e">
        <f t="shared" si="255"/>
        <v>#REF!</v>
      </c>
      <c r="O230" s="10" t="e">
        <f>'FY 2013 by Agency'!O229*Inflator!#REF!</f>
        <v>#REF!</v>
      </c>
      <c r="P230" s="69"/>
      <c r="Q230" s="60"/>
      <c r="R230" s="52" t="e">
        <f>'FY 2013 by Agency'!R229*Inflator!#REF!</f>
        <v>#REF!</v>
      </c>
      <c r="S230" s="52"/>
      <c r="T230" s="60"/>
      <c r="U230" s="52" t="e">
        <f>'FY 2013 by Agency'!U229*Inflator!#REF!</f>
        <v>#REF!</v>
      </c>
      <c r="V230" s="69"/>
      <c r="W230" s="60"/>
      <c r="X230" s="52" t="e">
        <f>'FY 2013 by Agency'!X229*Inflator!#REF!</f>
        <v>#REF!</v>
      </c>
      <c r="Y230" s="39"/>
      <c r="Z230" s="58"/>
      <c r="AA230" s="52" t="e">
        <f>'FY 2013 by Agency'!AA229*Inflator!#REF!</f>
        <v>#REF!</v>
      </c>
      <c r="AB230" s="39"/>
      <c r="AC230" s="65"/>
      <c r="AD230" s="52" t="e">
        <f>'FY 2013 by Agency'!AD229*Inflator!#REF!</f>
        <v>#REF!</v>
      </c>
      <c r="AE230" s="166"/>
      <c r="AF230" s="157"/>
      <c r="AG230" s="157"/>
      <c r="AH230" s="157"/>
      <c r="AI230" s="157"/>
      <c r="AJ230" s="88">
        <v>0</v>
      </c>
      <c r="AK230" s="88">
        <v>0</v>
      </c>
      <c r="AL230" s="88">
        <v>0</v>
      </c>
      <c r="AM230" s="86">
        <f t="shared" ref="AM230:AM240" si="261">SUM(AJ230:AL230)</f>
        <v>0</v>
      </c>
      <c r="AN230" s="172">
        <f t="shared" si="257"/>
        <v>0</v>
      </c>
      <c r="AO230" s="101"/>
      <c r="AP230" s="167">
        <v>0</v>
      </c>
      <c r="AQ230" s="167">
        <v>0</v>
      </c>
      <c r="AR230" s="167">
        <v>0</v>
      </c>
      <c r="AS230" s="164">
        <f t="shared" ref="AS230:AS240" si="262">SUM(AP230:AR230)</f>
        <v>0</v>
      </c>
      <c r="AT230" s="52">
        <f t="shared" si="258"/>
        <v>0</v>
      </c>
      <c r="AU230" s="40"/>
      <c r="AV230" s="101"/>
      <c r="AW230" s="155">
        <v>54356</v>
      </c>
      <c r="BD230" s="308"/>
      <c r="BE230" s="308"/>
      <c r="BI230" s="80"/>
      <c r="BK230" s="321"/>
      <c r="BL230" s="577">
        <f>'FY 2013 by Agency'!AS230*Inflator!$E$13</f>
        <v>0</v>
      </c>
      <c r="BM230" s="69">
        <f>'FY 2013 by Agency'!AT230*Inflator!$E$13</f>
        <v>0</v>
      </c>
      <c r="BN230" s="392" t="e">
        <f t="shared" si="259"/>
        <v>#DIV/0!</v>
      </c>
      <c r="BP230" s="52">
        <f t="shared" si="247"/>
        <v>0</v>
      </c>
      <c r="BQ230" s="50" t="e">
        <f t="shared" si="248"/>
        <v>#DIV/0!</v>
      </c>
      <c r="BR230" s="52">
        <f>'FY 2013 by Agency'!BE229*Inflator!$E$14</f>
        <v>0</v>
      </c>
      <c r="BS230" s="52">
        <f t="shared" si="249"/>
        <v>0</v>
      </c>
      <c r="BT230" s="50" t="e">
        <f t="shared" si="250"/>
        <v>#DIV/0!</v>
      </c>
      <c r="BU230" s="69">
        <f>'FY 2013 by Agency'!BL230*Inflator!$E$14</f>
        <v>0</v>
      </c>
      <c r="BV230" s="69">
        <f>'FY 2013 by Agency'!BM230*Inflator!$E$14</f>
        <v>0</v>
      </c>
      <c r="BW230" s="39"/>
      <c r="BY230" s="39">
        <f t="shared" si="241"/>
        <v>0</v>
      </c>
      <c r="BZ230" s="51" t="e">
        <f t="shared" si="242"/>
        <v>#DIV/0!</v>
      </c>
      <c r="CB230" s="39">
        <f t="shared" si="260"/>
        <v>0</v>
      </c>
    </row>
    <row r="231" spans="1:80" s="63" customFormat="1" ht="18" hidden="1" customHeight="1">
      <c r="A231" s="53"/>
      <c r="B231" s="326" t="e">
        <f>'FY 2013 by Agency'!B230*Inflator!#REF!</f>
        <v>#REF!</v>
      </c>
      <c r="C231" s="326" t="e">
        <f>'FY 2013 by Agency'!C230*Inflator!#REF!</f>
        <v>#REF!</v>
      </c>
      <c r="D231" s="326" t="e">
        <f t="shared" si="243"/>
        <v>#REF!</v>
      </c>
      <c r="E231" s="355" t="e">
        <f t="shared" si="252"/>
        <v>#REF!</v>
      </c>
      <c r="F231" s="10" t="e">
        <f>'FY 2013 by Agency'!F230*Inflator!#REF!</f>
        <v>#REF!</v>
      </c>
      <c r="G231" s="10" t="e">
        <f t="shared" si="244"/>
        <v>#REF!</v>
      </c>
      <c r="H231" s="14" t="e">
        <f t="shared" si="253"/>
        <v>#REF!</v>
      </c>
      <c r="I231" s="10" t="e">
        <f>'FY 2013 by Agency'!I230*Inflator!#REF!</f>
        <v>#REF!</v>
      </c>
      <c r="J231" s="10" t="e">
        <f t="shared" si="245"/>
        <v>#REF!</v>
      </c>
      <c r="K231" s="14" t="e">
        <f t="shared" si="254"/>
        <v>#REF!</v>
      </c>
      <c r="L231" s="10" t="e">
        <f>'FY 2013 by Agency'!L230*Inflator!#REF!</f>
        <v>#REF!</v>
      </c>
      <c r="M231" s="10" t="e">
        <f t="shared" si="246"/>
        <v>#REF!</v>
      </c>
      <c r="N231" s="14" t="e">
        <f t="shared" si="255"/>
        <v>#REF!</v>
      </c>
      <c r="O231" s="10" t="e">
        <f>'FY 2013 by Agency'!O230*Inflator!#REF!</f>
        <v>#REF!</v>
      </c>
      <c r="P231" s="69"/>
      <c r="Q231" s="60"/>
      <c r="R231" s="52" t="e">
        <f>'FY 2013 by Agency'!R230*Inflator!#REF!</f>
        <v>#REF!</v>
      </c>
      <c r="S231" s="52"/>
      <c r="T231" s="60"/>
      <c r="U231" s="52" t="e">
        <f>'FY 2013 by Agency'!U230*Inflator!#REF!</f>
        <v>#REF!</v>
      </c>
      <c r="V231" s="69"/>
      <c r="W231" s="60"/>
      <c r="X231" s="52" t="e">
        <f>'FY 2013 by Agency'!X230*Inflator!#REF!</f>
        <v>#REF!</v>
      </c>
      <c r="Y231" s="39"/>
      <c r="Z231" s="58"/>
      <c r="AA231" s="52" t="e">
        <f>'FY 2013 by Agency'!AA230*Inflator!#REF!</f>
        <v>#REF!</v>
      </c>
      <c r="AB231" s="39"/>
      <c r="AC231" s="65"/>
      <c r="AD231" s="52" t="e">
        <f>'FY 2013 by Agency'!AD230*Inflator!#REF!</f>
        <v>#REF!</v>
      </c>
      <c r="AE231" s="166"/>
      <c r="AF231" s="157"/>
      <c r="AG231" s="157"/>
      <c r="AH231" s="157"/>
      <c r="AI231" s="157"/>
      <c r="AJ231" s="88"/>
      <c r="AK231" s="88"/>
      <c r="AL231" s="89">
        <v>265000000</v>
      </c>
      <c r="AM231" s="86">
        <f t="shared" si="261"/>
        <v>265000000</v>
      </c>
      <c r="AN231" s="172">
        <f t="shared" si="257"/>
        <v>0</v>
      </c>
      <c r="AO231" s="101"/>
      <c r="AP231" s="160"/>
      <c r="AQ231" s="160"/>
      <c r="AR231" s="160">
        <v>250000000</v>
      </c>
      <c r="AS231" s="164">
        <f t="shared" si="262"/>
        <v>250000000</v>
      </c>
      <c r="AT231" s="52">
        <f t="shared" si="258"/>
        <v>265000</v>
      </c>
      <c r="AU231" s="40"/>
      <c r="AV231" s="101"/>
      <c r="AW231" s="155">
        <v>250000</v>
      </c>
      <c r="BD231" s="308"/>
      <c r="BE231" s="308"/>
      <c r="BI231" s="80"/>
      <c r="BK231" s="321"/>
      <c r="BL231" s="577">
        <f>'FY 2013 by Agency'!AS231*Inflator!$E$13</f>
        <v>0</v>
      </c>
      <c r="BM231" s="69">
        <f>'FY 2013 by Agency'!AT231*Inflator!$E$13</f>
        <v>0</v>
      </c>
      <c r="BN231" s="392" t="e">
        <f t="shared" si="259"/>
        <v>#DIV/0!</v>
      </c>
      <c r="BP231" s="52">
        <f t="shared" si="247"/>
        <v>0</v>
      </c>
      <c r="BQ231" s="50" t="e">
        <f t="shared" si="248"/>
        <v>#DIV/0!</v>
      </c>
      <c r="BR231" s="52">
        <f>'FY 2013 by Agency'!BE230*Inflator!$E$14</f>
        <v>0</v>
      </c>
      <c r="BS231" s="52">
        <f t="shared" si="249"/>
        <v>0</v>
      </c>
      <c r="BT231" s="50" t="e">
        <f t="shared" si="250"/>
        <v>#DIV/0!</v>
      </c>
      <c r="BU231" s="69">
        <f>'FY 2013 by Agency'!BL231*Inflator!$E$14</f>
        <v>0</v>
      </c>
      <c r="BV231" s="69">
        <f>'FY 2013 by Agency'!BM231*Inflator!$E$14</f>
        <v>0</v>
      </c>
      <c r="BW231" s="39"/>
      <c r="BY231" s="39">
        <f t="shared" si="241"/>
        <v>0</v>
      </c>
      <c r="BZ231" s="51" t="e">
        <f t="shared" si="242"/>
        <v>#DIV/0!</v>
      </c>
      <c r="CB231" s="39">
        <f t="shared" si="260"/>
        <v>0</v>
      </c>
    </row>
    <row r="232" spans="1:80" s="63" customFormat="1" ht="18" hidden="1" customHeight="1">
      <c r="A232" s="53"/>
      <c r="B232" s="326" t="e">
        <f>'FY 2013 by Agency'!B231*Inflator!#REF!</f>
        <v>#REF!</v>
      </c>
      <c r="C232" s="326" t="e">
        <f>'FY 2013 by Agency'!C231*Inflator!#REF!</f>
        <v>#REF!</v>
      </c>
      <c r="D232" s="326" t="e">
        <f t="shared" si="243"/>
        <v>#REF!</v>
      </c>
      <c r="E232" s="355" t="e">
        <f t="shared" si="252"/>
        <v>#REF!</v>
      </c>
      <c r="F232" s="10" t="e">
        <f>'FY 2013 by Agency'!F231*Inflator!#REF!</f>
        <v>#REF!</v>
      </c>
      <c r="G232" s="10" t="e">
        <f t="shared" si="244"/>
        <v>#REF!</v>
      </c>
      <c r="H232" s="14" t="e">
        <f t="shared" si="253"/>
        <v>#REF!</v>
      </c>
      <c r="I232" s="10" t="e">
        <f>'FY 2013 by Agency'!I231*Inflator!#REF!</f>
        <v>#REF!</v>
      </c>
      <c r="J232" s="10" t="e">
        <f t="shared" si="245"/>
        <v>#REF!</v>
      </c>
      <c r="K232" s="14" t="e">
        <f t="shared" si="254"/>
        <v>#REF!</v>
      </c>
      <c r="L232" s="10" t="e">
        <f>'FY 2013 by Agency'!L231*Inflator!#REF!</f>
        <v>#REF!</v>
      </c>
      <c r="M232" s="10" t="e">
        <f t="shared" si="246"/>
        <v>#REF!</v>
      </c>
      <c r="N232" s="14" t="e">
        <f t="shared" si="255"/>
        <v>#REF!</v>
      </c>
      <c r="O232" s="10" t="e">
        <f>'FY 2013 by Agency'!O231*Inflator!#REF!</f>
        <v>#REF!</v>
      </c>
      <c r="P232" s="69"/>
      <c r="Q232" s="60"/>
      <c r="R232" s="52" t="e">
        <f>'FY 2013 by Agency'!R231*Inflator!#REF!</f>
        <v>#REF!</v>
      </c>
      <c r="S232" s="52"/>
      <c r="T232" s="60"/>
      <c r="U232" s="52" t="e">
        <f>'FY 2013 by Agency'!U231*Inflator!#REF!</f>
        <v>#REF!</v>
      </c>
      <c r="V232" s="69"/>
      <c r="W232" s="60"/>
      <c r="X232" s="52" t="e">
        <f>'FY 2013 by Agency'!X231*Inflator!#REF!</f>
        <v>#REF!</v>
      </c>
      <c r="Y232" s="39"/>
      <c r="Z232" s="58"/>
      <c r="AA232" s="52" t="e">
        <f>'FY 2013 by Agency'!AA231*Inflator!#REF!</f>
        <v>#REF!</v>
      </c>
      <c r="AB232" s="39"/>
      <c r="AC232" s="65"/>
      <c r="AD232" s="52" t="e">
        <f>'FY 2013 by Agency'!AD231*Inflator!#REF!</f>
        <v>#REF!</v>
      </c>
      <c r="AE232" s="166"/>
      <c r="AF232" s="157"/>
      <c r="AG232" s="157"/>
      <c r="AH232" s="157"/>
      <c r="AI232" s="157"/>
      <c r="AJ232" s="88"/>
      <c r="AK232" s="88"/>
      <c r="AL232" s="89">
        <v>7603350</v>
      </c>
      <c r="AM232" s="86">
        <f t="shared" si="261"/>
        <v>7603350</v>
      </c>
      <c r="AN232" s="172">
        <f t="shared" si="257"/>
        <v>0</v>
      </c>
      <c r="AO232" s="101"/>
      <c r="AP232" s="160"/>
      <c r="AQ232" s="160"/>
      <c r="AR232" s="160">
        <v>8747725</v>
      </c>
      <c r="AS232" s="164">
        <f t="shared" si="262"/>
        <v>8747725</v>
      </c>
      <c r="AT232" s="52">
        <f t="shared" si="258"/>
        <v>7603.35</v>
      </c>
      <c r="AU232" s="40"/>
      <c r="AV232" s="101"/>
      <c r="AW232" s="155">
        <v>0</v>
      </c>
      <c r="BD232" s="308"/>
      <c r="BE232" s="308"/>
      <c r="BI232" s="80"/>
      <c r="BK232" s="321"/>
      <c r="BL232" s="577">
        <f>'FY 2013 by Agency'!AS232*Inflator!$E$13</f>
        <v>0</v>
      </c>
      <c r="BM232" s="69">
        <f>'FY 2013 by Agency'!AT232*Inflator!$E$13</f>
        <v>0</v>
      </c>
      <c r="BN232" s="392" t="e">
        <f t="shared" si="259"/>
        <v>#DIV/0!</v>
      </c>
      <c r="BP232" s="52">
        <f t="shared" si="247"/>
        <v>0</v>
      </c>
      <c r="BQ232" s="50" t="e">
        <f t="shared" si="248"/>
        <v>#DIV/0!</v>
      </c>
      <c r="BR232" s="52">
        <f>'FY 2013 by Agency'!BE231*Inflator!$E$14</f>
        <v>0</v>
      </c>
      <c r="BS232" s="52">
        <f t="shared" si="249"/>
        <v>0</v>
      </c>
      <c r="BT232" s="50" t="e">
        <f t="shared" si="250"/>
        <v>#DIV/0!</v>
      </c>
      <c r="BU232" s="69">
        <f>'FY 2013 by Agency'!BL232*Inflator!$E$14</f>
        <v>0</v>
      </c>
      <c r="BV232" s="69">
        <f>'FY 2013 by Agency'!BM232*Inflator!$E$14</f>
        <v>0</v>
      </c>
      <c r="BW232" s="39"/>
      <c r="BY232" s="39">
        <f t="shared" si="241"/>
        <v>0</v>
      </c>
      <c r="BZ232" s="51" t="e">
        <f t="shared" si="242"/>
        <v>#DIV/0!</v>
      </c>
      <c r="CB232" s="39">
        <f t="shared" si="260"/>
        <v>0</v>
      </c>
    </row>
    <row r="233" spans="1:80" s="63" customFormat="1" ht="18" hidden="1" customHeight="1">
      <c r="A233" s="53"/>
      <c r="B233" s="326" t="e">
        <f>'FY 2013 by Agency'!B232*Inflator!#REF!</f>
        <v>#REF!</v>
      </c>
      <c r="C233" s="326" t="e">
        <f>'FY 2013 by Agency'!C232*Inflator!#REF!</f>
        <v>#REF!</v>
      </c>
      <c r="D233" s="326" t="e">
        <f t="shared" si="243"/>
        <v>#REF!</v>
      </c>
      <c r="E233" s="355" t="e">
        <f t="shared" si="252"/>
        <v>#REF!</v>
      </c>
      <c r="F233" s="10" t="e">
        <f>'FY 2013 by Agency'!F232*Inflator!#REF!</f>
        <v>#REF!</v>
      </c>
      <c r="G233" s="10" t="e">
        <f t="shared" si="244"/>
        <v>#REF!</v>
      </c>
      <c r="H233" s="14" t="e">
        <f t="shared" si="253"/>
        <v>#REF!</v>
      </c>
      <c r="I233" s="10" t="e">
        <f>'FY 2013 by Agency'!I232*Inflator!#REF!</f>
        <v>#REF!</v>
      </c>
      <c r="J233" s="10" t="e">
        <f t="shared" si="245"/>
        <v>#REF!</v>
      </c>
      <c r="K233" s="14" t="e">
        <f t="shared" si="254"/>
        <v>#REF!</v>
      </c>
      <c r="L233" s="10" t="e">
        <f>'FY 2013 by Agency'!L232*Inflator!#REF!</f>
        <v>#REF!</v>
      </c>
      <c r="M233" s="10" t="e">
        <f t="shared" si="246"/>
        <v>#REF!</v>
      </c>
      <c r="N233" s="14" t="e">
        <f t="shared" si="255"/>
        <v>#REF!</v>
      </c>
      <c r="O233" s="10" t="e">
        <f>'FY 2013 by Agency'!O232*Inflator!#REF!</f>
        <v>#REF!</v>
      </c>
      <c r="P233" s="69"/>
      <c r="Q233" s="60"/>
      <c r="R233" s="52" t="e">
        <f>'FY 2013 by Agency'!R232*Inflator!#REF!</f>
        <v>#REF!</v>
      </c>
      <c r="S233" s="52"/>
      <c r="T233" s="60"/>
      <c r="U233" s="52" t="e">
        <f>'FY 2013 by Agency'!U232*Inflator!#REF!</f>
        <v>#REF!</v>
      </c>
      <c r="V233" s="69"/>
      <c r="W233" s="60"/>
      <c r="X233" s="52" t="e">
        <f>'FY 2013 by Agency'!X232*Inflator!#REF!</f>
        <v>#REF!</v>
      </c>
      <c r="Y233" s="39"/>
      <c r="Z233" s="58"/>
      <c r="AA233" s="52" t="e">
        <f>'FY 2013 by Agency'!AA232*Inflator!#REF!</f>
        <v>#REF!</v>
      </c>
      <c r="AB233" s="39"/>
      <c r="AC233" s="65"/>
      <c r="AD233" s="52" t="e">
        <f>'FY 2013 by Agency'!AD232*Inflator!#REF!</f>
        <v>#REF!</v>
      </c>
      <c r="AE233" s="166"/>
      <c r="AF233" s="157"/>
      <c r="AG233" s="157"/>
      <c r="AH233" s="157"/>
      <c r="AI233" s="157"/>
      <c r="AJ233" s="88">
        <v>0</v>
      </c>
      <c r="AK233" s="88">
        <v>0</v>
      </c>
      <c r="AL233" s="87">
        <v>0</v>
      </c>
      <c r="AM233" s="86">
        <f t="shared" si="261"/>
        <v>0</v>
      </c>
      <c r="AN233" s="172">
        <f t="shared" si="257"/>
        <v>0</v>
      </c>
      <c r="AO233" s="101"/>
      <c r="AP233" s="167">
        <v>0</v>
      </c>
      <c r="AQ233" s="167">
        <v>0</v>
      </c>
      <c r="AR233" s="167">
        <v>0</v>
      </c>
      <c r="AS233" s="164">
        <f t="shared" si="262"/>
        <v>0</v>
      </c>
      <c r="AT233" s="52">
        <f t="shared" si="258"/>
        <v>0</v>
      </c>
      <c r="AU233" s="40"/>
      <c r="AV233" s="101"/>
      <c r="AW233" s="155">
        <v>30622</v>
      </c>
      <c r="BD233" s="308"/>
      <c r="BE233" s="308"/>
      <c r="BI233" s="80"/>
      <c r="BK233" s="321"/>
      <c r="BL233" s="577">
        <f>'FY 2013 by Agency'!AS233*Inflator!$E$13</f>
        <v>0</v>
      </c>
      <c r="BM233" s="69">
        <f>'FY 2013 by Agency'!AT233*Inflator!$E$13</f>
        <v>0</v>
      </c>
      <c r="BN233" s="392" t="e">
        <f t="shared" si="259"/>
        <v>#DIV/0!</v>
      </c>
      <c r="BP233" s="52">
        <f t="shared" si="247"/>
        <v>0</v>
      </c>
      <c r="BQ233" s="50" t="e">
        <f t="shared" si="248"/>
        <v>#DIV/0!</v>
      </c>
      <c r="BR233" s="52">
        <f>'FY 2013 by Agency'!BE232*Inflator!$E$14</f>
        <v>0</v>
      </c>
      <c r="BS233" s="52">
        <f t="shared" si="249"/>
        <v>0</v>
      </c>
      <c r="BT233" s="50" t="e">
        <f t="shared" si="250"/>
        <v>#DIV/0!</v>
      </c>
      <c r="BU233" s="69">
        <f>'FY 2013 by Agency'!BL233*Inflator!$E$14</f>
        <v>0</v>
      </c>
      <c r="BV233" s="69">
        <f>'FY 2013 by Agency'!BM233*Inflator!$E$14</f>
        <v>0</v>
      </c>
      <c r="BW233" s="39"/>
      <c r="BY233" s="39">
        <f t="shared" si="241"/>
        <v>0</v>
      </c>
      <c r="BZ233" s="51" t="e">
        <f t="shared" si="242"/>
        <v>#DIV/0!</v>
      </c>
      <c r="CB233" s="39">
        <f t="shared" si="260"/>
        <v>0</v>
      </c>
    </row>
    <row r="234" spans="1:80" s="63" customFormat="1" ht="18" hidden="1" customHeight="1">
      <c r="A234" s="53"/>
      <c r="B234" s="326" t="e">
        <f>'FY 2013 by Agency'!B233*Inflator!#REF!</f>
        <v>#REF!</v>
      </c>
      <c r="C234" s="326" t="e">
        <f>'FY 2013 by Agency'!C233*Inflator!#REF!</f>
        <v>#REF!</v>
      </c>
      <c r="D234" s="326" t="e">
        <f t="shared" si="243"/>
        <v>#REF!</v>
      </c>
      <c r="E234" s="355" t="e">
        <f t="shared" si="252"/>
        <v>#REF!</v>
      </c>
      <c r="F234" s="10" t="e">
        <f>'FY 2013 by Agency'!F233*Inflator!#REF!</f>
        <v>#REF!</v>
      </c>
      <c r="G234" s="10" t="e">
        <f t="shared" si="244"/>
        <v>#REF!</v>
      </c>
      <c r="H234" s="14" t="e">
        <f t="shared" si="253"/>
        <v>#REF!</v>
      </c>
      <c r="I234" s="10" t="e">
        <f>'FY 2013 by Agency'!I233*Inflator!#REF!</f>
        <v>#REF!</v>
      </c>
      <c r="J234" s="10" t="e">
        <f t="shared" si="245"/>
        <v>#REF!</v>
      </c>
      <c r="K234" s="14" t="e">
        <f t="shared" si="254"/>
        <v>#REF!</v>
      </c>
      <c r="L234" s="10" t="e">
        <f>'FY 2013 by Agency'!L233*Inflator!#REF!</f>
        <v>#REF!</v>
      </c>
      <c r="M234" s="10" t="e">
        <f t="shared" si="246"/>
        <v>#REF!</v>
      </c>
      <c r="N234" s="14" t="e">
        <f t="shared" si="255"/>
        <v>#REF!</v>
      </c>
      <c r="O234" s="10" t="e">
        <f>'FY 2013 by Agency'!O233*Inflator!#REF!</f>
        <v>#REF!</v>
      </c>
      <c r="P234" s="69"/>
      <c r="Q234" s="60"/>
      <c r="R234" s="52" t="e">
        <f>'FY 2013 by Agency'!R233*Inflator!#REF!</f>
        <v>#REF!</v>
      </c>
      <c r="S234" s="52"/>
      <c r="T234" s="60"/>
      <c r="U234" s="52" t="e">
        <f>'FY 2013 by Agency'!U233*Inflator!#REF!</f>
        <v>#REF!</v>
      </c>
      <c r="V234" s="69"/>
      <c r="W234" s="60"/>
      <c r="X234" s="52" t="e">
        <f>'FY 2013 by Agency'!X233*Inflator!#REF!</f>
        <v>#REF!</v>
      </c>
      <c r="Y234" s="39"/>
      <c r="Z234" s="58"/>
      <c r="AA234" s="52" t="e">
        <f>'FY 2013 by Agency'!AA233*Inflator!#REF!</f>
        <v>#REF!</v>
      </c>
      <c r="AB234" s="39"/>
      <c r="AC234" s="65"/>
      <c r="AD234" s="52" t="e">
        <f>'FY 2013 by Agency'!AD233*Inflator!#REF!</f>
        <v>#REF!</v>
      </c>
      <c r="AE234" s="166"/>
      <c r="AF234" s="157"/>
      <c r="AG234" s="157"/>
      <c r="AH234" s="157"/>
      <c r="AI234" s="157"/>
      <c r="AJ234" s="88" t="s">
        <v>149</v>
      </c>
      <c r="AK234" s="88"/>
      <c r="AL234" s="88"/>
      <c r="AM234" s="86"/>
      <c r="AN234" s="172">
        <f t="shared" si="257"/>
        <v>0</v>
      </c>
      <c r="AO234" s="101"/>
      <c r="AP234" s="160"/>
      <c r="AQ234" s="160"/>
      <c r="AR234" s="160"/>
      <c r="AS234" s="164"/>
      <c r="AT234" s="52">
        <f t="shared" si="258"/>
        <v>0</v>
      </c>
      <c r="AU234" s="40"/>
      <c r="AV234" s="101"/>
      <c r="AW234" s="155">
        <v>97059</v>
      </c>
      <c r="BD234" s="308"/>
      <c r="BE234" s="308"/>
      <c r="BI234" s="80"/>
      <c r="BK234" s="321"/>
      <c r="BL234" s="577">
        <f>'FY 2013 by Agency'!AS234*Inflator!$E$13</f>
        <v>0</v>
      </c>
      <c r="BM234" s="69">
        <f>'FY 2013 by Agency'!AT234*Inflator!$E$13</f>
        <v>0</v>
      </c>
      <c r="BN234" s="392" t="e">
        <f t="shared" si="259"/>
        <v>#DIV/0!</v>
      </c>
      <c r="BP234" s="52">
        <f t="shared" si="247"/>
        <v>0</v>
      </c>
      <c r="BQ234" s="50" t="e">
        <f t="shared" si="248"/>
        <v>#DIV/0!</v>
      </c>
      <c r="BR234" s="52">
        <f>'FY 2013 by Agency'!BE233*Inflator!$E$14</f>
        <v>0</v>
      </c>
      <c r="BS234" s="52">
        <f t="shared" si="249"/>
        <v>0</v>
      </c>
      <c r="BT234" s="50" t="e">
        <f t="shared" si="250"/>
        <v>#DIV/0!</v>
      </c>
      <c r="BU234" s="69">
        <f>'FY 2013 by Agency'!BL234*Inflator!$E$14</f>
        <v>0</v>
      </c>
      <c r="BV234" s="69">
        <f>'FY 2013 by Agency'!BM234*Inflator!$E$14</f>
        <v>0</v>
      </c>
      <c r="BW234" s="39"/>
      <c r="BY234" s="39">
        <f t="shared" si="241"/>
        <v>0</v>
      </c>
      <c r="BZ234" s="51" t="e">
        <f t="shared" si="242"/>
        <v>#DIV/0!</v>
      </c>
      <c r="CB234" s="39">
        <f t="shared" si="260"/>
        <v>0</v>
      </c>
    </row>
    <row r="235" spans="1:80" s="63" customFormat="1" ht="18" hidden="1" customHeight="1">
      <c r="A235" s="53"/>
      <c r="B235" s="326" t="e">
        <f>'FY 2013 by Agency'!B234*Inflator!#REF!</f>
        <v>#REF!</v>
      </c>
      <c r="C235" s="326" t="e">
        <f>'FY 2013 by Agency'!C234*Inflator!#REF!</f>
        <v>#REF!</v>
      </c>
      <c r="D235" s="326" t="e">
        <f t="shared" si="243"/>
        <v>#REF!</v>
      </c>
      <c r="E235" s="355" t="e">
        <f t="shared" si="252"/>
        <v>#REF!</v>
      </c>
      <c r="F235" s="10" t="e">
        <f>'FY 2013 by Agency'!F234*Inflator!#REF!</f>
        <v>#REF!</v>
      </c>
      <c r="G235" s="10" t="e">
        <f t="shared" si="244"/>
        <v>#REF!</v>
      </c>
      <c r="H235" s="14" t="e">
        <f t="shared" si="253"/>
        <v>#REF!</v>
      </c>
      <c r="I235" s="10" t="e">
        <f>'FY 2013 by Agency'!I234*Inflator!#REF!</f>
        <v>#REF!</v>
      </c>
      <c r="J235" s="10" t="e">
        <f t="shared" si="245"/>
        <v>#REF!</v>
      </c>
      <c r="K235" s="14" t="e">
        <f t="shared" si="254"/>
        <v>#REF!</v>
      </c>
      <c r="L235" s="10" t="e">
        <f>'FY 2013 by Agency'!L234*Inflator!#REF!</f>
        <v>#REF!</v>
      </c>
      <c r="M235" s="10" t="e">
        <f t="shared" si="246"/>
        <v>#REF!</v>
      </c>
      <c r="N235" s="14" t="e">
        <f t="shared" si="255"/>
        <v>#REF!</v>
      </c>
      <c r="O235" s="10" t="e">
        <f>'FY 2013 by Agency'!O234*Inflator!#REF!</f>
        <v>#REF!</v>
      </c>
      <c r="P235" s="69"/>
      <c r="Q235" s="60"/>
      <c r="R235" s="52" t="e">
        <f>'FY 2013 by Agency'!R234*Inflator!#REF!</f>
        <v>#REF!</v>
      </c>
      <c r="S235" s="52"/>
      <c r="T235" s="60"/>
      <c r="U235" s="52" t="e">
        <f>'FY 2013 by Agency'!U234*Inflator!#REF!</f>
        <v>#REF!</v>
      </c>
      <c r="V235" s="69"/>
      <c r="W235" s="60"/>
      <c r="X235" s="52" t="e">
        <f>'FY 2013 by Agency'!X234*Inflator!#REF!</f>
        <v>#REF!</v>
      </c>
      <c r="Y235" s="39"/>
      <c r="Z235" s="58"/>
      <c r="AA235" s="52" t="e">
        <f>'FY 2013 by Agency'!AA234*Inflator!#REF!</f>
        <v>#REF!</v>
      </c>
      <c r="AB235" s="39"/>
      <c r="AC235" s="65"/>
      <c r="AD235" s="52" t="e">
        <f>'FY 2013 by Agency'!AD234*Inflator!#REF!</f>
        <v>#REF!</v>
      </c>
      <c r="AE235" s="166"/>
      <c r="AF235" s="157"/>
      <c r="AG235" s="157"/>
      <c r="AH235" s="157"/>
      <c r="AI235" s="157"/>
      <c r="AJ235" s="88"/>
      <c r="AK235" s="88"/>
      <c r="AL235" s="89">
        <v>7919000</v>
      </c>
      <c r="AM235" s="86">
        <f t="shared" si="261"/>
        <v>7919000</v>
      </c>
      <c r="AN235" s="172">
        <f t="shared" si="257"/>
        <v>0</v>
      </c>
      <c r="AO235" s="101"/>
      <c r="AP235" s="160"/>
      <c r="AQ235" s="160"/>
      <c r="AR235" s="160">
        <v>8894000</v>
      </c>
      <c r="AS235" s="164">
        <f t="shared" si="262"/>
        <v>8894000</v>
      </c>
      <c r="AT235" s="52">
        <f t="shared" si="258"/>
        <v>7919</v>
      </c>
      <c r="AU235" s="40"/>
      <c r="AV235" s="101"/>
      <c r="AW235" s="155">
        <v>8894</v>
      </c>
      <c r="BD235" s="308"/>
      <c r="BE235" s="308"/>
      <c r="BI235" s="80"/>
      <c r="BK235" s="321"/>
      <c r="BL235" s="577">
        <f>'FY 2013 by Agency'!AS235*Inflator!$E$13</f>
        <v>0</v>
      </c>
      <c r="BM235" s="69">
        <f>'FY 2013 by Agency'!AT235*Inflator!$E$13</f>
        <v>0</v>
      </c>
      <c r="BN235" s="392" t="e">
        <f t="shared" si="259"/>
        <v>#DIV/0!</v>
      </c>
      <c r="BP235" s="52">
        <f t="shared" si="247"/>
        <v>0</v>
      </c>
      <c r="BQ235" s="50" t="e">
        <f t="shared" si="248"/>
        <v>#DIV/0!</v>
      </c>
      <c r="BR235" s="52">
        <f>'FY 2013 by Agency'!BE234*Inflator!$E$14</f>
        <v>0</v>
      </c>
      <c r="BS235" s="52">
        <f t="shared" si="249"/>
        <v>0</v>
      </c>
      <c r="BT235" s="50" t="e">
        <f t="shared" si="250"/>
        <v>#DIV/0!</v>
      </c>
      <c r="BU235" s="69">
        <f>'FY 2013 by Agency'!BL235*Inflator!$E$14</f>
        <v>0</v>
      </c>
      <c r="BV235" s="69">
        <f>'FY 2013 by Agency'!BM235*Inflator!$E$14</f>
        <v>0</v>
      </c>
      <c r="BW235" s="39"/>
      <c r="BY235" s="39">
        <f t="shared" si="241"/>
        <v>0</v>
      </c>
      <c r="BZ235" s="51" t="e">
        <f t="shared" si="242"/>
        <v>#DIV/0!</v>
      </c>
      <c r="CB235" s="39">
        <f t="shared" si="260"/>
        <v>0</v>
      </c>
    </row>
    <row r="236" spans="1:80" s="63" customFormat="1" ht="18" hidden="1" customHeight="1">
      <c r="A236" s="53"/>
      <c r="B236" s="326" t="e">
        <f>'FY 2013 by Agency'!B235*Inflator!#REF!</f>
        <v>#REF!</v>
      </c>
      <c r="C236" s="326" t="e">
        <f>'FY 2013 by Agency'!C235*Inflator!#REF!</f>
        <v>#REF!</v>
      </c>
      <c r="D236" s="326" t="e">
        <f t="shared" si="243"/>
        <v>#REF!</v>
      </c>
      <c r="E236" s="355" t="e">
        <f t="shared" si="252"/>
        <v>#REF!</v>
      </c>
      <c r="F236" s="10" t="e">
        <f>'FY 2013 by Agency'!F235*Inflator!#REF!</f>
        <v>#REF!</v>
      </c>
      <c r="G236" s="10" t="e">
        <f t="shared" si="244"/>
        <v>#REF!</v>
      </c>
      <c r="H236" s="14" t="e">
        <f t="shared" si="253"/>
        <v>#REF!</v>
      </c>
      <c r="I236" s="10" t="e">
        <f>'FY 2013 by Agency'!I235*Inflator!#REF!</f>
        <v>#REF!</v>
      </c>
      <c r="J236" s="10" t="e">
        <f t="shared" si="245"/>
        <v>#REF!</v>
      </c>
      <c r="K236" s="14" t="e">
        <f t="shared" si="254"/>
        <v>#REF!</v>
      </c>
      <c r="L236" s="10" t="e">
        <f>'FY 2013 by Agency'!L235*Inflator!#REF!</f>
        <v>#REF!</v>
      </c>
      <c r="M236" s="10" t="e">
        <f t="shared" si="246"/>
        <v>#REF!</v>
      </c>
      <c r="N236" s="14" t="e">
        <f t="shared" si="255"/>
        <v>#REF!</v>
      </c>
      <c r="O236" s="10" t="e">
        <f>'FY 2013 by Agency'!O235*Inflator!#REF!</f>
        <v>#REF!</v>
      </c>
      <c r="P236" s="69"/>
      <c r="Q236" s="60"/>
      <c r="R236" s="52" t="e">
        <f>'FY 2013 by Agency'!R235*Inflator!#REF!</f>
        <v>#REF!</v>
      </c>
      <c r="S236" s="52"/>
      <c r="T236" s="60"/>
      <c r="U236" s="52" t="e">
        <f>'FY 2013 by Agency'!U235*Inflator!#REF!</f>
        <v>#REF!</v>
      </c>
      <c r="V236" s="69"/>
      <c r="W236" s="60"/>
      <c r="X236" s="52" t="e">
        <f>'FY 2013 by Agency'!X235*Inflator!#REF!</f>
        <v>#REF!</v>
      </c>
      <c r="Y236" s="39"/>
      <c r="Z236" s="58"/>
      <c r="AA236" s="52" t="e">
        <f>'FY 2013 by Agency'!AA235*Inflator!#REF!</f>
        <v>#REF!</v>
      </c>
      <c r="AB236" s="39"/>
      <c r="AC236" s="65"/>
      <c r="AD236" s="52" t="e">
        <f>'FY 2013 by Agency'!AD235*Inflator!#REF!</f>
        <v>#REF!</v>
      </c>
      <c r="AE236" s="166"/>
      <c r="AF236" s="157"/>
      <c r="AG236" s="157"/>
      <c r="AH236" s="157"/>
      <c r="AI236" s="157"/>
      <c r="AJ236" s="89">
        <v>62070000</v>
      </c>
      <c r="AK236" s="88"/>
      <c r="AL236" s="89">
        <v>36819126</v>
      </c>
      <c r="AM236" s="86">
        <f t="shared" si="261"/>
        <v>98889126</v>
      </c>
      <c r="AN236" s="172">
        <f t="shared" si="257"/>
        <v>0</v>
      </c>
      <c r="AO236" s="101"/>
      <c r="AP236" s="160">
        <v>62070000</v>
      </c>
      <c r="AQ236" s="160"/>
      <c r="AR236" s="160">
        <v>42314840</v>
      </c>
      <c r="AS236" s="164">
        <f t="shared" si="262"/>
        <v>104384840</v>
      </c>
      <c r="AT236" s="52">
        <f t="shared" si="258"/>
        <v>98889.126000000004</v>
      </c>
      <c r="AU236" s="40"/>
      <c r="AV236" s="101"/>
      <c r="AW236" s="155">
        <v>122161</v>
      </c>
      <c r="BD236" s="308"/>
      <c r="BE236" s="308"/>
      <c r="BI236" s="80"/>
      <c r="BK236" s="321"/>
      <c r="BL236" s="577">
        <f>'FY 2013 by Agency'!AS236*Inflator!$E$13</f>
        <v>0</v>
      </c>
      <c r="BM236" s="69">
        <f>'FY 2013 by Agency'!AT236*Inflator!$E$13</f>
        <v>0</v>
      </c>
      <c r="BN236" s="392" t="e">
        <f t="shared" si="259"/>
        <v>#DIV/0!</v>
      </c>
      <c r="BP236" s="52">
        <f t="shared" si="247"/>
        <v>0</v>
      </c>
      <c r="BQ236" s="50" t="e">
        <f t="shared" si="248"/>
        <v>#DIV/0!</v>
      </c>
      <c r="BR236" s="52">
        <f>'FY 2013 by Agency'!BE235*Inflator!$E$14</f>
        <v>0</v>
      </c>
      <c r="BS236" s="52">
        <f t="shared" si="249"/>
        <v>0</v>
      </c>
      <c r="BT236" s="50" t="e">
        <f t="shared" si="250"/>
        <v>#DIV/0!</v>
      </c>
      <c r="BU236" s="69">
        <f>'FY 2013 by Agency'!BL236*Inflator!$E$14</f>
        <v>0</v>
      </c>
      <c r="BV236" s="69">
        <f>'FY 2013 by Agency'!BM236*Inflator!$E$14</f>
        <v>0</v>
      </c>
      <c r="BW236" s="39"/>
      <c r="BY236" s="39">
        <f t="shared" si="241"/>
        <v>0</v>
      </c>
      <c r="BZ236" s="51" t="e">
        <f t="shared" si="242"/>
        <v>#DIV/0!</v>
      </c>
      <c r="CB236" s="39">
        <f t="shared" si="260"/>
        <v>0</v>
      </c>
    </row>
    <row r="237" spans="1:80" s="63" customFormat="1" ht="18" hidden="1" customHeight="1">
      <c r="A237" s="53"/>
      <c r="B237" s="326" t="e">
        <f>'FY 2013 by Agency'!B236*Inflator!#REF!</f>
        <v>#REF!</v>
      </c>
      <c r="C237" s="326" t="e">
        <f>'FY 2013 by Agency'!C236*Inflator!#REF!</f>
        <v>#REF!</v>
      </c>
      <c r="D237" s="326" t="e">
        <f t="shared" si="243"/>
        <v>#REF!</v>
      </c>
      <c r="E237" s="355" t="e">
        <f t="shared" si="252"/>
        <v>#REF!</v>
      </c>
      <c r="F237" s="10" t="e">
        <f>'FY 2013 by Agency'!F236*Inflator!#REF!</f>
        <v>#REF!</v>
      </c>
      <c r="G237" s="10" t="e">
        <f t="shared" si="244"/>
        <v>#REF!</v>
      </c>
      <c r="H237" s="14" t="e">
        <f t="shared" si="253"/>
        <v>#REF!</v>
      </c>
      <c r="I237" s="10" t="e">
        <f>'FY 2013 by Agency'!I236*Inflator!#REF!</f>
        <v>#REF!</v>
      </c>
      <c r="J237" s="10" t="e">
        <f t="shared" si="245"/>
        <v>#REF!</v>
      </c>
      <c r="K237" s="14" t="e">
        <f t="shared" si="254"/>
        <v>#REF!</v>
      </c>
      <c r="L237" s="10" t="e">
        <f>'FY 2013 by Agency'!L236*Inflator!#REF!</f>
        <v>#REF!</v>
      </c>
      <c r="M237" s="10" t="e">
        <f t="shared" si="246"/>
        <v>#REF!</v>
      </c>
      <c r="N237" s="14" t="e">
        <f t="shared" si="255"/>
        <v>#REF!</v>
      </c>
      <c r="O237" s="10" t="e">
        <f>'FY 2013 by Agency'!O236*Inflator!#REF!</f>
        <v>#REF!</v>
      </c>
      <c r="P237" s="69"/>
      <c r="Q237" s="60"/>
      <c r="R237" s="52" t="e">
        <f>'FY 2013 by Agency'!R236*Inflator!#REF!</f>
        <v>#REF!</v>
      </c>
      <c r="S237" s="52"/>
      <c r="T237" s="60"/>
      <c r="U237" s="52" t="e">
        <f>'FY 2013 by Agency'!U236*Inflator!#REF!</f>
        <v>#REF!</v>
      </c>
      <c r="V237" s="69"/>
      <c r="W237" s="60"/>
      <c r="X237" s="52" t="e">
        <f>'FY 2013 by Agency'!X236*Inflator!#REF!</f>
        <v>#REF!</v>
      </c>
      <c r="Y237" s="39"/>
      <c r="Z237" s="58"/>
      <c r="AA237" s="52" t="e">
        <f>'FY 2013 by Agency'!AA236*Inflator!#REF!</f>
        <v>#REF!</v>
      </c>
      <c r="AB237" s="39"/>
      <c r="AC237" s="65"/>
      <c r="AD237" s="52" t="e">
        <f>'FY 2013 by Agency'!AD236*Inflator!#REF!</f>
        <v>#REF!</v>
      </c>
      <c r="AE237" s="166"/>
      <c r="AF237" s="157"/>
      <c r="AG237" s="157"/>
      <c r="AH237" s="157"/>
      <c r="AI237" s="157"/>
      <c r="AJ237" s="88"/>
      <c r="AK237" s="88"/>
      <c r="AL237" s="89">
        <v>2400000</v>
      </c>
      <c r="AM237" s="86">
        <f t="shared" si="261"/>
        <v>2400000</v>
      </c>
      <c r="AN237" s="172">
        <f t="shared" si="257"/>
        <v>0</v>
      </c>
      <c r="AO237" s="101"/>
      <c r="AP237" s="160"/>
      <c r="AQ237" s="160"/>
      <c r="AR237" s="160">
        <v>0</v>
      </c>
      <c r="AS237" s="164">
        <f t="shared" si="262"/>
        <v>0</v>
      </c>
      <c r="AT237" s="52">
        <f t="shared" si="258"/>
        <v>2400</v>
      </c>
      <c r="AU237" s="40"/>
      <c r="AV237" s="101"/>
      <c r="AW237" s="155">
        <v>0</v>
      </c>
      <c r="BD237" s="308"/>
      <c r="BE237" s="308"/>
      <c r="BI237" s="80"/>
      <c r="BK237" s="321"/>
      <c r="BL237" s="577">
        <f>'FY 2013 by Agency'!AS237*Inflator!$E$13</f>
        <v>0</v>
      </c>
      <c r="BM237" s="69">
        <f>'FY 2013 by Agency'!AT237*Inflator!$E$13</f>
        <v>0</v>
      </c>
      <c r="BN237" s="392" t="e">
        <f t="shared" si="259"/>
        <v>#DIV/0!</v>
      </c>
      <c r="BP237" s="52">
        <f t="shared" si="247"/>
        <v>0</v>
      </c>
      <c r="BQ237" s="50" t="e">
        <f t="shared" si="248"/>
        <v>#DIV/0!</v>
      </c>
      <c r="BR237" s="52">
        <f>'FY 2013 by Agency'!BE236*Inflator!$E$14</f>
        <v>0</v>
      </c>
      <c r="BS237" s="52">
        <f t="shared" si="249"/>
        <v>0</v>
      </c>
      <c r="BT237" s="50" t="e">
        <f t="shared" si="250"/>
        <v>#DIV/0!</v>
      </c>
      <c r="BU237" s="69">
        <f>'FY 2013 by Agency'!BL237*Inflator!$E$14</f>
        <v>0</v>
      </c>
      <c r="BV237" s="69">
        <f>'FY 2013 by Agency'!BM237*Inflator!$E$14</f>
        <v>0</v>
      </c>
      <c r="BW237" s="39"/>
      <c r="BY237" s="39">
        <f t="shared" si="241"/>
        <v>0</v>
      </c>
      <c r="BZ237" s="51" t="e">
        <f t="shared" si="242"/>
        <v>#DIV/0!</v>
      </c>
      <c r="CB237" s="39">
        <f t="shared" si="260"/>
        <v>0</v>
      </c>
    </row>
    <row r="238" spans="1:80" s="63" customFormat="1" ht="18" hidden="1" customHeight="1">
      <c r="A238" s="53"/>
      <c r="B238" s="326" t="e">
        <f>'FY 2013 by Agency'!B237*Inflator!#REF!</f>
        <v>#REF!</v>
      </c>
      <c r="C238" s="326" t="e">
        <f>'FY 2013 by Agency'!C237*Inflator!#REF!</f>
        <v>#REF!</v>
      </c>
      <c r="D238" s="326" t="e">
        <f t="shared" si="243"/>
        <v>#REF!</v>
      </c>
      <c r="E238" s="355" t="e">
        <f t="shared" si="252"/>
        <v>#REF!</v>
      </c>
      <c r="F238" s="10" t="e">
        <f>'FY 2013 by Agency'!F237*Inflator!#REF!</f>
        <v>#REF!</v>
      </c>
      <c r="G238" s="10" t="e">
        <f t="shared" si="244"/>
        <v>#REF!</v>
      </c>
      <c r="H238" s="14" t="e">
        <f t="shared" si="253"/>
        <v>#REF!</v>
      </c>
      <c r="I238" s="10" t="e">
        <f>'FY 2013 by Agency'!I237*Inflator!#REF!</f>
        <v>#REF!</v>
      </c>
      <c r="J238" s="10" t="e">
        <f t="shared" si="245"/>
        <v>#REF!</v>
      </c>
      <c r="K238" s="14" t="e">
        <f t="shared" si="254"/>
        <v>#REF!</v>
      </c>
      <c r="L238" s="10" t="e">
        <f>'FY 2013 by Agency'!L237*Inflator!#REF!</f>
        <v>#REF!</v>
      </c>
      <c r="M238" s="10" t="e">
        <f t="shared" si="246"/>
        <v>#REF!</v>
      </c>
      <c r="N238" s="14" t="e">
        <f t="shared" si="255"/>
        <v>#REF!</v>
      </c>
      <c r="O238" s="10" t="e">
        <f>'FY 2013 by Agency'!O237*Inflator!#REF!</f>
        <v>#REF!</v>
      </c>
      <c r="P238" s="69"/>
      <c r="Q238" s="60"/>
      <c r="R238" s="52" t="e">
        <f>'FY 2013 by Agency'!R237*Inflator!#REF!</f>
        <v>#REF!</v>
      </c>
      <c r="S238" s="52"/>
      <c r="T238" s="60"/>
      <c r="U238" s="52" t="e">
        <f>'FY 2013 by Agency'!U237*Inflator!#REF!</f>
        <v>#REF!</v>
      </c>
      <c r="V238" s="69"/>
      <c r="W238" s="60"/>
      <c r="X238" s="52" t="e">
        <f>'FY 2013 by Agency'!X237*Inflator!#REF!</f>
        <v>#REF!</v>
      </c>
      <c r="Y238" s="39"/>
      <c r="Z238" s="58"/>
      <c r="AA238" s="52" t="e">
        <f>'FY 2013 by Agency'!AA237*Inflator!#REF!</f>
        <v>#REF!</v>
      </c>
      <c r="AB238" s="39"/>
      <c r="AC238" s="65"/>
      <c r="AD238" s="52" t="e">
        <f>'FY 2013 by Agency'!AD237*Inflator!#REF!</f>
        <v>#REF!</v>
      </c>
      <c r="AE238" s="166"/>
      <c r="AF238" s="157"/>
      <c r="AG238" s="157"/>
      <c r="AH238" s="157"/>
      <c r="AI238" s="157"/>
      <c r="AJ238" s="88"/>
      <c r="AK238" s="88"/>
      <c r="AL238" s="89">
        <v>17000</v>
      </c>
      <c r="AM238" s="86">
        <f t="shared" si="261"/>
        <v>17000</v>
      </c>
      <c r="AN238" s="172">
        <f t="shared" si="257"/>
        <v>0</v>
      </c>
      <c r="AO238" s="101"/>
      <c r="AP238" s="160"/>
      <c r="AQ238" s="160"/>
      <c r="AR238" s="160">
        <v>17000</v>
      </c>
      <c r="AS238" s="164">
        <f t="shared" si="262"/>
        <v>17000</v>
      </c>
      <c r="AT238" s="52">
        <f t="shared" si="258"/>
        <v>17</v>
      </c>
      <c r="AU238" s="40"/>
      <c r="AV238" s="101"/>
      <c r="AW238" s="155">
        <v>17</v>
      </c>
      <c r="BD238" s="308"/>
      <c r="BE238" s="308"/>
      <c r="BI238" s="80"/>
      <c r="BK238" s="321"/>
      <c r="BL238" s="577">
        <f>'FY 2013 by Agency'!AS238*Inflator!$E$13</f>
        <v>0</v>
      </c>
      <c r="BM238" s="69">
        <f>'FY 2013 by Agency'!AT238*Inflator!$E$13</f>
        <v>0</v>
      </c>
      <c r="BN238" s="392" t="e">
        <f t="shared" si="259"/>
        <v>#DIV/0!</v>
      </c>
      <c r="BP238" s="52">
        <f t="shared" si="247"/>
        <v>0</v>
      </c>
      <c r="BQ238" s="50" t="e">
        <f t="shared" si="248"/>
        <v>#DIV/0!</v>
      </c>
      <c r="BR238" s="52">
        <f>'FY 2013 by Agency'!BE237*Inflator!$E$14</f>
        <v>0</v>
      </c>
      <c r="BS238" s="52">
        <f t="shared" si="249"/>
        <v>0</v>
      </c>
      <c r="BT238" s="50" t="e">
        <f t="shared" si="250"/>
        <v>#DIV/0!</v>
      </c>
      <c r="BU238" s="69">
        <f>'FY 2013 by Agency'!BL238*Inflator!$E$14</f>
        <v>0</v>
      </c>
      <c r="BV238" s="69">
        <f>'FY 2013 by Agency'!BM238*Inflator!$E$14</f>
        <v>0</v>
      </c>
      <c r="BW238" s="39"/>
      <c r="BY238" s="39">
        <f t="shared" si="241"/>
        <v>0</v>
      </c>
      <c r="BZ238" s="51" t="e">
        <f t="shared" si="242"/>
        <v>#DIV/0!</v>
      </c>
      <c r="CB238" s="39">
        <f t="shared" si="260"/>
        <v>0</v>
      </c>
    </row>
    <row r="239" spans="1:80" s="63" customFormat="1" ht="18" hidden="1" customHeight="1">
      <c r="A239" s="53"/>
      <c r="B239" s="326" t="e">
        <f>'FY 2013 by Agency'!B238*Inflator!#REF!</f>
        <v>#REF!</v>
      </c>
      <c r="C239" s="326" t="e">
        <f>'FY 2013 by Agency'!C238*Inflator!#REF!</f>
        <v>#REF!</v>
      </c>
      <c r="D239" s="326" t="e">
        <f t="shared" si="243"/>
        <v>#REF!</v>
      </c>
      <c r="E239" s="355" t="e">
        <f t="shared" si="252"/>
        <v>#REF!</v>
      </c>
      <c r="F239" s="10" t="e">
        <f>'FY 2013 by Agency'!F238*Inflator!#REF!</f>
        <v>#REF!</v>
      </c>
      <c r="G239" s="10" t="e">
        <f t="shared" si="244"/>
        <v>#REF!</v>
      </c>
      <c r="H239" s="14" t="e">
        <f t="shared" si="253"/>
        <v>#REF!</v>
      </c>
      <c r="I239" s="10" t="e">
        <f>'FY 2013 by Agency'!I238*Inflator!#REF!</f>
        <v>#REF!</v>
      </c>
      <c r="J239" s="10" t="e">
        <f t="shared" si="245"/>
        <v>#REF!</v>
      </c>
      <c r="K239" s="14" t="e">
        <f t="shared" si="254"/>
        <v>#REF!</v>
      </c>
      <c r="L239" s="10" t="e">
        <f>'FY 2013 by Agency'!L238*Inflator!#REF!</f>
        <v>#REF!</v>
      </c>
      <c r="M239" s="10" t="e">
        <f t="shared" si="246"/>
        <v>#REF!</v>
      </c>
      <c r="N239" s="14" t="e">
        <f t="shared" si="255"/>
        <v>#REF!</v>
      </c>
      <c r="O239" s="10" t="e">
        <f>'FY 2013 by Agency'!O238*Inflator!#REF!</f>
        <v>#REF!</v>
      </c>
      <c r="P239" s="69"/>
      <c r="Q239" s="60"/>
      <c r="R239" s="52" t="e">
        <f>'FY 2013 by Agency'!R238*Inflator!#REF!</f>
        <v>#REF!</v>
      </c>
      <c r="S239" s="52"/>
      <c r="T239" s="60"/>
      <c r="U239" s="52" t="e">
        <f>'FY 2013 by Agency'!U238*Inflator!#REF!</f>
        <v>#REF!</v>
      </c>
      <c r="V239" s="69"/>
      <c r="W239" s="60"/>
      <c r="X239" s="52" t="e">
        <f>'FY 2013 by Agency'!X238*Inflator!#REF!</f>
        <v>#REF!</v>
      </c>
      <c r="Y239" s="39"/>
      <c r="Z239" s="58"/>
      <c r="AA239" s="52" t="e">
        <f>'FY 2013 by Agency'!AA238*Inflator!#REF!</f>
        <v>#REF!</v>
      </c>
      <c r="AB239" s="39"/>
      <c r="AC239" s="65"/>
      <c r="AD239" s="52" t="e">
        <f>'FY 2013 by Agency'!AD238*Inflator!#REF!</f>
        <v>#REF!</v>
      </c>
      <c r="AE239" s="166"/>
      <c r="AF239" s="157"/>
      <c r="AG239" s="157"/>
      <c r="AH239" s="157"/>
      <c r="AI239" s="157"/>
      <c r="AJ239" s="88"/>
      <c r="AK239" s="88"/>
      <c r="AL239" s="89">
        <v>180000000</v>
      </c>
      <c r="AM239" s="86">
        <f t="shared" si="261"/>
        <v>180000000</v>
      </c>
      <c r="AN239" s="172">
        <f t="shared" si="257"/>
        <v>0</v>
      </c>
      <c r="AO239" s="101"/>
      <c r="AP239" s="160"/>
      <c r="AQ239" s="160"/>
      <c r="AR239" s="160">
        <v>180000000</v>
      </c>
      <c r="AS239" s="164">
        <f t="shared" si="262"/>
        <v>180000000</v>
      </c>
      <c r="AT239" s="52">
        <f t="shared" si="258"/>
        <v>180000</v>
      </c>
      <c r="AU239" s="40"/>
      <c r="AV239" s="101"/>
      <c r="AW239" s="155">
        <v>251000</v>
      </c>
      <c r="BD239" s="308"/>
      <c r="BE239" s="308"/>
      <c r="BI239" s="80"/>
      <c r="BK239" s="321"/>
      <c r="BL239" s="577">
        <f>'FY 2013 by Agency'!AS239*Inflator!$E$13</f>
        <v>0</v>
      </c>
      <c r="BM239" s="69">
        <f>'FY 2013 by Agency'!AT239*Inflator!$E$13</f>
        <v>0</v>
      </c>
      <c r="BN239" s="392" t="e">
        <f t="shared" si="259"/>
        <v>#DIV/0!</v>
      </c>
      <c r="BP239" s="52">
        <f t="shared" si="247"/>
        <v>0</v>
      </c>
      <c r="BQ239" s="50" t="e">
        <f t="shared" si="248"/>
        <v>#DIV/0!</v>
      </c>
      <c r="BR239" s="52">
        <f>'FY 2013 by Agency'!BE238*Inflator!$E$14</f>
        <v>0</v>
      </c>
      <c r="BS239" s="52">
        <f t="shared" si="249"/>
        <v>0</v>
      </c>
      <c r="BT239" s="50" t="e">
        <f t="shared" si="250"/>
        <v>#DIV/0!</v>
      </c>
      <c r="BU239" s="69">
        <f>'FY 2013 by Agency'!BL239*Inflator!$E$14</f>
        <v>0</v>
      </c>
      <c r="BV239" s="69">
        <f>'FY 2013 by Agency'!BM239*Inflator!$E$14</f>
        <v>0</v>
      </c>
      <c r="BW239" s="39"/>
      <c r="BY239" s="39">
        <f t="shared" si="241"/>
        <v>0</v>
      </c>
      <c r="BZ239" s="51" t="e">
        <f t="shared" si="242"/>
        <v>#DIV/0!</v>
      </c>
      <c r="CB239" s="39">
        <f t="shared" si="260"/>
        <v>0</v>
      </c>
    </row>
    <row r="240" spans="1:80" s="63" customFormat="1" ht="18" hidden="1" customHeight="1">
      <c r="A240" s="53"/>
      <c r="B240" s="326" t="e">
        <f>'FY 2013 by Agency'!B239*Inflator!#REF!</f>
        <v>#REF!</v>
      </c>
      <c r="C240" s="326" t="e">
        <f>'FY 2013 by Agency'!C239*Inflator!#REF!</f>
        <v>#REF!</v>
      </c>
      <c r="D240" s="326" t="e">
        <f t="shared" si="243"/>
        <v>#REF!</v>
      </c>
      <c r="E240" s="355" t="e">
        <f t="shared" si="252"/>
        <v>#REF!</v>
      </c>
      <c r="F240" s="10" t="e">
        <f>'FY 2013 by Agency'!F239*Inflator!#REF!</f>
        <v>#REF!</v>
      </c>
      <c r="G240" s="10" t="e">
        <f t="shared" si="244"/>
        <v>#REF!</v>
      </c>
      <c r="H240" s="14" t="e">
        <f t="shared" si="253"/>
        <v>#REF!</v>
      </c>
      <c r="I240" s="10" t="e">
        <f>'FY 2013 by Agency'!I239*Inflator!#REF!</f>
        <v>#REF!</v>
      </c>
      <c r="J240" s="10" t="e">
        <f t="shared" si="245"/>
        <v>#REF!</v>
      </c>
      <c r="K240" s="14" t="e">
        <f t="shared" si="254"/>
        <v>#REF!</v>
      </c>
      <c r="L240" s="10" t="e">
        <f>'FY 2013 by Agency'!L239*Inflator!#REF!</f>
        <v>#REF!</v>
      </c>
      <c r="M240" s="10" t="e">
        <f t="shared" si="246"/>
        <v>#REF!</v>
      </c>
      <c r="N240" s="14" t="e">
        <f t="shared" si="255"/>
        <v>#REF!</v>
      </c>
      <c r="O240" s="10" t="e">
        <f>'FY 2013 by Agency'!O239*Inflator!#REF!</f>
        <v>#REF!</v>
      </c>
      <c r="P240" s="69"/>
      <c r="Q240" s="60"/>
      <c r="R240" s="52" t="e">
        <f>'FY 2013 by Agency'!R239*Inflator!#REF!</f>
        <v>#REF!</v>
      </c>
      <c r="S240" s="52"/>
      <c r="T240" s="60"/>
      <c r="U240" s="52" t="e">
        <f>'FY 2013 by Agency'!U239*Inflator!#REF!</f>
        <v>#REF!</v>
      </c>
      <c r="V240" s="69"/>
      <c r="W240" s="60"/>
      <c r="X240" s="52" t="e">
        <f>'FY 2013 by Agency'!X239*Inflator!#REF!</f>
        <v>#REF!</v>
      </c>
      <c r="Y240" s="39"/>
      <c r="Z240" s="58"/>
      <c r="AA240" s="52" t="e">
        <f>'FY 2013 by Agency'!AA239*Inflator!#REF!</f>
        <v>#REF!</v>
      </c>
      <c r="AB240" s="39"/>
      <c r="AC240" s="65"/>
      <c r="AD240" s="52" t="e">
        <f>'FY 2013 by Agency'!AD239*Inflator!#REF!</f>
        <v>#REF!</v>
      </c>
      <c r="AE240" s="166"/>
      <c r="AF240" s="157"/>
      <c r="AG240" s="157"/>
      <c r="AH240" s="157"/>
      <c r="AI240" s="157"/>
      <c r="AJ240" s="89"/>
      <c r="AK240" s="89">
        <v>108679538</v>
      </c>
      <c r="AL240" s="89"/>
      <c r="AM240" s="86">
        <f t="shared" si="261"/>
        <v>108679538</v>
      </c>
      <c r="AN240" s="172">
        <f t="shared" si="257"/>
        <v>0</v>
      </c>
      <c r="AO240" s="101"/>
      <c r="AP240" s="160"/>
      <c r="AQ240" s="160">
        <v>62301694</v>
      </c>
      <c r="AR240" s="160"/>
      <c r="AS240" s="164">
        <f t="shared" si="262"/>
        <v>62301694</v>
      </c>
      <c r="AT240" s="52">
        <f t="shared" si="258"/>
        <v>108679.538</v>
      </c>
      <c r="AU240" s="40"/>
      <c r="AV240" s="101"/>
      <c r="AW240" s="155">
        <v>51329</v>
      </c>
      <c r="BD240" s="308"/>
      <c r="BE240" s="308"/>
      <c r="BI240" s="80"/>
      <c r="BK240" s="321"/>
      <c r="BL240" s="577">
        <f>'FY 2013 by Agency'!AS240*Inflator!$E$13</f>
        <v>0</v>
      </c>
      <c r="BM240" s="69">
        <f>'FY 2013 by Agency'!AT240*Inflator!$E$13</f>
        <v>0</v>
      </c>
      <c r="BN240" s="392" t="e">
        <f t="shared" si="259"/>
        <v>#DIV/0!</v>
      </c>
      <c r="BP240" s="52">
        <f t="shared" si="247"/>
        <v>0</v>
      </c>
      <c r="BQ240" s="50" t="e">
        <f t="shared" si="248"/>
        <v>#DIV/0!</v>
      </c>
      <c r="BR240" s="52">
        <f>'FY 2013 by Agency'!BE239*Inflator!$E$14</f>
        <v>0</v>
      </c>
      <c r="BS240" s="52">
        <f t="shared" si="249"/>
        <v>0</v>
      </c>
      <c r="BT240" s="50" t="e">
        <f t="shared" si="250"/>
        <v>#DIV/0!</v>
      </c>
      <c r="BU240" s="69">
        <f>'FY 2013 by Agency'!BL240*Inflator!$E$14</f>
        <v>0</v>
      </c>
      <c r="BV240" s="69">
        <f>'FY 2013 by Agency'!BM240*Inflator!$E$14</f>
        <v>0</v>
      </c>
      <c r="BW240" s="39"/>
      <c r="BY240" s="39">
        <f t="shared" si="241"/>
        <v>0</v>
      </c>
      <c r="BZ240" s="51" t="e">
        <f t="shared" si="242"/>
        <v>#DIV/0!</v>
      </c>
      <c r="CB240" s="39">
        <f t="shared" si="260"/>
        <v>0</v>
      </c>
    </row>
    <row r="241" spans="1:80" s="63" customFormat="1" ht="18" hidden="1" customHeight="1">
      <c r="A241" s="53"/>
      <c r="B241" s="326" t="e">
        <f>'FY 2013 by Agency'!B240*Inflator!#REF!</f>
        <v>#REF!</v>
      </c>
      <c r="C241" s="326" t="e">
        <f>'FY 2013 by Agency'!C240*Inflator!#REF!</f>
        <v>#REF!</v>
      </c>
      <c r="D241" s="326" t="e">
        <f t="shared" si="243"/>
        <v>#REF!</v>
      </c>
      <c r="E241" s="355" t="e">
        <f t="shared" si="252"/>
        <v>#REF!</v>
      </c>
      <c r="F241" s="10" t="e">
        <f>'FY 2013 by Agency'!F240*Inflator!#REF!</f>
        <v>#REF!</v>
      </c>
      <c r="G241" s="10" t="e">
        <f t="shared" si="244"/>
        <v>#REF!</v>
      </c>
      <c r="H241" s="14" t="e">
        <f t="shared" si="253"/>
        <v>#REF!</v>
      </c>
      <c r="I241" s="10" t="e">
        <f>'FY 2013 by Agency'!I240*Inflator!#REF!</f>
        <v>#REF!</v>
      </c>
      <c r="J241" s="10" t="e">
        <f t="shared" si="245"/>
        <v>#REF!</v>
      </c>
      <c r="K241" s="14" t="e">
        <f t="shared" si="254"/>
        <v>#REF!</v>
      </c>
      <c r="L241" s="10" t="e">
        <f>'FY 2013 by Agency'!L240*Inflator!#REF!</f>
        <v>#REF!</v>
      </c>
      <c r="M241" s="10" t="e">
        <f t="shared" si="246"/>
        <v>#REF!</v>
      </c>
      <c r="N241" s="14" t="e">
        <f t="shared" si="255"/>
        <v>#REF!</v>
      </c>
      <c r="O241" s="10" t="e">
        <f>'FY 2013 by Agency'!O240*Inflator!#REF!</f>
        <v>#REF!</v>
      </c>
      <c r="P241" s="69"/>
      <c r="Q241" s="60"/>
      <c r="R241" s="52" t="e">
        <f>'FY 2013 by Agency'!R240*Inflator!#REF!</f>
        <v>#REF!</v>
      </c>
      <c r="S241" s="52"/>
      <c r="T241" s="60"/>
      <c r="U241" s="52" t="e">
        <f>'FY 2013 by Agency'!U240*Inflator!#REF!</f>
        <v>#REF!</v>
      </c>
      <c r="V241" s="69"/>
      <c r="W241" s="60"/>
      <c r="X241" s="52" t="e">
        <f>'FY 2013 by Agency'!X240*Inflator!#REF!</f>
        <v>#REF!</v>
      </c>
      <c r="Y241" s="39"/>
      <c r="Z241" s="58"/>
      <c r="AA241" s="52" t="e">
        <f>'FY 2013 by Agency'!AA240*Inflator!#REF!</f>
        <v>#REF!</v>
      </c>
      <c r="AB241" s="39"/>
      <c r="AC241" s="65"/>
      <c r="AD241" s="52" t="e">
        <f>'FY 2013 by Agency'!AD240*Inflator!#REF!</f>
        <v>#REF!</v>
      </c>
      <c r="AE241" s="166"/>
      <c r="AF241" s="157"/>
      <c r="AG241" s="157"/>
      <c r="AH241" s="157"/>
      <c r="AI241" s="157"/>
      <c r="AJ241" s="88" t="s">
        <v>149</v>
      </c>
      <c r="AK241" s="88"/>
      <c r="AL241" s="88"/>
      <c r="AM241" s="86"/>
      <c r="AN241" s="172">
        <f t="shared" si="257"/>
        <v>0</v>
      </c>
      <c r="AO241" s="101"/>
      <c r="AP241" s="160"/>
      <c r="AQ241" s="160"/>
      <c r="AR241" s="160"/>
      <c r="AS241" s="164"/>
      <c r="AT241" s="52">
        <f t="shared" si="258"/>
        <v>0</v>
      </c>
      <c r="AU241" s="40"/>
      <c r="AV241" s="101"/>
      <c r="AW241" s="155">
        <v>11336</v>
      </c>
      <c r="BD241" s="308"/>
      <c r="BE241" s="308"/>
      <c r="BI241" s="80"/>
      <c r="BK241" s="321"/>
      <c r="BL241" s="577">
        <f>'FY 2013 by Agency'!AS241*Inflator!$E$13</f>
        <v>0</v>
      </c>
      <c r="BM241" s="69">
        <f>'FY 2013 by Agency'!AT241*Inflator!$E$13</f>
        <v>0</v>
      </c>
      <c r="BN241" s="392" t="e">
        <f t="shared" si="259"/>
        <v>#DIV/0!</v>
      </c>
      <c r="BP241" s="52">
        <f t="shared" si="247"/>
        <v>0</v>
      </c>
      <c r="BQ241" s="50" t="e">
        <f t="shared" si="248"/>
        <v>#DIV/0!</v>
      </c>
      <c r="BR241" s="52">
        <f>'FY 2013 by Agency'!BE240*Inflator!$E$14</f>
        <v>0</v>
      </c>
      <c r="BS241" s="52">
        <f t="shared" si="249"/>
        <v>0</v>
      </c>
      <c r="BT241" s="50" t="e">
        <f t="shared" si="250"/>
        <v>#DIV/0!</v>
      </c>
      <c r="BU241" s="69">
        <f>'FY 2013 by Agency'!BL241*Inflator!$E$14</f>
        <v>0</v>
      </c>
      <c r="BV241" s="69">
        <f>'FY 2013 by Agency'!BM241*Inflator!$E$14</f>
        <v>0</v>
      </c>
      <c r="BW241" s="39"/>
      <c r="BY241" s="39">
        <f t="shared" si="241"/>
        <v>0</v>
      </c>
      <c r="BZ241" s="51" t="e">
        <f t="shared" si="242"/>
        <v>#DIV/0!</v>
      </c>
      <c r="CB241" s="39">
        <f t="shared" si="260"/>
        <v>0</v>
      </c>
    </row>
    <row r="242" spans="1:80" ht="18" hidden="1" customHeight="1">
      <c r="B242" s="326" t="e">
        <f>'FY 2013 by Agency'!B241*Inflator!#REF!</f>
        <v>#REF!</v>
      </c>
      <c r="C242" s="326" t="e">
        <f>'FY 2013 by Agency'!C241*Inflator!#REF!</f>
        <v>#REF!</v>
      </c>
      <c r="D242" s="326" t="e">
        <f t="shared" si="243"/>
        <v>#REF!</v>
      </c>
      <c r="E242" s="355" t="e">
        <f t="shared" si="252"/>
        <v>#REF!</v>
      </c>
      <c r="F242" s="10" t="e">
        <f>'FY 2013 by Agency'!F241*Inflator!#REF!</f>
        <v>#REF!</v>
      </c>
      <c r="G242" s="10" t="e">
        <f t="shared" si="244"/>
        <v>#REF!</v>
      </c>
      <c r="H242" s="14" t="e">
        <f t="shared" si="253"/>
        <v>#REF!</v>
      </c>
      <c r="I242" s="10" t="e">
        <f>'FY 2013 by Agency'!I241*Inflator!#REF!</f>
        <v>#REF!</v>
      </c>
      <c r="J242" s="10" t="e">
        <f t="shared" si="245"/>
        <v>#REF!</v>
      </c>
      <c r="K242" s="14" t="e">
        <f t="shared" si="254"/>
        <v>#REF!</v>
      </c>
      <c r="L242" s="10" t="e">
        <f>'FY 2013 by Agency'!L241*Inflator!#REF!</f>
        <v>#REF!</v>
      </c>
      <c r="M242" s="10" t="e">
        <f t="shared" si="246"/>
        <v>#REF!</v>
      </c>
      <c r="N242" s="14" t="e">
        <f t="shared" si="255"/>
        <v>#REF!</v>
      </c>
      <c r="O242" s="10" t="e">
        <f>'FY 2013 by Agency'!O241*Inflator!#REF!</f>
        <v>#REF!</v>
      </c>
      <c r="R242" s="52" t="e">
        <f>'FY 2013 by Agency'!R241*Inflator!#REF!</f>
        <v>#REF!</v>
      </c>
      <c r="U242" s="52" t="e">
        <f>'FY 2013 by Agency'!U241*Inflator!#REF!</f>
        <v>#REF!</v>
      </c>
      <c r="X242" s="52" t="e">
        <f>'FY 2013 by Agency'!X241*Inflator!#REF!</f>
        <v>#REF!</v>
      </c>
      <c r="AA242" s="52" t="e">
        <f>'FY 2013 by Agency'!AA241*Inflator!#REF!</f>
        <v>#REF!</v>
      </c>
      <c r="AD242" s="52" t="e">
        <f>'FY 2013 by Agency'!AD241*Inflator!#REF!</f>
        <v>#REF!</v>
      </c>
      <c r="AI242" s="157"/>
      <c r="AJ242" s="91">
        <f>SUM(AJ229:AJ241)</f>
        <v>62070000</v>
      </c>
      <c r="AK242" s="91">
        <f t="shared" ref="AK242:AS242" si="263">SUM(AK229:AK241)</f>
        <v>108679538</v>
      </c>
      <c r="AL242" s="91">
        <f t="shared" si="263"/>
        <v>499758476</v>
      </c>
      <c r="AM242" s="91">
        <f t="shared" si="263"/>
        <v>670508014</v>
      </c>
      <c r="AN242" s="172">
        <f t="shared" si="257"/>
        <v>0</v>
      </c>
      <c r="AP242" s="168">
        <f t="shared" si="263"/>
        <v>62070000</v>
      </c>
      <c r="AQ242" s="168">
        <f t="shared" si="263"/>
        <v>62301694</v>
      </c>
      <c r="AR242" s="168">
        <f t="shared" si="263"/>
        <v>489973565</v>
      </c>
      <c r="AS242" s="12">
        <f t="shared" si="263"/>
        <v>614345259</v>
      </c>
      <c r="AT242" s="52">
        <f t="shared" si="258"/>
        <v>670508.01399999997</v>
      </c>
      <c r="AV242" s="97"/>
      <c r="AW242" s="136">
        <f>SUM(AW229:AW241)</f>
        <v>1270397</v>
      </c>
      <c r="BI242" s="65"/>
      <c r="BL242" s="576">
        <f>'FY 2013 by Agency'!AS242*Inflator!$E$13</f>
        <v>6392411.9772361694</v>
      </c>
      <c r="BM242" s="52">
        <f>'FY 2013 by Agency'!AT242*Inflator!$E$13</f>
        <v>353522.047422314</v>
      </c>
      <c r="BN242" s="15" t="e">
        <f t="shared" si="259"/>
        <v>#DIV/0!</v>
      </c>
      <c r="BP242" s="52">
        <f t="shared" si="247"/>
        <v>0</v>
      </c>
      <c r="BQ242" s="50" t="e">
        <f t="shared" si="248"/>
        <v>#DIV/0!</v>
      </c>
      <c r="BR242" s="52">
        <f>'FY 2013 by Agency'!BE241*Inflator!$E$14</f>
        <v>0</v>
      </c>
      <c r="BS242" s="52">
        <f t="shared" si="249"/>
        <v>0</v>
      </c>
      <c r="BT242" s="50" t="e">
        <f t="shared" si="250"/>
        <v>#DIV/0!</v>
      </c>
      <c r="BU242" s="52">
        <f>'FY 2013 by Agency'!BL242*Inflator!$E$14</f>
        <v>6653076.0005971938</v>
      </c>
      <c r="BV242" s="52">
        <f>'FY 2013 by Agency'!BM242*Inflator!$E$14</f>
        <v>398094.20023800479</v>
      </c>
      <c r="BW242" s="562">
        <f>BW222+BW188+BW166+BW133+BW109+BW74+BW41</f>
        <v>6748667</v>
      </c>
      <c r="BY242" s="39">
        <f t="shared" si="241"/>
        <v>6748667</v>
      </c>
      <c r="BZ242" s="51" t="e">
        <f t="shared" si="242"/>
        <v>#DIV/0!</v>
      </c>
      <c r="CB242" s="39">
        <f t="shared" si="260"/>
        <v>6748667</v>
      </c>
    </row>
    <row r="243" spans="1:80" ht="18" customHeight="1" thickBot="1">
      <c r="A243" s="220" t="s">
        <v>481</v>
      </c>
      <c r="B243" s="326"/>
      <c r="C243" s="326"/>
      <c r="D243" s="326"/>
      <c r="E243" s="355"/>
      <c r="F243" s="10"/>
      <c r="G243" s="10"/>
      <c r="H243" s="14"/>
      <c r="I243" s="10"/>
      <c r="J243" s="10"/>
      <c r="K243" s="14"/>
      <c r="L243" s="10"/>
      <c r="M243" s="10"/>
      <c r="N243" s="14"/>
      <c r="O243" s="10"/>
      <c r="R243" s="52"/>
      <c r="U243" s="52"/>
      <c r="X243" s="52"/>
      <c r="AA243" s="52"/>
      <c r="AD243" s="52"/>
      <c r="AI243" s="157"/>
      <c r="AJ243" s="91"/>
      <c r="AK243" s="91"/>
      <c r="AL243" s="91"/>
      <c r="AM243" s="91"/>
      <c r="AN243" s="172"/>
      <c r="AP243" s="168"/>
      <c r="AQ243" s="168"/>
      <c r="AR243" s="168"/>
      <c r="AS243" s="12"/>
      <c r="AV243" s="97"/>
      <c r="AW243" s="136"/>
      <c r="BI243" s="65"/>
      <c r="BL243" s="576"/>
      <c r="BN243" s="15"/>
      <c r="BP243" s="52"/>
      <c r="BR243" s="52"/>
      <c r="BS243" s="52"/>
      <c r="BW243" s="562"/>
      <c r="BY243" s="39">
        <f t="shared" si="241"/>
        <v>0</v>
      </c>
      <c r="BZ243" s="51" t="e">
        <f t="shared" si="242"/>
        <v>#DIV/0!</v>
      </c>
      <c r="CB243" s="39"/>
    </row>
    <row r="244" spans="1:80" s="382" customFormat="1" ht="18" customHeight="1">
      <c r="A244" s="382" t="s">
        <v>120</v>
      </c>
      <c r="B244" s="358">
        <f>'FY 2013 by Agency'!B242*Inflator!$E$2</f>
        <v>4357531.2503987243</v>
      </c>
      <c r="C244" s="358">
        <f>'FY 2013 by Agency'!C242*Inflator!$E$3</f>
        <v>4629860.3438948998</v>
      </c>
      <c r="D244" s="383">
        <f t="shared" si="243"/>
        <v>272329.09349617548</v>
      </c>
      <c r="E244" s="369">
        <f t="shared" si="252"/>
        <v>6.2496188288094716E-2</v>
      </c>
      <c r="F244" s="362">
        <f>'FY 2013 by Agency'!F242*Inflator!$E$4</f>
        <v>4618460.1903311759</v>
      </c>
      <c r="G244" s="367">
        <f t="shared" si="244"/>
        <v>-11400.153563723899</v>
      </c>
      <c r="H244" s="370">
        <f t="shared" si="253"/>
        <v>-2.4623104622921404E-3</v>
      </c>
      <c r="I244" s="362">
        <f>'FY 2013 by Agency'!I242*Inflator!$E$5</f>
        <v>4559624.4336184459</v>
      </c>
      <c r="J244" s="367">
        <f t="shared" si="245"/>
        <v>-58835.756712730043</v>
      </c>
      <c r="K244" s="370">
        <f t="shared" si="254"/>
        <v>-1.2739258170050635E-2</v>
      </c>
      <c r="L244" s="362">
        <f>'FY 2013 by Agency'!L242*Inflator!$E$6</f>
        <v>4923763.7593602324</v>
      </c>
      <c r="M244" s="132">
        <f t="shared" si="246"/>
        <v>364139.32574178651</v>
      </c>
      <c r="N244" s="397">
        <f t="shared" si="255"/>
        <v>7.986169278701126E-2</v>
      </c>
      <c r="O244" s="362">
        <f>'FY 2013 by Agency'!O242*Inflator!$E$7</f>
        <v>5321694.9926082361</v>
      </c>
      <c r="P244" s="367">
        <f>O244-L244</f>
        <v>397931.23324800376</v>
      </c>
      <c r="Q244" s="384">
        <f>P244/L244</f>
        <v>8.0818506471096174E-2</v>
      </c>
      <c r="R244" s="107">
        <f>'FY 2013 by Agency'!R242*Inflator!$E$8</f>
        <v>5991292.2376103187</v>
      </c>
      <c r="S244" s="367">
        <f>R244-O244</f>
        <v>669597.24500208255</v>
      </c>
      <c r="T244" s="384">
        <f>S244/O244</f>
        <v>0.12582405529293661</v>
      </c>
      <c r="U244" s="107">
        <f>'FY 2013 by Agency'!U242*Inflator!$E$9</f>
        <v>6185515.9509283816</v>
      </c>
      <c r="V244" s="367">
        <f>U244-R244</f>
        <v>194223.71331806295</v>
      </c>
      <c r="W244" s="384">
        <f>V244/R244</f>
        <v>3.2417666442445287E-2</v>
      </c>
      <c r="X244" s="107">
        <f>'FY 2013 by Agency'!X242*Inflator!$E$10</f>
        <v>6780775.3629723731</v>
      </c>
      <c r="Y244" s="385" t="e">
        <f>+Y222+Y188+Y166+Y133+Y109+Y74+Y41</f>
        <v>#VALUE!</v>
      </c>
      <c r="Z244" s="384" t="e">
        <f>Y244/U244</f>
        <v>#VALUE!</v>
      </c>
      <c r="AA244" s="107">
        <f>'FY 2013 by Agency'!AA242*Inflator!$E$11</f>
        <v>6772920.8792609125</v>
      </c>
      <c r="AB244" s="385">
        <f>AA244-X244</f>
        <v>-7854.4837114606053</v>
      </c>
      <c r="AC244" s="384">
        <f>AB244/X244</f>
        <v>-1.1583459547047387E-3</v>
      </c>
      <c r="AD244" s="132" t="e">
        <f>'FY 2013 by Agency'!AD242*Inflator!#REF!</f>
        <v>#REF!</v>
      </c>
      <c r="AE244" s="385" t="e">
        <f>+AE222+AE188+AE166+AE133+AE109+AE74+AE41</f>
        <v>#VALUE!</v>
      </c>
      <c r="AF244" s="385">
        <f>+AF222+AF188+AF166+AF133+AF109+AF74+AF41</f>
        <v>6199699.9686716804</v>
      </c>
      <c r="AG244" s="367">
        <f t="shared" ref="AG244" si="264">AF244-AA244</f>
        <v>-573220.91058923211</v>
      </c>
      <c r="AH244" s="384">
        <f t="shared" ref="AH244" si="265">AG244/AA244</f>
        <v>-8.4634225145678088E-2</v>
      </c>
      <c r="AI244" s="385">
        <f t="shared" ref="AI244:AT244" si="266">+AI222+AI188+AI166+AI133+AI109+AI74+AI41</f>
        <v>0</v>
      </c>
      <c r="AJ244" s="385">
        <f t="shared" si="266"/>
        <v>0</v>
      </c>
      <c r="AK244" s="385">
        <f t="shared" si="266"/>
        <v>5590843</v>
      </c>
      <c r="AL244" s="385">
        <f t="shared" si="266"/>
        <v>103869</v>
      </c>
      <c r="AM244" s="385">
        <f t="shared" si="266"/>
        <v>5694712</v>
      </c>
      <c r="AN244" s="385">
        <f t="shared" si="266"/>
        <v>5268442</v>
      </c>
      <c r="AO244" s="385">
        <f t="shared" si="266"/>
        <v>6135094</v>
      </c>
      <c r="AP244" s="385">
        <f t="shared" si="266"/>
        <v>102146</v>
      </c>
      <c r="AQ244" s="385">
        <f t="shared" si="266"/>
        <v>9153</v>
      </c>
      <c r="AR244" s="385">
        <f t="shared" si="266"/>
        <v>111299</v>
      </c>
      <c r="AS244" s="385">
        <f t="shared" si="266"/>
        <v>5731913.4014400011</v>
      </c>
      <c r="AT244" s="385" t="e">
        <f t="shared" si="266"/>
        <v>#REF!</v>
      </c>
      <c r="AU244" s="384" t="e">
        <f t="shared" ref="AU244" si="267">AT244/AD244</f>
        <v>#REF!</v>
      </c>
      <c r="AV244" s="367">
        <f t="shared" ref="AV244" si="268">AS244-AF244</f>
        <v>-467786.56723167934</v>
      </c>
      <c r="AW244" s="384">
        <f t="shared" ref="AW244" si="269">AV244/AF244</f>
        <v>-7.5453097665289945E-2</v>
      </c>
      <c r="AX244" s="384"/>
      <c r="AY244" s="386">
        <f>SUM(AY7:AY38)+SUM(AY51:AY73)+SUM(AY85:AY108)+SUM(AY120:AY132)+SUM(AY146:AY163)+SUM(AY179:AY187)+SUM(AY198:AY220)</f>
        <v>6156744.2771899998</v>
      </c>
      <c r="AZ244" s="384"/>
      <c r="BA244" s="384"/>
      <c r="BB244" s="384"/>
      <c r="BC244" s="384"/>
      <c r="BD244" s="386">
        <f>SUM(BD7:BD38)+SUM(BD51:BD73)+SUM(BD85:BD108)+SUM(BD120:BD132)+SUM(BD146:BD163)+SUM(BD179:BD187)</f>
        <v>100238.36499999999</v>
      </c>
      <c r="BE244" s="370"/>
      <c r="BI244" s="387">
        <f>SUM(BI198:BI221)+ SUM(BI179:BI187)+SUM(BI146:BI163)+SUM(BI120:BI131)+SUM(BI85:BI108)+SUM(BI51:BI73)+SUM(BI7:BI40)</f>
        <v>6114792</v>
      </c>
      <c r="BJ244" s="387">
        <f>BI244-AY244</f>
        <v>-41952.277189999819</v>
      </c>
      <c r="BK244" s="387">
        <f>BK222+BK188+BK166+BK133+BK109+BK74+BK41</f>
        <v>6134427.1320000002</v>
      </c>
      <c r="BL244" s="574">
        <f>BL222+BL188+BL166+BL133+BL109+BL74+BL41</f>
        <v>6093256.7889278363</v>
      </c>
      <c r="BM244" s="142">
        <f>'FY 2013 by Agency'!AT242*Inflator!$E$13</f>
        <v>353522.047422314</v>
      </c>
      <c r="BN244" s="309">
        <f t="shared" si="259"/>
        <v>5.7022444506787645E-2</v>
      </c>
      <c r="BO244" s="132">
        <f>'FY 2013 by Agency'!AX242*Inflator!$E$13</f>
        <v>6443116.0927677769</v>
      </c>
      <c r="BP244" s="132">
        <f t="shared" si="247"/>
        <v>243416.12409609649</v>
      </c>
      <c r="BQ244" s="397">
        <f t="shared" si="248"/>
        <v>3.9262565176722532E-2</v>
      </c>
      <c r="BR244" s="132">
        <f>BR41+BR74+BR109+BR133+BR166+BR188+BR222</f>
        <v>6539819.81845327</v>
      </c>
      <c r="BS244" s="132">
        <f t="shared" si="249"/>
        <v>96703.725685493089</v>
      </c>
      <c r="BT244" s="397">
        <f t="shared" si="250"/>
        <v>1.5008844213445168E-2</v>
      </c>
      <c r="BU244" s="142">
        <f>BU222+BU188+BU166+BU133+BU109+BU74+BU41</f>
        <v>6653076.0005971938</v>
      </c>
      <c r="BV244" s="142">
        <f>BU244-BL244</f>
        <v>559819.21166935749</v>
      </c>
      <c r="BW244" s="385">
        <f>BW41+BW74+BW109+BW133+BW166+BW188+BW222</f>
        <v>6748667</v>
      </c>
      <c r="BX244" s="142" t="e">
        <f>BX222+BX188+BX166+BX133+BX109+BX74+BX41</f>
        <v>#REF!</v>
      </c>
      <c r="BY244" s="39">
        <f t="shared" si="241"/>
        <v>208847.18154672999</v>
      </c>
      <c r="BZ244" s="51">
        <f t="shared" si="242"/>
        <v>3.1934699631544945E-2</v>
      </c>
      <c r="CB244" s="39"/>
    </row>
    <row r="245" spans="1:80" ht="18" customHeight="1">
      <c r="R245" s="52"/>
      <c r="AM245" s="84"/>
      <c r="AN245" s="172"/>
      <c r="BV245" s="258"/>
      <c r="BY245" s="39">
        <f t="shared" si="241"/>
        <v>0</v>
      </c>
      <c r="BZ245" s="51" t="e">
        <f t="shared" si="242"/>
        <v>#DIV/0!</v>
      </c>
      <c r="CB245" s="243"/>
    </row>
    <row r="246" spans="1:80" ht="18" customHeight="1">
      <c r="AM246" s="84"/>
      <c r="AN246" s="172"/>
      <c r="AW246" s="241"/>
      <c r="BL246" s="39"/>
      <c r="BR246" s="52"/>
    </row>
    <row r="247" spans="1:80" ht="18" customHeight="1">
      <c r="AM247" s="84"/>
      <c r="AN247" s="172"/>
    </row>
    <row r="248" spans="1:80" ht="18" customHeight="1">
      <c r="AM248" s="84"/>
      <c r="AN248" s="172"/>
      <c r="BN248" s="319"/>
      <c r="BY248" s="220"/>
    </row>
    <row r="249" spans="1:80" ht="18" customHeight="1">
      <c r="AM249" s="84"/>
      <c r="AN249" s="172"/>
      <c r="BX249" s="52"/>
      <c r="BY249" s="51"/>
    </row>
    <row r="250" spans="1:80" ht="18" customHeight="1">
      <c r="AM250" s="84"/>
      <c r="AN250" s="172"/>
    </row>
    <row r="251" spans="1:80" ht="18" customHeight="1">
      <c r="AM251" s="84"/>
      <c r="AN251" s="172"/>
    </row>
    <row r="252" spans="1:80" ht="18" customHeight="1">
      <c r="AM252" s="84"/>
      <c r="AN252" s="172"/>
    </row>
    <row r="253" spans="1:80" ht="18" customHeight="1">
      <c r="AM253" s="84"/>
      <c r="AN253" s="172"/>
    </row>
    <row r="254" spans="1:80" ht="18" customHeight="1">
      <c r="AM254" s="84"/>
      <c r="AN254" s="172"/>
    </row>
  </sheetData>
  <customSheetViews>
    <customSheetView guid="{567C3053-2D8E-4705-8DC7-18896C5303CA}" scale="85" showPageBreaks="1" hiddenRows="1" hiddenColumns="1" topLeftCell="A8">
      <pane xSplit="1" topLeftCell="BS1" activePane="topRight" state="frozen"/>
      <selection pane="topRight" activeCell="A243" sqref="A243"/>
      <pageMargins left="0.75" right="0.75" top="1" bottom="1" header="0.5" footer="0.5"/>
      <pageSetup paperSize="5" orientation="landscape" r:id="rId1"/>
      <headerFooter alignWithMargins="0"/>
    </customSheetView>
    <customSheetView guid="{9D4F0482-B164-4671-805A-E0D2D4DD4720}" scale="85" hiddenRows="1" hiddenColumns="1" topLeftCell="A4">
      <pane xSplit="1" ySplit="5" topLeftCell="BQ51" activePane="bottomRight" state="frozen"/>
      <selection pane="bottomRight" activeCell="A58" sqref="A58:XFD58"/>
      <pageMargins left="0.75" right="0.75" top="1" bottom="1" header="0.5" footer="0.5"/>
      <pageSetup paperSize="5" orientation="landscape" r:id="rId2"/>
      <headerFooter alignWithMargins="0"/>
    </customSheetView>
    <customSheetView guid="{78CA186D-B240-44D5-8A24-D241DE0B0FD9}" scale="80" hiddenRows="1" hiddenColumns="1" topLeftCell="A4">
      <pane xSplit="1" ySplit="2" topLeftCell="BP54" activePane="bottomRight" state="frozen"/>
      <selection pane="bottomRight" activeCell="CB61" sqref="CB61"/>
      <pageMargins left="0.75" right="0.75" top="1" bottom="1" header="0.5" footer="0.5"/>
      <pageSetup paperSize="5" orientation="landscape" r:id="rId3"/>
      <headerFooter alignWithMargins="0"/>
    </customSheetView>
    <customSheetView guid="{455630F5-40FC-47DB-8AD4-712C20B8FB91}" scale="80" hiddenRows="1" hiddenColumns="1" topLeftCell="A4">
      <pane xSplit="1" ySplit="2" topLeftCell="BN12" activePane="bottomRight" state="frozen"/>
      <selection pane="bottomRight" activeCell="BX7" sqref="BX7"/>
      <pageMargins left="0.75" right="0.75" top="1" bottom="1" header="0.5" footer="0.5"/>
      <pageSetup paperSize="5" orientation="landscape" r:id="rId4"/>
      <headerFooter alignWithMargins="0"/>
    </customSheetView>
    <customSheetView guid="{AEFEB150-9213-45F5-A178-7AC71E46DB11}" scale="85" hiddenRows="1" hiddenColumns="1" topLeftCell="A4">
      <pane xSplit="1" ySplit="2" topLeftCell="BZ178" activePane="bottomRight" state="frozen"/>
      <selection pane="bottomRight" activeCell="CA203" sqref="CA203"/>
      <pageMargins left="0.75" right="0.75" top="1" bottom="1" header="0.5" footer="0.5"/>
      <pageSetup paperSize="5" orientation="landscape" r:id="rId5"/>
      <headerFooter alignWithMargins="0"/>
    </customSheetView>
    <customSheetView guid="{1E5198E1-BA46-4CE0-8628-4F695B0D7A3B}" scale="85" hiddenRows="1" topLeftCell="A4">
      <pane xSplit="1" ySplit="5" topLeftCell="BJ108" activePane="bottomRight" state="frozen"/>
      <selection pane="bottomRight" activeCell="BU127" sqref="BU127"/>
      <pageMargins left="0.75" right="0.75" top="1" bottom="1" header="0.5" footer="0.5"/>
      <pageSetup paperSize="5" orientation="landscape" r:id="rId6"/>
      <headerFooter alignWithMargins="0"/>
    </customSheetView>
    <customSheetView guid="{F784130D-F647-4ABA-8943-C79CA5B0FDC4}" scale="85" hiddenRows="1" hiddenColumns="1" topLeftCell="A4">
      <pane xSplit="1" ySplit="5" topLeftCell="BT17" activePane="bottomRight" state="frozen"/>
      <selection pane="bottomRight" activeCell="BT25" sqref="BT25"/>
      <pageMargins left="0.75" right="0.75" top="1" bottom="1" header="0.5" footer="0.5"/>
      <pageSetup paperSize="5" orientation="landscape" r:id="rId7"/>
      <headerFooter alignWithMargins="0"/>
    </customSheetView>
    <customSheetView guid="{8F508F4D-4777-42BE-9707-8CB9355F7BDB}" scale="85" hiddenRows="1" hiddenColumns="1" topLeftCell="A4">
      <pane xSplit="1" ySplit="5" topLeftCell="AN83" activePane="bottomRight" state="frozen"/>
      <selection pane="bottomRight" activeCell="AR39" sqref="AR39"/>
      <pageMargins left="0.75" right="0.75" top="1" bottom="1" header="0.5" footer="0.5"/>
      <pageSetup paperSize="5" orientation="landscape" r:id="rId8"/>
      <headerFooter alignWithMargins="0"/>
    </customSheetView>
    <customSheetView guid="{94DA13B6-7351-40F3-8CF7-A4211EC439DA}" scale="85" hiddenRows="1" hiddenColumns="1" topLeftCell="A3">
      <pane xSplit="1" ySplit="5" topLeftCell="AU189" activePane="bottomRight" state="frozen"/>
      <selection pane="bottomRight" activeCell="AY196" sqref="AY196"/>
      <pageMargins left="0.75" right="0.75" top="1" bottom="1" header="0.5" footer="0.5"/>
      <pageSetup paperSize="5" orientation="landscape" r:id="rId9"/>
      <headerFooter alignWithMargins="0"/>
    </customSheetView>
    <customSheetView guid="{E44F5FE1-54FC-4AB3-84F9-7D65ACF2DDE7}" scale="85" hiddenRows="1" hiddenColumns="1" topLeftCell="A4">
      <pane xSplit="1" ySplit="5" topLeftCell="AF47" activePane="bottomRight" state="frozen"/>
      <selection pane="bottomRight" activeCell="BL55" sqref="BL55"/>
      <pageMargins left="0.75" right="0.75" top="1" bottom="1" header="0.5" footer="0.5"/>
      <pageSetup paperSize="5" orientation="landscape" r:id="rId10"/>
      <headerFooter alignWithMargins="0"/>
    </customSheetView>
    <customSheetView guid="{50528D02-548E-47E0-94D7-D1E79CD3569C}" scale="80" hiddenRows="1" hiddenColumns="1" topLeftCell="A4">
      <pane xSplit="1" ySplit="2" topLeftCell="BN27" activePane="bottomRight" state="frozen"/>
      <selection pane="bottomRight" activeCell="BX39" sqref="BX39"/>
      <pageMargins left="0.75" right="0.75" top="1" bottom="1" header="0.5" footer="0.5"/>
      <pageSetup paperSize="5" orientation="landscape" r:id="rId11"/>
      <headerFooter alignWithMargins="0"/>
    </customSheetView>
    <customSheetView guid="{A2518DB3-3A80-4035-9307-EC50A7C923F2}" scale="80" hiddenRows="1" hiddenColumns="1" topLeftCell="A4">
      <pane xSplit="1" ySplit="2" topLeftCell="BN27" activePane="bottomRight" state="frozen"/>
      <selection pane="bottomRight" activeCell="BX39" sqref="BX39"/>
      <pageMargins left="0.75" right="0.75" top="1" bottom="1" header="0.5" footer="0.5"/>
      <pageSetup paperSize="5" orientation="landscape" r:id="rId12"/>
      <headerFooter alignWithMargins="0"/>
    </customSheetView>
    <customSheetView guid="{E81D05A4-5B21-42D3-A8D3-906ABCABC0F4}" scale="80" hiddenRows="1" hiddenColumns="1" topLeftCell="A4">
      <pane xSplit="1" ySplit="2" topLeftCell="BX81" activePane="bottomRight" state="frozen"/>
      <selection pane="bottomRight" activeCell="BX89" sqref="BX89"/>
      <pageMargins left="0.75" right="0.75" top="1" bottom="1" header="0.5" footer="0.5"/>
      <pageSetup paperSize="5" orientation="landscape" r:id="rId13"/>
      <headerFooter alignWithMargins="0"/>
    </customSheetView>
  </customSheetViews>
  <mergeCells count="6">
    <mergeCell ref="AA4:AA5"/>
    <mergeCell ref="M4:N4"/>
    <mergeCell ref="P4:Q4"/>
    <mergeCell ref="S4:T4"/>
    <mergeCell ref="V4:W4"/>
    <mergeCell ref="Y4:Z4"/>
  </mergeCells>
  <pageMargins left="0.75" right="0.75" top="1" bottom="1" header="0.5" footer="0.5"/>
  <pageSetup paperSize="5" orientation="landscape" r:id="rId14"/>
  <headerFooter alignWithMargins="0"/>
  <legacyDrawing r:id="rId15"/>
</worksheet>
</file>

<file path=xl/worksheets/sheet6.xml><?xml version="1.0" encoding="utf-8"?>
<worksheet xmlns="http://schemas.openxmlformats.org/spreadsheetml/2006/main" xmlns:r="http://schemas.openxmlformats.org/officeDocument/2006/relationships">
  <dimension ref="A1:H15"/>
  <sheetViews>
    <sheetView workbookViewId="0">
      <selection activeCell="F12" sqref="F12"/>
    </sheetView>
  </sheetViews>
  <sheetFormatPr defaultRowHeight="12.5"/>
  <cols>
    <col min="1" max="1" width="11" bestFit="1" customWidth="1"/>
    <col min="2" max="2" width="11.7265625" customWidth="1"/>
    <col min="4" max="4" width="12.453125" customWidth="1"/>
  </cols>
  <sheetData>
    <row r="1" spans="1:8" ht="13">
      <c r="A1" s="13"/>
      <c r="B1" s="13"/>
      <c r="D1" t="s">
        <v>221</v>
      </c>
      <c r="E1" t="s">
        <v>115</v>
      </c>
      <c r="H1" s="259"/>
    </row>
    <row r="2" spans="1:8">
      <c r="D2">
        <v>2000</v>
      </c>
      <c r="E2">
        <f>339.8/250.8</f>
        <v>1.3548644338118023</v>
      </c>
    </row>
    <row r="3" spans="1:8">
      <c r="D3">
        <v>2001</v>
      </c>
      <c r="E3">
        <f>339.8/258.8</f>
        <v>1.312982998454405</v>
      </c>
    </row>
    <row r="4" spans="1:8">
      <c r="D4">
        <v>2002</v>
      </c>
      <c r="E4">
        <f>339.8/262.7</f>
        <v>1.2934906737723639</v>
      </c>
    </row>
    <row r="5" spans="1:8">
      <c r="D5">
        <v>2003</v>
      </c>
      <c r="E5">
        <f>339.8/268.9</f>
        <v>1.2636667906284866</v>
      </c>
    </row>
    <row r="6" spans="1:8">
      <c r="D6">
        <v>2004</v>
      </c>
      <c r="E6">
        <f>339.8/275.1</f>
        <v>1.2351872046528534</v>
      </c>
    </row>
    <row r="7" spans="1:8">
      <c r="D7">
        <v>2005</v>
      </c>
      <c r="E7">
        <f>339.8/284.1</f>
        <v>1.196057726152763</v>
      </c>
    </row>
    <row r="8" spans="1:8">
      <c r="D8">
        <v>2006</v>
      </c>
      <c r="E8">
        <f>339.8/294.6</f>
        <v>1.1534283774609639</v>
      </c>
    </row>
    <row r="9" spans="1:8">
      <c r="D9">
        <v>2007</v>
      </c>
      <c r="E9">
        <f>339.8/301.6</f>
        <v>1.1266578249336869</v>
      </c>
    </row>
    <row r="10" spans="1:8">
      <c r="D10">
        <v>2008</v>
      </c>
      <c r="E10">
        <f>339.8/314.9</f>
        <v>1.0790727214988887</v>
      </c>
    </row>
    <row r="11" spans="1:8">
      <c r="D11">
        <v>2009</v>
      </c>
      <c r="E11">
        <f>339.8/313.9</f>
        <v>1.0825103536158014</v>
      </c>
    </row>
    <row r="12" spans="1:8">
      <c r="D12">
        <v>2010</v>
      </c>
      <c r="E12">
        <f>339.8/319.2</f>
        <v>1.0645363408521304</v>
      </c>
    </row>
    <row r="13" spans="1:8">
      <c r="D13">
        <v>2011</v>
      </c>
      <c r="E13">
        <f>339.8/327.7</f>
        <v>1.0369240158681723</v>
      </c>
    </row>
    <row r="14" spans="1:8">
      <c r="D14">
        <v>2012</v>
      </c>
      <c r="E14" s="259">
        <f>339.8/334.9</f>
        <v>1.0146312332039416</v>
      </c>
    </row>
    <row r="15" spans="1:8">
      <c r="D15">
        <v>2013</v>
      </c>
      <c r="E15">
        <f>339.8/339.8</f>
        <v>1</v>
      </c>
    </row>
  </sheetData>
  <customSheetViews>
    <customSheetView guid="{567C3053-2D8E-4705-8DC7-18896C5303CA}" showPageBreaks="1">
      <selection activeCell="F12" sqref="F12"/>
      <pageMargins left="0.75" right="0.75" top="1" bottom="1" header="0.5" footer="0.5"/>
      <pageSetup orientation="portrait" r:id="rId1"/>
      <headerFooter alignWithMargins="0"/>
    </customSheetView>
    <customSheetView guid="{9D4F0482-B164-4671-805A-E0D2D4DD4720}">
      <selection activeCell="A2" sqref="A2"/>
      <pageMargins left="0.75" right="0.75" top="1" bottom="1" header="0.5" footer="0.5"/>
      <pageSetup orientation="portrait" r:id="rId2"/>
      <headerFooter alignWithMargins="0"/>
    </customSheetView>
    <customSheetView guid="{78CA186D-B240-44D5-8A24-D241DE0B0FD9}">
      <selection activeCell="E14" sqref="E14"/>
      <pageMargins left="0.75" right="0.75" top="1" bottom="1" header="0.5" footer="0.5"/>
      <pageSetup orientation="portrait" r:id="rId3"/>
      <headerFooter alignWithMargins="0"/>
    </customSheetView>
    <customSheetView guid="{455630F5-40FC-47DB-8AD4-712C20B8FB91}">
      <selection activeCell="E15" sqref="E15"/>
      <pageMargins left="0.75" right="0.75" top="1" bottom="1" header="0.5" footer="0.5"/>
      <pageSetup orientation="portrait" r:id="rId4"/>
      <headerFooter alignWithMargins="0"/>
    </customSheetView>
    <customSheetView guid="{AEFEB150-9213-45F5-A178-7AC71E46DB11}">
      <selection activeCell="L30" sqref="L30"/>
      <pageMargins left="0.75" right="0.75" top="1" bottom="1" header="0.5" footer="0.5"/>
      <pageSetup orientation="portrait" r:id="rId5"/>
      <headerFooter alignWithMargins="0"/>
    </customSheetView>
    <customSheetView guid="{1E5198E1-BA46-4CE0-8628-4F695B0D7A3B}">
      <selection activeCell="F12" sqref="F12"/>
      <pageMargins left="0.75" right="0.75" top="1" bottom="1" header="0.5" footer="0.5"/>
      <pageSetup orientation="portrait" r:id="rId6"/>
      <headerFooter alignWithMargins="0"/>
    </customSheetView>
    <customSheetView guid="{F784130D-F647-4ABA-8943-C79CA5B0FDC4}">
      <selection activeCell="F23" sqref="F23"/>
      <pageMargins left="0.75" right="0.75" top="1" bottom="1" header="0.5" footer="0.5"/>
      <pageSetup orientation="portrait" r:id="rId7"/>
      <headerFooter alignWithMargins="0"/>
    </customSheetView>
    <customSheetView guid="{8F508F4D-4777-42BE-9707-8CB9355F7BDB}">
      <selection activeCell="F12" sqref="F12"/>
      <pageMargins left="0.75" right="0.75" top="1" bottom="1" header="0.5" footer="0.5"/>
      <pageSetup orientation="portrait" r:id="rId8"/>
      <headerFooter alignWithMargins="0"/>
    </customSheetView>
    <customSheetView guid="{94DA13B6-7351-40F3-8CF7-A4211EC439DA}">
      <selection activeCell="F12" sqref="F12"/>
      <pageMargins left="0.75" right="0.75" top="1" bottom="1" header="0.5" footer="0.5"/>
      <pageSetup orientation="portrait" r:id="rId9"/>
      <headerFooter alignWithMargins="0"/>
    </customSheetView>
    <customSheetView guid="{E44F5FE1-54FC-4AB3-84F9-7D65ACF2DDE7}">
      <selection activeCell="F12" sqref="F12"/>
      <pageMargins left="0.75" right="0.75" top="1" bottom="1" header="0.5" footer="0.5"/>
      <pageSetup orientation="portrait" r:id="rId10"/>
      <headerFooter alignWithMargins="0"/>
    </customSheetView>
    <customSheetView guid="{50528D02-548E-47E0-94D7-D1E79CD3569C}">
      <selection activeCell="E15" sqref="E15"/>
      <pageMargins left="0.75" right="0.75" top="1" bottom="1" header="0.5" footer="0.5"/>
      <pageSetup orientation="portrait" r:id="rId11"/>
      <headerFooter alignWithMargins="0"/>
    </customSheetView>
    <customSheetView guid="{A2518DB3-3A80-4035-9307-EC50A7C923F2}">
      <selection activeCell="E15" sqref="E15"/>
      <pageMargins left="0.75" right="0.75" top="1" bottom="1" header="0.5" footer="0.5"/>
      <pageSetup orientation="portrait" r:id="rId12"/>
      <headerFooter alignWithMargins="0"/>
    </customSheetView>
    <customSheetView guid="{E81D05A4-5B21-42D3-A8D3-906ABCABC0F4}">
      <selection activeCell="E15" sqref="E15"/>
      <pageMargins left="0.75" right="0.75" top="1" bottom="1" header="0.5" footer="0.5"/>
      <pageSetup orientation="portrait" r:id="rId13"/>
      <headerFooter alignWithMargins="0"/>
    </customSheetView>
  </customSheetViews>
  <phoneticPr fontId="8" type="noConversion"/>
  <pageMargins left="0.75" right="0.75" top="1" bottom="1" header="0.5" footer="0.5"/>
  <pageSetup orientation="portrait" r:id="rId14"/>
  <headerFooter alignWithMargins="0"/>
</worksheet>
</file>

<file path=xl/worksheets/sheet7.xml><?xml version="1.0" encoding="utf-8"?>
<worksheet xmlns="http://schemas.openxmlformats.org/spreadsheetml/2006/main" xmlns:r="http://schemas.openxmlformats.org/officeDocument/2006/relationships">
  <dimension ref="A2:H60"/>
  <sheetViews>
    <sheetView workbookViewId="0"/>
  </sheetViews>
  <sheetFormatPr defaultRowHeight="12.5"/>
  <cols>
    <col min="1" max="1" width="10.81640625" customWidth="1"/>
  </cols>
  <sheetData>
    <row r="2" spans="1:8">
      <c r="A2" s="220"/>
    </row>
    <row r="3" spans="1:8">
      <c r="A3" s="220"/>
    </row>
    <row r="4" spans="1:8">
      <c r="A4" s="220"/>
    </row>
    <row r="6" spans="1:8" ht="13">
      <c r="A6" s="83"/>
      <c r="H6" s="220"/>
    </row>
    <row r="7" spans="1:8">
      <c r="A7" s="220"/>
    </row>
    <row r="8" spans="1:8">
      <c r="A8" s="220"/>
    </row>
    <row r="9" spans="1:8">
      <c r="A9" s="220"/>
    </row>
    <row r="10" spans="1:8">
      <c r="A10" s="220"/>
    </row>
    <row r="11" spans="1:8">
      <c r="A11" s="220"/>
    </row>
    <row r="13" spans="1:8" ht="13">
      <c r="A13" s="13"/>
    </row>
    <row r="14" spans="1:8">
      <c r="A14" s="220"/>
    </row>
    <row r="15" spans="1:8" ht="13">
      <c r="A15" s="13"/>
    </row>
    <row r="16" spans="1:8">
      <c r="A16" s="220"/>
    </row>
    <row r="17" spans="1:1">
      <c r="A17" s="220"/>
    </row>
    <row r="18" spans="1:1">
      <c r="A18" s="220"/>
    </row>
    <row r="19" spans="1:1" ht="13">
      <c r="A19" s="83"/>
    </row>
    <row r="21" spans="1:1" ht="13">
      <c r="A21" s="83"/>
    </row>
    <row r="22" spans="1:1">
      <c r="A22" s="220"/>
    </row>
    <row r="23" spans="1:1">
      <c r="A23" s="220"/>
    </row>
    <row r="24" spans="1:1" ht="13">
      <c r="A24" s="13"/>
    </row>
    <row r="25" spans="1:1" ht="13">
      <c r="A25" s="83"/>
    </row>
    <row r="26" spans="1:1">
      <c r="A26" s="220"/>
    </row>
    <row r="27" spans="1:1">
      <c r="A27" s="220"/>
    </row>
    <row r="28" spans="1:1">
      <c r="A28" s="220"/>
    </row>
    <row r="29" spans="1:1">
      <c r="A29" s="220"/>
    </row>
    <row r="30" spans="1:1" ht="13">
      <c r="A30" s="83"/>
    </row>
    <row r="31" spans="1:1">
      <c r="A31" s="220"/>
    </row>
    <row r="32" spans="1:1">
      <c r="A32" s="220"/>
    </row>
    <row r="33" spans="1:6">
      <c r="A33" s="220"/>
    </row>
    <row r="34" spans="1:6">
      <c r="A34" s="220"/>
    </row>
    <row r="35" spans="1:6" ht="13">
      <c r="A35" s="83"/>
    </row>
    <row r="38" spans="1:6" ht="13">
      <c r="A38" s="83"/>
    </row>
    <row r="41" spans="1:6">
      <c r="A41" s="220"/>
    </row>
    <row r="42" spans="1:6">
      <c r="A42" s="220"/>
      <c r="B42" s="27"/>
      <c r="C42" s="27"/>
      <c r="D42" s="27"/>
    </row>
    <row r="43" spans="1:6">
      <c r="A43" s="220"/>
      <c r="B43" s="27"/>
      <c r="D43" s="27"/>
    </row>
    <row r="44" spans="1:6">
      <c r="A44" s="220"/>
      <c r="B44" s="27"/>
      <c r="D44" s="27"/>
    </row>
    <row r="45" spans="1:6">
      <c r="A45" s="220"/>
      <c r="B45" s="27"/>
      <c r="C45" s="27"/>
      <c r="F45" s="100"/>
    </row>
    <row r="46" spans="1:6">
      <c r="A46" s="220"/>
      <c r="F46" s="100"/>
    </row>
    <row r="47" spans="1:6">
      <c r="A47" s="220"/>
      <c r="F47" s="100"/>
    </row>
    <row r="48" spans="1:6">
      <c r="A48" s="220"/>
      <c r="F48" s="100"/>
    </row>
    <row r="49" spans="1:6">
      <c r="A49" s="220"/>
      <c r="F49" s="100"/>
    </row>
    <row r="50" spans="1:6">
      <c r="A50" s="220"/>
      <c r="F50" s="100"/>
    </row>
    <row r="51" spans="1:6">
      <c r="A51" s="220"/>
      <c r="F51" s="100"/>
    </row>
    <row r="52" spans="1:6">
      <c r="A52" s="220"/>
    </row>
    <row r="53" spans="1:6">
      <c r="A53" s="220"/>
      <c r="B53" s="27"/>
      <c r="C53" s="27"/>
    </row>
    <row r="54" spans="1:6">
      <c r="A54" s="220"/>
      <c r="B54" s="27"/>
    </row>
    <row r="55" spans="1:6">
      <c r="A55" s="220"/>
      <c r="B55" s="27"/>
    </row>
    <row r="56" spans="1:6">
      <c r="B56" s="27"/>
      <c r="C56" s="27"/>
    </row>
    <row r="57" spans="1:6">
      <c r="B57" s="27"/>
    </row>
    <row r="59" spans="1:6">
      <c r="B59" s="27"/>
    </row>
    <row r="60" spans="1:6">
      <c r="B60" s="27"/>
    </row>
  </sheetData>
  <customSheetViews>
    <customSheetView guid="{567C3053-2D8E-4705-8DC7-18896C5303CA}" showPageBreaks="1" state="hidden">
      <pageMargins left="0.7" right="0.7" top="0.75" bottom="0.75" header="0.3" footer="0.3"/>
      <pageSetup orientation="portrait" r:id="rId1"/>
    </customSheetView>
    <customSheetView guid="{9D4F0482-B164-4671-805A-E0D2D4DD4720}">
      <selection activeCell="A53" sqref="A53:XFD53"/>
      <pageMargins left="0.7" right="0.7" top="0.75" bottom="0.75" header="0.3" footer="0.3"/>
    </customSheetView>
    <customSheetView guid="{78CA186D-B240-44D5-8A24-D241DE0B0FD9}" topLeftCell="A41">
      <selection activeCell="C49" sqref="C49"/>
      <pageMargins left="0.7" right="0.7" top="0.75" bottom="0.75" header="0.3" footer="0.3"/>
      <pageSetup orientation="portrait" r:id="rId2"/>
    </customSheetView>
    <customSheetView guid="{455630F5-40FC-47DB-8AD4-712C20B8FB91}">
      <selection activeCell="B59" sqref="B59"/>
      <pageMargins left="0.7" right="0.7" top="0.75" bottom="0.75" header="0.3" footer="0.3"/>
      <pageSetup orientation="portrait" r:id="rId3"/>
    </customSheetView>
    <customSheetView guid="{AEFEB150-9213-45F5-A178-7AC71E46DB11}">
      <selection activeCell="B59" sqref="B59"/>
      <pageMargins left="0.7" right="0.7" top="0.75" bottom="0.75" header="0.3" footer="0.3"/>
      <pageSetup paperSize="0" orientation="portrait" r:id="rId4"/>
    </customSheetView>
    <customSheetView guid="{1E5198E1-BA46-4CE0-8628-4F695B0D7A3B}">
      <selection activeCell="A14" sqref="A14:XFD14"/>
      <pageMargins left="0.7" right="0.7" top="0.75" bottom="0.75" header="0.3" footer="0.3"/>
    </customSheetView>
    <customSheetView guid="{F784130D-F647-4ABA-8943-C79CA5B0FDC4}">
      <selection activeCell="D15" sqref="B8:D15"/>
      <pageMargins left="0.7" right="0.7" top="0.75" bottom="0.75" header="0.3" footer="0.3"/>
    </customSheetView>
    <customSheetView guid="{E44F5FE1-54FC-4AB3-84F9-7D65ACF2DDE7}" topLeftCell="A28">
      <selection activeCell="K49" sqref="K49"/>
      <pageMargins left="0.7" right="0.7" top="0.75" bottom="0.75" header="0.3" footer="0.3"/>
      <pageSetup orientation="portrait" r:id="rId5"/>
    </customSheetView>
    <customSheetView guid="{50528D02-548E-47E0-94D7-D1E79CD3569C}">
      <selection activeCell="B59" sqref="B59"/>
      <pageMargins left="0.7" right="0.7" top="0.75" bottom="0.75" header="0.3" footer="0.3"/>
      <pageSetup orientation="portrait" r:id="rId6"/>
    </customSheetView>
    <customSheetView guid="{A2518DB3-3A80-4035-9307-EC50A7C923F2}">
      <selection activeCell="B59" sqref="B59"/>
      <pageMargins left="0.7" right="0.7" top="0.75" bottom="0.75" header="0.3" footer="0.3"/>
      <pageSetup orientation="portrait" r:id="rId7"/>
    </customSheetView>
    <customSheetView guid="{E81D05A4-5B21-42D3-A8D3-906ABCABC0F4}" topLeftCell="A41">
      <selection activeCell="C49" sqref="C49"/>
      <pageMargins left="0.7" right="0.7" top="0.75" bottom="0.75" header="0.3" footer="0.3"/>
      <pageSetup orientation="portrait" r:id="rId8"/>
    </customSheetView>
  </customSheetViews>
  <pageMargins left="0.7" right="0.7" top="0.75" bottom="0.75" header="0.3" footer="0.3"/>
  <pageSetup orientation="portrait" r:id="rId9"/>
</worksheet>
</file>

<file path=xl/worksheets/sheet8.xml><?xml version="1.0" encoding="utf-8"?>
<worksheet xmlns="http://schemas.openxmlformats.org/spreadsheetml/2006/main" xmlns:r="http://schemas.openxmlformats.org/officeDocument/2006/relationships">
  <dimension ref="A2:G20"/>
  <sheetViews>
    <sheetView topLeftCell="A7" workbookViewId="0">
      <selection activeCell="E20" sqref="E20"/>
    </sheetView>
  </sheetViews>
  <sheetFormatPr defaultRowHeight="12.5"/>
  <sheetData>
    <row r="2" spans="1:7" ht="14.5">
      <c r="A2" s="663" t="s">
        <v>452</v>
      </c>
    </row>
    <row r="3" spans="1:7" ht="14.5">
      <c r="A3" s="666" t="s">
        <v>453</v>
      </c>
    </row>
    <row r="4" spans="1:7" ht="14.5">
      <c r="A4" s="664" t="s">
        <v>446</v>
      </c>
    </row>
    <row r="5" spans="1:7" ht="14.5">
      <c r="A5" s="664" t="s">
        <v>447</v>
      </c>
    </row>
    <row r="6" spans="1:7" ht="14.5">
      <c r="A6" s="664" t="s">
        <v>448</v>
      </c>
      <c r="C6" s="623"/>
      <c r="D6" s="623"/>
      <c r="E6" s="623"/>
      <c r="F6" s="623"/>
      <c r="G6" s="623"/>
    </row>
    <row r="7" spans="1:7" ht="14.5">
      <c r="A7" s="664" t="s">
        <v>449</v>
      </c>
    </row>
    <row r="8" spans="1:7" ht="14.5">
      <c r="A8" s="663" t="s">
        <v>461</v>
      </c>
    </row>
    <row r="9" spans="1:7" ht="14.5">
      <c r="A9" s="664" t="s">
        <v>454</v>
      </c>
    </row>
    <row r="10" spans="1:7" ht="14.5">
      <c r="A10" s="664" t="s">
        <v>455</v>
      </c>
    </row>
    <row r="11" spans="1:7" ht="14.5">
      <c r="A11" s="666"/>
    </row>
    <row r="12" spans="1:7" ht="13">
      <c r="A12" s="13" t="s">
        <v>459</v>
      </c>
    </row>
    <row r="13" spans="1:7">
      <c r="A13" s="220" t="s">
        <v>462</v>
      </c>
    </row>
    <row r="14" spans="1:7" ht="13">
      <c r="A14" s="13" t="s">
        <v>463</v>
      </c>
    </row>
    <row r="15" spans="1:7">
      <c r="A15" s="220" t="s">
        <v>464</v>
      </c>
    </row>
    <row r="17" spans="1:1" ht="13">
      <c r="A17" s="13" t="s">
        <v>469</v>
      </c>
    </row>
    <row r="18" spans="1:1">
      <c r="A18" s="245" t="s">
        <v>470</v>
      </c>
    </row>
    <row r="19" spans="1:1" ht="13">
      <c r="A19" s="13" t="s">
        <v>463</v>
      </c>
    </row>
    <row r="20" spans="1:1">
      <c r="A20" s="220" t="s">
        <v>471</v>
      </c>
    </row>
  </sheetData>
  <customSheetViews>
    <customSheetView guid="{567C3053-2D8E-4705-8DC7-18896C5303CA}" topLeftCell="A7">
      <selection activeCell="E20" sqref="E20"/>
      <pageMargins left="0.7" right="0.7" top="0.75" bottom="0.75" header="0.3" footer="0.3"/>
      <pageSetup orientation="portrait" r:id="rId1"/>
    </customSheetView>
    <customSheetView guid="{9D4F0482-B164-4671-805A-E0D2D4DD4720}">
      <selection activeCell="E20" sqref="E20"/>
      <pageMargins left="0.7" right="0.7" top="0.75" bottom="0.75" header="0.3" footer="0.3"/>
      <pageSetup orientation="portrait" r:id="rId2"/>
    </customSheetView>
    <customSheetView guid="{78CA186D-B240-44D5-8A24-D241DE0B0FD9}">
      <selection activeCell="E20" sqref="E20"/>
      <pageMargins left="0.7" right="0.7" top="0.75" bottom="0.75" header="0.3" footer="0.3"/>
      <pageSetup orientation="portrait" r:id="rId3"/>
    </customSheetView>
    <customSheetView guid="{455630F5-40FC-47DB-8AD4-712C20B8FB91}">
      <selection activeCell="E20" sqref="E20"/>
      <pageMargins left="0.7" right="0.7" top="0.75" bottom="0.75" header="0.3" footer="0.3"/>
      <pageSetup orientation="portrait" r:id="rId4"/>
    </customSheetView>
    <customSheetView guid="{AEFEB150-9213-45F5-A178-7AC71E46DB11}">
      <selection activeCell="A21" sqref="A21"/>
      <pageMargins left="0.7" right="0.7" top="0.75" bottom="0.75" header="0.3" footer="0.3"/>
      <pageSetup orientation="portrait" r:id="rId5"/>
    </customSheetView>
    <customSheetView guid="{50528D02-548E-47E0-94D7-D1E79CD3569C}">
      <selection activeCell="E20" sqref="E20"/>
      <pageMargins left="0.7" right="0.7" top="0.75" bottom="0.75" header="0.3" footer="0.3"/>
      <pageSetup orientation="portrait" r:id="rId6"/>
    </customSheetView>
    <customSheetView guid="{A2518DB3-3A80-4035-9307-EC50A7C923F2}">
      <selection activeCell="E20" sqref="E20"/>
      <pageMargins left="0.7" right="0.7" top="0.75" bottom="0.75" header="0.3" footer="0.3"/>
      <pageSetup orientation="portrait" r:id="rId7"/>
    </customSheetView>
    <customSheetView guid="{E81D05A4-5B21-42D3-A8D3-906ABCABC0F4}">
      <selection activeCell="E20" sqref="E20"/>
      <pageMargins left="0.7" right="0.7" top="0.75" bottom="0.75" header="0.3" footer="0.3"/>
      <pageSetup orientation="portrait" r:id="rId8"/>
    </customSheetView>
  </customSheetViews>
  <pageMargins left="0.7" right="0.7" top="0.75" bottom="0.75" header="0.3" footer="0.3"/>
  <pageSetup orientation="portrait" r:id="rId9"/>
</worksheet>
</file>

<file path=xl/worksheets/sheet9.xml><?xml version="1.0" encoding="utf-8"?>
<worksheet xmlns="http://schemas.openxmlformats.org/spreadsheetml/2006/main" xmlns:r="http://schemas.openxmlformats.org/officeDocument/2006/relationships">
  <dimension ref="A1:C196"/>
  <sheetViews>
    <sheetView topLeftCell="A7" workbookViewId="0">
      <selection activeCell="D32" sqref="D32"/>
    </sheetView>
  </sheetViews>
  <sheetFormatPr defaultRowHeight="12.5"/>
  <cols>
    <col min="1" max="1" width="9.1796875" style="273"/>
    <col min="2" max="2" width="9.1796875" style="274"/>
    <col min="3" max="3" width="9.1796875" style="275"/>
  </cols>
  <sheetData>
    <row r="1" spans="1:3" ht="13">
      <c r="A1" s="660"/>
      <c r="B1" s="7"/>
      <c r="C1" s="7"/>
    </row>
    <row r="2" spans="1:3" ht="13">
      <c r="A2" s="660"/>
      <c r="B2" s="7"/>
      <c r="C2" s="7"/>
    </row>
    <row r="3" spans="1:3">
      <c r="A3" s="260"/>
      <c r="B3" s="7"/>
      <c r="C3" s="7"/>
    </row>
    <row r="4" spans="1:3">
      <c r="A4" s="260"/>
      <c r="B4" s="7"/>
      <c r="C4" s="7"/>
    </row>
    <row r="5" spans="1:3" ht="14.5">
      <c r="A5" s="665" t="s">
        <v>450</v>
      </c>
      <c r="B5" s="7"/>
      <c r="C5" s="7"/>
    </row>
    <row r="6" spans="1:3">
      <c r="A6" s="220" t="s">
        <v>451</v>
      </c>
      <c r="B6" s="7"/>
      <c r="C6" s="7"/>
    </row>
    <row r="7" spans="1:3" ht="14.5">
      <c r="A7" s="664" t="s">
        <v>446</v>
      </c>
      <c r="B7" s="7"/>
      <c r="C7" s="7"/>
    </row>
    <row r="8" spans="1:3" ht="14.5">
      <c r="A8" s="664" t="s">
        <v>447</v>
      </c>
      <c r="B8" s="7"/>
      <c r="C8" s="7"/>
    </row>
    <row r="9" spans="1:3" ht="14.5">
      <c r="A9" s="664" t="s">
        <v>448</v>
      </c>
      <c r="B9" s="7"/>
      <c r="C9" s="7"/>
    </row>
    <row r="10" spans="1:3" ht="14.5">
      <c r="A10" s="664" t="s">
        <v>449</v>
      </c>
      <c r="B10" s="7"/>
      <c r="C10" s="7"/>
    </row>
    <row r="11" spans="1:3">
      <c r="A11" s="260"/>
      <c r="B11" s="7"/>
      <c r="C11" s="7"/>
    </row>
    <row r="12" spans="1:3">
      <c r="A12" s="260"/>
      <c r="B12" s="7"/>
      <c r="C12" s="7"/>
    </row>
    <row r="13" spans="1:3" ht="13">
      <c r="A13" s="13" t="s">
        <v>276</v>
      </c>
      <c r="B13"/>
      <c r="C13"/>
    </row>
    <row r="14" spans="1:3">
      <c r="A14" s="220" t="s">
        <v>458</v>
      </c>
      <c r="B14"/>
      <c r="C14"/>
    </row>
    <row r="15" spans="1:3">
      <c r="A15" s="220"/>
      <c r="B15"/>
      <c r="C15"/>
    </row>
    <row r="16" spans="1:3" ht="13">
      <c r="A16" s="85" t="s">
        <v>459</v>
      </c>
      <c r="B16" s="7"/>
      <c r="C16" s="7"/>
    </row>
    <row r="17" spans="1:3">
      <c r="A17" s="245" t="s">
        <v>468</v>
      </c>
      <c r="B17" s="7"/>
      <c r="C17" s="7"/>
    </row>
    <row r="18" spans="1:3">
      <c r="A18" s="245" t="s">
        <v>460</v>
      </c>
      <c r="B18" s="7"/>
      <c r="C18" s="7"/>
    </row>
    <row r="19" spans="1:3">
      <c r="A19" s="260"/>
      <c r="B19" s="7"/>
      <c r="C19" s="7"/>
    </row>
    <row r="20" spans="1:3" ht="13">
      <c r="A20" s="85" t="s">
        <v>465</v>
      </c>
      <c r="B20" s="7"/>
      <c r="C20" s="7"/>
    </row>
    <row r="21" spans="1:3">
      <c r="A21" s="245" t="s">
        <v>466</v>
      </c>
      <c r="B21" s="7"/>
      <c r="C21" s="7"/>
    </row>
    <row r="22" spans="1:3">
      <c r="A22" s="245" t="s">
        <v>467</v>
      </c>
      <c r="B22" s="7"/>
      <c r="C22" s="7"/>
    </row>
    <row r="23" spans="1:3">
      <c r="A23" s="661"/>
      <c r="B23" s="7"/>
      <c r="C23" s="7"/>
    </row>
    <row r="24" spans="1:3" ht="13">
      <c r="A24" s="670" t="s">
        <v>473</v>
      </c>
      <c r="B24" s="7"/>
      <c r="C24" s="7"/>
    </row>
    <row r="25" spans="1:3">
      <c r="A25" s="671" t="s">
        <v>477</v>
      </c>
      <c r="B25" s="7"/>
      <c r="C25" s="7"/>
    </row>
    <row r="26" spans="1:3">
      <c r="A26" s="245" t="s">
        <v>474</v>
      </c>
      <c r="B26" s="7"/>
      <c r="C26" s="7"/>
    </row>
    <row r="27" spans="1:3">
      <c r="A27" s="260"/>
      <c r="B27" s="7"/>
      <c r="C27" s="7"/>
    </row>
    <row r="28" spans="1:3">
      <c r="A28" s="245" t="s">
        <v>475</v>
      </c>
      <c r="B28" s="7"/>
      <c r="C28" s="7"/>
    </row>
    <row r="29" spans="1:3">
      <c r="A29" s="245" t="s">
        <v>476</v>
      </c>
      <c r="B29" s="7"/>
      <c r="C29" s="7"/>
    </row>
    <row r="30" spans="1:3">
      <c r="A30" s="260"/>
      <c r="B30" s="7"/>
      <c r="C30" s="7"/>
    </row>
    <row r="31" spans="1:3" ht="13">
      <c r="A31" s="85" t="s">
        <v>487</v>
      </c>
      <c r="B31" s="7"/>
      <c r="C31" s="7"/>
    </row>
    <row r="32" spans="1:3">
      <c r="A32" s="260" t="s">
        <v>488</v>
      </c>
      <c r="B32" s="7"/>
      <c r="C32" s="7"/>
    </row>
    <row r="33" spans="1:3">
      <c r="A33" s="260"/>
      <c r="B33" s="7"/>
      <c r="C33" s="7"/>
    </row>
    <row r="34" spans="1:3">
      <c r="A34" s="260"/>
      <c r="B34" s="7"/>
      <c r="C34" s="7"/>
    </row>
    <row r="35" spans="1:3" ht="13">
      <c r="A35" s="660"/>
      <c r="B35" s="7"/>
      <c r="C35" s="7"/>
    </row>
    <row r="36" spans="1:3" ht="13">
      <c r="A36" s="660"/>
      <c r="B36" s="7"/>
      <c r="C36" s="7"/>
    </row>
    <row r="37" spans="1:3" ht="13">
      <c r="A37" s="662"/>
      <c r="B37" s="7"/>
      <c r="C37" s="7"/>
    </row>
    <row r="38" spans="1:3" ht="13">
      <c r="A38" s="662"/>
      <c r="B38" s="7"/>
      <c r="C38" s="7"/>
    </row>
    <row r="39" spans="1:3" ht="13">
      <c r="A39" s="662"/>
      <c r="B39" s="7"/>
      <c r="C39" s="7"/>
    </row>
    <row r="40" spans="1:3" ht="13">
      <c r="A40" s="662"/>
      <c r="B40" s="7"/>
      <c r="C40" s="7"/>
    </row>
    <row r="41" spans="1:3" ht="13">
      <c r="A41" s="662"/>
      <c r="B41" s="7"/>
      <c r="C41" s="7"/>
    </row>
    <row r="42" spans="1:3" ht="13">
      <c r="A42" s="660"/>
      <c r="B42" s="7"/>
      <c r="C42" s="7"/>
    </row>
    <row r="43" spans="1:3">
      <c r="A43" s="260"/>
      <c r="B43" s="7"/>
      <c r="C43" s="7"/>
    </row>
    <row r="44" spans="1:3">
      <c r="A44" s="260"/>
      <c r="B44" s="7"/>
      <c r="C44" s="7"/>
    </row>
    <row r="45" spans="1:3">
      <c r="A45" s="260"/>
      <c r="B45" s="7"/>
      <c r="C45" s="7"/>
    </row>
    <row r="46" spans="1:3">
      <c r="A46" s="260"/>
      <c r="B46" s="7"/>
      <c r="C46" s="7"/>
    </row>
    <row r="47" spans="1:3">
      <c r="A47" s="260"/>
      <c r="B47" s="7"/>
      <c r="C47" s="7"/>
    </row>
    <row r="48" spans="1:3">
      <c r="A48" s="260"/>
      <c r="B48" s="7"/>
      <c r="C48" s="7"/>
    </row>
    <row r="49" spans="1:3">
      <c r="A49" s="260"/>
      <c r="B49" s="7"/>
      <c r="C49" s="7"/>
    </row>
    <row r="50" spans="1:3">
      <c r="A50" s="260"/>
      <c r="B50" s="7"/>
      <c r="C50" s="7"/>
    </row>
    <row r="51" spans="1:3">
      <c r="A51" s="260"/>
      <c r="B51" s="7"/>
      <c r="C51" s="7"/>
    </row>
    <row r="52" spans="1:3">
      <c r="A52" s="260"/>
      <c r="B52" s="7"/>
      <c r="C52" s="7"/>
    </row>
    <row r="53" spans="1:3">
      <c r="A53" s="260"/>
      <c r="B53" s="7"/>
      <c r="C53" s="7"/>
    </row>
    <row r="54" spans="1:3">
      <c r="A54" s="260"/>
      <c r="B54" s="7"/>
      <c r="C54" s="7"/>
    </row>
    <row r="55" spans="1:3">
      <c r="A55" s="260"/>
      <c r="B55" s="7"/>
      <c r="C55" s="7"/>
    </row>
    <row r="56" spans="1:3">
      <c r="A56" s="260"/>
      <c r="B56" s="7"/>
      <c r="C56" s="7"/>
    </row>
    <row r="57" spans="1:3">
      <c r="A57" s="260"/>
      <c r="B57" s="7"/>
      <c r="C57" s="7"/>
    </row>
    <row r="58" spans="1:3">
      <c r="A58" s="260"/>
      <c r="B58" s="7"/>
      <c r="C58" s="7"/>
    </row>
    <row r="59" spans="1:3">
      <c r="A59" s="260"/>
      <c r="B59" s="7"/>
      <c r="C59" s="7"/>
    </row>
    <row r="60" spans="1:3">
      <c r="A60" s="260"/>
      <c r="B60" s="7"/>
      <c r="C60" s="7"/>
    </row>
    <row r="61" spans="1:3">
      <c r="A61" s="260"/>
      <c r="B61" s="7"/>
      <c r="C61" s="7"/>
    </row>
    <row r="62" spans="1:3" ht="13">
      <c r="A62" s="660"/>
      <c r="B62" s="7"/>
      <c r="C62" s="7"/>
    </row>
    <row r="63" spans="1:3" ht="13">
      <c r="A63" s="660"/>
      <c r="B63" s="7"/>
      <c r="C63" s="7"/>
    </row>
    <row r="64" spans="1:3" ht="13">
      <c r="A64" s="662"/>
      <c r="B64" s="7"/>
      <c r="C64" s="7"/>
    </row>
    <row r="65" spans="1:3" ht="13">
      <c r="A65" s="662"/>
      <c r="B65" s="7"/>
      <c r="C65" s="7"/>
    </row>
    <row r="66" spans="1:3" ht="13">
      <c r="A66" s="662"/>
      <c r="B66" s="7"/>
      <c r="C66" s="7"/>
    </row>
    <row r="67" spans="1:3" ht="13">
      <c r="A67" s="662"/>
      <c r="B67" s="7"/>
      <c r="C67" s="7"/>
    </row>
    <row r="68" spans="1:3" ht="13">
      <c r="A68" s="662"/>
      <c r="B68" s="7"/>
      <c r="C68" s="7"/>
    </row>
    <row r="69" spans="1:3" ht="13">
      <c r="A69" s="662"/>
      <c r="B69" s="7"/>
      <c r="C69" s="7"/>
    </row>
    <row r="70" spans="1:3" ht="13">
      <c r="A70" s="660"/>
      <c r="B70" s="7"/>
      <c r="C70" s="7"/>
    </row>
    <row r="71" spans="1:3">
      <c r="A71" s="260"/>
      <c r="B71" s="7"/>
      <c r="C71" s="7"/>
    </row>
    <row r="72" spans="1:3">
      <c r="A72" s="260"/>
      <c r="B72" s="7"/>
      <c r="C72" s="7"/>
    </row>
    <row r="73" spans="1:3">
      <c r="A73" s="260"/>
      <c r="B73" s="7"/>
      <c r="C73" s="7"/>
    </row>
    <row r="74" spans="1:3">
      <c r="A74" s="260"/>
      <c r="B74" s="7"/>
      <c r="C74" s="7"/>
    </row>
    <row r="75" spans="1:3">
      <c r="A75" s="260"/>
      <c r="B75" s="7"/>
      <c r="C75" s="7"/>
    </row>
    <row r="76" spans="1:3">
      <c r="A76" s="260"/>
      <c r="B76" s="7"/>
      <c r="C76" s="7"/>
    </row>
    <row r="77" spans="1:3">
      <c r="A77" s="260"/>
      <c r="B77" s="7"/>
      <c r="C77" s="7"/>
    </row>
    <row r="78" spans="1:3">
      <c r="A78" s="260"/>
      <c r="B78" s="7"/>
      <c r="C78" s="7"/>
    </row>
    <row r="79" spans="1:3">
      <c r="A79" s="260"/>
      <c r="B79" s="7"/>
      <c r="C79" s="7"/>
    </row>
    <row r="80" spans="1:3">
      <c r="A80" s="260"/>
      <c r="B80" s="7"/>
      <c r="C80" s="7"/>
    </row>
    <row r="81" spans="1:3">
      <c r="A81" s="260"/>
      <c r="B81" s="7"/>
      <c r="C81" s="7"/>
    </row>
    <row r="82" spans="1:3">
      <c r="A82" s="260"/>
      <c r="B82" s="7"/>
      <c r="C82" s="7"/>
    </row>
    <row r="83" spans="1:3">
      <c r="A83" s="260"/>
      <c r="B83" s="7"/>
      <c r="C83" s="7"/>
    </row>
    <row r="84" spans="1:3">
      <c r="A84" s="260"/>
      <c r="B84" s="7"/>
      <c r="C84" s="7"/>
    </row>
    <row r="85" spans="1:3">
      <c r="A85" s="260"/>
      <c r="B85" s="7"/>
      <c r="C85" s="7"/>
    </row>
    <row r="86" spans="1:3">
      <c r="A86" s="260"/>
      <c r="B86" s="7"/>
      <c r="C86" s="7"/>
    </row>
    <row r="87" spans="1:3">
      <c r="A87" s="260"/>
      <c r="B87" s="7"/>
      <c r="C87" s="7"/>
    </row>
    <row r="88" spans="1:3">
      <c r="A88" s="260"/>
      <c r="B88" s="7"/>
      <c r="C88" s="7"/>
    </row>
    <row r="89" spans="1:3">
      <c r="A89" s="260"/>
      <c r="B89" s="7"/>
      <c r="C89" s="7"/>
    </row>
    <row r="90" spans="1:3" ht="13">
      <c r="A90" s="660"/>
      <c r="B90" s="7"/>
      <c r="C90" s="7"/>
    </row>
    <row r="91" spans="1:3" ht="13">
      <c r="A91" s="660"/>
      <c r="B91" s="7"/>
      <c r="C91" s="7"/>
    </row>
    <row r="92" spans="1:3" ht="13">
      <c r="A92" s="662"/>
      <c r="B92" s="7"/>
      <c r="C92" s="7"/>
    </row>
    <row r="93" spans="1:3" ht="13">
      <c r="A93" s="662"/>
      <c r="B93" s="7"/>
      <c r="C93" s="7"/>
    </row>
    <row r="94" spans="1:3" ht="13">
      <c r="A94" s="662"/>
      <c r="B94" s="7"/>
      <c r="C94" s="7"/>
    </row>
    <row r="95" spans="1:3" ht="13">
      <c r="A95" s="662"/>
      <c r="B95" s="7"/>
      <c r="C95" s="7"/>
    </row>
    <row r="96" spans="1:3" ht="13">
      <c r="A96" s="662"/>
      <c r="B96" s="7"/>
      <c r="C96" s="7"/>
    </row>
    <row r="97" spans="1:3" ht="13">
      <c r="A97" s="660"/>
      <c r="B97" s="7"/>
      <c r="C97" s="7"/>
    </row>
    <row r="98" spans="1:3" ht="13">
      <c r="A98" s="660"/>
      <c r="B98" s="7"/>
      <c r="C98" s="7"/>
    </row>
    <row r="99" spans="1:3">
      <c r="A99" s="260"/>
      <c r="B99" s="7"/>
      <c r="C99" s="7"/>
    </row>
    <row r="100" spans="1:3">
      <c r="A100" s="260"/>
      <c r="B100" s="7"/>
      <c r="C100" s="7"/>
    </row>
    <row r="101" spans="1:3">
      <c r="A101" s="260"/>
      <c r="B101" s="7"/>
      <c r="C101" s="7"/>
    </row>
    <row r="102" spans="1:3">
      <c r="A102" s="260"/>
      <c r="B102" s="7"/>
      <c r="C102" s="7"/>
    </row>
    <row r="103" spans="1:3">
      <c r="A103" s="260"/>
      <c r="B103" s="7"/>
      <c r="C103" s="7"/>
    </row>
    <row r="104" spans="1:3">
      <c r="A104" s="260"/>
      <c r="B104" s="7"/>
      <c r="C104" s="7"/>
    </row>
    <row r="105" spans="1:3">
      <c r="A105" s="260"/>
      <c r="B105" s="7"/>
      <c r="C105" s="7"/>
    </row>
    <row r="106" spans="1:3">
      <c r="A106" s="260"/>
      <c r="B106" s="7"/>
      <c r="C106" s="7"/>
    </row>
    <row r="107" spans="1:3">
      <c r="A107" s="260"/>
      <c r="B107" s="7"/>
      <c r="C107" s="7"/>
    </row>
    <row r="108" spans="1:3">
      <c r="A108" s="260"/>
      <c r="B108" s="7"/>
      <c r="C108" s="7"/>
    </row>
    <row r="109" spans="1:3">
      <c r="A109" s="260"/>
      <c r="B109" s="7"/>
      <c r="C109" s="7"/>
    </row>
    <row r="110" spans="1:3" ht="13">
      <c r="A110" s="660"/>
      <c r="B110" s="7"/>
      <c r="C110" s="7"/>
    </row>
    <row r="111" spans="1:3" ht="13">
      <c r="A111" s="660"/>
      <c r="B111" s="7"/>
      <c r="C111" s="7"/>
    </row>
    <row r="112" spans="1:3" ht="13">
      <c r="A112" s="662"/>
      <c r="B112" s="7"/>
      <c r="C112" s="7"/>
    </row>
    <row r="113" spans="1:3" ht="13">
      <c r="A113" s="662"/>
      <c r="B113" s="7"/>
      <c r="C113" s="7"/>
    </row>
    <row r="114" spans="1:3" ht="13">
      <c r="A114" s="662"/>
      <c r="B114" s="7"/>
      <c r="C114" s="7"/>
    </row>
    <row r="115" spans="1:3" ht="13">
      <c r="A115" s="662"/>
      <c r="B115" s="7"/>
      <c r="C115" s="7"/>
    </row>
    <row r="116" spans="1:3" ht="13">
      <c r="A116" s="662"/>
      <c r="B116" s="7"/>
      <c r="C116" s="7"/>
    </row>
    <row r="117" spans="1:3" ht="13">
      <c r="A117" s="662"/>
      <c r="B117" s="7"/>
      <c r="C117" s="7"/>
    </row>
    <row r="118" spans="1:3" ht="13">
      <c r="A118" s="662"/>
      <c r="B118" s="7"/>
      <c r="C118" s="7"/>
    </row>
    <row r="119" spans="1:3" ht="13">
      <c r="A119" s="662"/>
      <c r="B119" s="7"/>
      <c r="C119" s="7"/>
    </row>
    <row r="120" spans="1:3" ht="13">
      <c r="A120" s="660"/>
      <c r="B120" s="7"/>
      <c r="C120" s="7"/>
    </row>
    <row r="121" spans="1:3">
      <c r="A121" s="260"/>
      <c r="B121" s="7"/>
      <c r="C121" s="7"/>
    </row>
    <row r="122" spans="1:3">
      <c r="A122" s="260"/>
      <c r="B122" s="7"/>
      <c r="C122" s="7"/>
    </row>
    <row r="123" spans="1:3">
      <c r="A123" s="260"/>
      <c r="B123" s="7"/>
      <c r="C123" s="7"/>
    </row>
    <row r="124" spans="1:3">
      <c r="A124" s="260"/>
      <c r="B124" s="7"/>
      <c r="C124" s="7"/>
    </row>
    <row r="125" spans="1:3">
      <c r="A125" s="260"/>
      <c r="B125" s="7"/>
      <c r="C125" s="7"/>
    </row>
    <row r="126" spans="1:3">
      <c r="A126" s="260"/>
      <c r="B126" s="7"/>
      <c r="C126" s="7"/>
    </row>
    <row r="127" spans="1:3">
      <c r="A127" s="260"/>
      <c r="B127" s="7"/>
      <c r="C127" s="7"/>
    </row>
    <row r="128" spans="1:3">
      <c r="A128" s="260"/>
      <c r="B128" s="7"/>
      <c r="C128" s="7"/>
    </row>
    <row r="129" spans="1:3">
      <c r="A129" s="260"/>
      <c r="B129" s="7"/>
      <c r="C129" s="7"/>
    </row>
    <row r="130" spans="1:3">
      <c r="A130" s="260"/>
      <c r="B130" s="7"/>
      <c r="C130" s="7"/>
    </row>
    <row r="131" spans="1:3">
      <c r="A131" s="260"/>
      <c r="B131" s="7"/>
      <c r="C131" s="7"/>
    </row>
    <row r="132" spans="1:3">
      <c r="A132" s="260"/>
      <c r="B132" s="7"/>
      <c r="C132" s="7"/>
    </row>
    <row r="133" spans="1:3">
      <c r="A133" s="260"/>
      <c r="B133" s="7"/>
      <c r="C133" s="7"/>
    </row>
    <row r="134" spans="1:3">
      <c r="A134" s="260"/>
      <c r="B134" s="7"/>
      <c r="C134" s="7"/>
    </row>
    <row r="135" spans="1:3">
      <c r="A135" s="260"/>
      <c r="B135" s="7"/>
      <c r="C135" s="7"/>
    </row>
    <row r="136" spans="1:3">
      <c r="A136" s="260"/>
      <c r="B136" s="7"/>
      <c r="C136" s="7"/>
    </row>
    <row r="137" spans="1:3" ht="13">
      <c r="A137" s="660"/>
      <c r="B137" s="7"/>
      <c r="C137" s="7"/>
    </row>
    <row r="138" spans="1:3" ht="13">
      <c r="A138" s="660"/>
      <c r="B138" s="7"/>
      <c r="C138" s="7"/>
    </row>
    <row r="139" spans="1:3" ht="13">
      <c r="A139" s="662"/>
      <c r="B139" s="7"/>
      <c r="C139" s="7"/>
    </row>
    <row r="140" spans="1:3" ht="13">
      <c r="A140" s="662"/>
      <c r="B140" s="7"/>
      <c r="C140" s="7"/>
    </row>
    <row r="141" spans="1:3" ht="13">
      <c r="A141" s="660"/>
      <c r="B141" s="7"/>
      <c r="C141" s="7"/>
    </row>
    <row r="142" spans="1:3" ht="13">
      <c r="A142" s="662"/>
      <c r="B142" s="7"/>
      <c r="C142" s="7"/>
    </row>
    <row r="143" spans="1:3" ht="13">
      <c r="A143" s="662"/>
      <c r="B143" s="7"/>
      <c r="C143" s="7"/>
    </row>
    <row r="144" spans="1:3" ht="13">
      <c r="A144" s="662"/>
      <c r="B144" s="7"/>
      <c r="C144" s="7"/>
    </row>
    <row r="145" spans="1:3" ht="13">
      <c r="A145" s="662"/>
      <c r="B145" s="7"/>
      <c r="C145" s="7"/>
    </row>
    <row r="146" spans="1:3" ht="13">
      <c r="A146" s="662"/>
      <c r="B146" s="7"/>
      <c r="C146" s="7"/>
    </row>
    <row r="147" spans="1:3" ht="13">
      <c r="A147" s="660"/>
      <c r="B147" s="7"/>
      <c r="C147" s="7"/>
    </row>
    <row r="148" spans="1:3">
      <c r="A148" s="260"/>
      <c r="B148" s="7"/>
      <c r="C148" s="7"/>
    </row>
    <row r="149" spans="1:3">
      <c r="A149" s="260"/>
      <c r="B149" s="7"/>
      <c r="C149" s="7"/>
    </row>
    <row r="150" spans="1:3">
      <c r="A150" s="260"/>
      <c r="B150" s="7"/>
      <c r="C150" s="7"/>
    </row>
    <row r="151" spans="1:3">
      <c r="A151" s="260"/>
      <c r="B151" s="7"/>
      <c r="C151" s="7"/>
    </row>
    <row r="152" spans="1:3">
      <c r="A152" s="260"/>
      <c r="B152" s="7"/>
      <c r="C152" s="7"/>
    </row>
    <row r="153" spans="1:3">
      <c r="A153" s="260"/>
      <c r="B153" s="7"/>
      <c r="C153" s="7"/>
    </row>
    <row r="154" spans="1:3">
      <c r="A154" s="260"/>
      <c r="B154" s="7"/>
      <c r="C154" s="7"/>
    </row>
    <row r="155" spans="1:3">
      <c r="A155" s="260"/>
      <c r="B155" s="7"/>
      <c r="C155" s="7"/>
    </row>
    <row r="156" spans="1:3" ht="13">
      <c r="A156" s="660"/>
      <c r="B156" s="7"/>
      <c r="C156" s="7"/>
    </row>
    <row r="157" spans="1:3" ht="13">
      <c r="A157" s="660"/>
      <c r="B157" s="7"/>
      <c r="C157" s="7"/>
    </row>
    <row r="158" spans="1:3" ht="13">
      <c r="A158" s="662"/>
      <c r="B158" s="7"/>
      <c r="C158" s="7"/>
    </row>
    <row r="159" spans="1:3" ht="13">
      <c r="A159" s="662"/>
      <c r="B159" s="7"/>
      <c r="C159" s="7"/>
    </row>
    <row r="160" spans="1:3" ht="13">
      <c r="A160" s="662"/>
      <c r="B160" s="7"/>
      <c r="C160" s="7"/>
    </row>
    <row r="161" spans="1:3">
      <c r="A161" s="260"/>
      <c r="B161" s="7"/>
      <c r="C161" s="7"/>
    </row>
    <row r="162" spans="1:3" ht="13">
      <c r="A162" s="660"/>
      <c r="B162" s="7"/>
      <c r="C162" s="7"/>
    </row>
    <row r="163" spans="1:3">
      <c r="A163" s="260"/>
      <c r="B163" s="7"/>
      <c r="C163" s="7"/>
    </row>
    <row r="164" spans="1:3">
      <c r="A164" s="260"/>
      <c r="B164" s="7"/>
      <c r="C164" s="7"/>
    </row>
    <row r="165" spans="1:3">
      <c r="A165" s="260"/>
      <c r="B165" s="7"/>
      <c r="C165" s="7"/>
    </row>
    <row r="166" spans="1:3">
      <c r="A166" s="260"/>
      <c r="B166" s="7"/>
      <c r="C166" s="7"/>
    </row>
    <row r="167" spans="1:3">
      <c r="A167" s="260"/>
      <c r="B167" s="7"/>
      <c r="C167" s="7"/>
    </row>
    <row r="168" spans="1:3">
      <c r="A168" s="260"/>
      <c r="B168" s="7"/>
      <c r="C168" s="7"/>
    </row>
    <row r="169" spans="1:3">
      <c r="A169" s="260"/>
      <c r="B169" s="7"/>
      <c r="C169" s="7"/>
    </row>
    <row r="170" spans="1:3">
      <c r="A170" s="260"/>
      <c r="B170" s="7"/>
      <c r="C170" s="7"/>
    </row>
    <row r="171" spans="1:3">
      <c r="A171" s="260"/>
      <c r="B171" s="7"/>
      <c r="C171" s="7"/>
    </row>
    <row r="172" spans="1:3">
      <c r="A172" s="260"/>
      <c r="B172" s="7"/>
      <c r="C172" s="7"/>
    </row>
    <row r="173" spans="1:3">
      <c r="A173" s="260"/>
      <c r="B173" s="7"/>
      <c r="C173" s="7"/>
    </row>
    <row r="174" spans="1:3">
      <c r="A174" s="260"/>
      <c r="B174" s="7"/>
      <c r="C174" s="7"/>
    </row>
    <row r="175" spans="1:3">
      <c r="A175" s="260"/>
      <c r="B175" s="7"/>
      <c r="C175" s="7"/>
    </row>
    <row r="176" spans="1:3">
      <c r="A176" s="260"/>
      <c r="B176" s="7"/>
      <c r="C176" s="7"/>
    </row>
    <row r="177" spans="1:3">
      <c r="A177" s="260"/>
      <c r="B177" s="7"/>
      <c r="C177" s="7"/>
    </row>
    <row r="178" spans="1:3">
      <c r="A178" s="260"/>
      <c r="B178" s="7"/>
      <c r="C178" s="7"/>
    </row>
    <row r="179" spans="1:3">
      <c r="A179" s="260"/>
      <c r="B179" s="7"/>
      <c r="C179" s="7"/>
    </row>
    <row r="180" spans="1:3">
      <c r="A180" s="260"/>
      <c r="B180" s="7"/>
      <c r="C180" s="7"/>
    </row>
    <row r="181" spans="1:3">
      <c r="A181" s="260"/>
      <c r="B181" s="7"/>
      <c r="C181" s="7"/>
    </row>
    <row r="182" spans="1:3">
      <c r="A182" s="260"/>
      <c r="B182" s="7"/>
      <c r="C182" s="7"/>
    </row>
    <row r="183" spans="1:3">
      <c r="A183" s="260"/>
      <c r="B183" s="7"/>
      <c r="C183" s="7"/>
    </row>
    <row r="184" spans="1:3">
      <c r="A184" s="260"/>
      <c r="B184" s="7"/>
      <c r="C184" s="7"/>
    </row>
    <row r="185" spans="1:3" ht="13">
      <c r="A185" s="660"/>
      <c r="B185" s="7"/>
      <c r="C185" s="7"/>
    </row>
    <row r="186" spans="1:3" ht="13">
      <c r="A186" s="660"/>
      <c r="B186" s="7"/>
      <c r="C186" s="7"/>
    </row>
    <row r="187" spans="1:3" ht="13">
      <c r="A187" s="662"/>
      <c r="B187" s="7"/>
      <c r="C187" s="7"/>
    </row>
    <row r="188" spans="1:3">
      <c r="A188" s="260"/>
      <c r="B188" s="7"/>
      <c r="C188" s="7"/>
    </row>
    <row r="189" spans="1:3">
      <c r="A189" s="260"/>
      <c r="B189" s="7"/>
      <c r="C189" s="7"/>
    </row>
    <row r="190" spans="1:3" ht="13">
      <c r="A190" s="660"/>
      <c r="B190" s="7"/>
      <c r="C190" s="7"/>
    </row>
    <row r="191" spans="1:3">
      <c r="A191" s="260"/>
      <c r="B191" s="7"/>
      <c r="C191" s="7"/>
    </row>
    <row r="192" spans="1:3">
      <c r="A192" s="260"/>
      <c r="B192" s="7"/>
      <c r="C192" s="7"/>
    </row>
    <row r="193" spans="1:3">
      <c r="A193" s="260"/>
      <c r="B193" s="7"/>
      <c r="C193" s="7"/>
    </row>
    <row r="194" spans="1:3">
      <c r="A194" s="260"/>
      <c r="B194" s="7"/>
      <c r="C194" s="7"/>
    </row>
    <row r="195" spans="1:3">
      <c r="A195" s="260"/>
      <c r="B195" s="7"/>
      <c r="C195" s="7"/>
    </row>
    <row r="196" spans="1:3">
      <c r="A196" s="260"/>
      <c r="B196" s="7"/>
      <c r="C196" s="7"/>
    </row>
  </sheetData>
  <customSheetViews>
    <customSheetView guid="{567C3053-2D8E-4705-8DC7-18896C5303CA}" showPageBreaks="1" topLeftCell="A7">
      <selection activeCell="D32" sqref="D32"/>
      <pageMargins left="0.7" right="0.7" top="0.75" bottom="0.75" header="0.3" footer="0.3"/>
      <pageSetup orientation="portrait" r:id="rId1"/>
    </customSheetView>
    <customSheetView guid="{9D4F0482-B164-4671-805A-E0D2D4DD4720}">
      <selection activeCell="C21" sqref="C21"/>
      <pageMargins left="0.7" right="0.7" top="0.75" bottom="0.75" header="0.3" footer="0.3"/>
      <pageSetup orientation="portrait" r:id="rId2"/>
    </customSheetView>
    <customSheetView guid="{78CA186D-B240-44D5-8A24-D241DE0B0FD9}">
      <selection activeCell="A26" sqref="A26"/>
      <pageMargins left="0.7" right="0.7" top="0.75" bottom="0.75" header="0.3" footer="0.3"/>
      <pageSetup orientation="portrait" r:id="rId3"/>
    </customSheetView>
    <customSheetView guid="{455630F5-40FC-47DB-8AD4-712C20B8FB91}">
      <selection activeCell="C21" sqref="C21"/>
      <pageMargins left="0.7" right="0.7" top="0.75" bottom="0.75" header="0.3" footer="0.3"/>
      <pageSetup orientation="portrait" r:id="rId4"/>
    </customSheetView>
    <customSheetView guid="{AEFEB150-9213-45F5-A178-7AC71E46DB11}">
      <selection activeCell="A21" sqref="A21:A22"/>
      <pageMargins left="0.7" right="0.7" top="0.75" bottom="0.75" header="0.3" footer="0.3"/>
      <pageSetup orientation="portrait" r:id="rId5"/>
    </customSheetView>
    <customSheetView guid="{1E5198E1-BA46-4CE0-8628-4F695B0D7A3B}">
      <selection activeCell="C21" sqref="C21"/>
      <pageMargins left="0.7" right="0.7" top="0.75" bottom="0.75" header="0.3" footer="0.3"/>
      <pageSetup orientation="portrait" r:id="rId6"/>
    </customSheetView>
    <customSheetView guid="{F784130D-F647-4ABA-8943-C79CA5B0FDC4}">
      <selection activeCell="C21" sqref="C21"/>
      <pageMargins left="0.7" right="0.7" top="0.75" bottom="0.75" header="0.3" footer="0.3"/>
      <pageSetup orientation="portrait" r:id="rId7"/>
    </customSheetView>
    <customSheetView guid="{8F508F4D-4777-42BE-9707-8CB9355F7BDB}">
      <selection activeCell="C21" sqref="C21"/>
      <pageMargins left="0.7" right="0.7" top="0.75" bottom="0.75" header="0.3" footer="0.3"/>
      <pageSetup orientation="portrait" r:id="rId8"/>
    </customSheetView>
    <customSheetView guid="{E44F5FE1-54FC-4AB3-84F9-7D65ACF2DDE7}">
      <selection activeCell="C21" sqref="C21"/>
      <pageMargins left="0.7" right="0.7" top="0.75" bottom="0.75" header="0.3" footer="0.3"/>
      <pageSetup orientation="portrait" r:id="rId9"/>
    </customSheetView>
    <customSheetView guid="{50528D02-548E-47E0-94D7-D1E79CD3569C}">
      <selection activeCell="C21" sqref="C21"/>
      <pageMargins left="0.7" right="0.7" top="0.75" bottom="0.75" header="0.3" footer="0.3"/>
      <pageSetup orientation="portrait" r:id="rId10"/>
    </customSheetView>
    <customSheetView guid="{A2518DB3-3A80-4035-9307-EC50A7C923F2}">
      <selection activeCell="C21" sqref="C21"/>
      <pageMargins left="0.7" right="0.7" top="0.75" bottom="0.75" header="0.3" footer="0.3"/>
      <pageSetup orientation="portrait" r:id="rId11"/>
    </customSheetView>
    <customSheetView guid="{E81D05A4-5B21-42D3-A8D3-906ABCABC0F4}">
      <selection activeCell="H28" sqref="H28"/>
      <pageMargins left="0.7" right="0.7" top="0.75" bottom="0.75" header="0.3" footer="0.3"/>
      <pageSetup orientation="portrait" r:id="rId12"/>
    </customSheetView>
  </customSheetViews>
  <pageMargins left="0.7" right="0.7" top="0.75" bottom="0.75" header="0.3" footer="0.3"/>
  <pageSetup orientation="portrait" r:id="rId1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12</vt:i4>
      </vt:variant>
    </vt:vector>
  </HeadingPairs>
  <TitlesOfParts>
    <vt:vector size="12" baseType="lpstr">
      <vt:lpstr>Guide</vt:lpstr>
      <vt:lpstr>FY2013 by Approp Title</vt:lpstr>
      <vt:lpstr>FY2013 By Approp Title-Adj</vt:lpstr>
      <vt:lpstr>FY 2013 by Agency</vt:lpstr>
      <vt:lpstr>FY 2013 by Agency-Adj</vt:lpstr>
      <vt:lpstr>Inflator</vt:lpstr>
      <vt:lpstr>Changes</vt:lpstr>
      <vt:lpstr>FY 2013 Notes</vt:lpstr>
      <vt:lpstr>Budget Shifts</vt:lpstr>
      <vt:lpstr>Sheet 4</vt:lpstr>
      <vt:lpstr>Sheet 5</vt:lpstr>
      <vt:lpstr>Sheet 6</vt:lpstr>
    </vt:vector>
  </TitlesOfParts>
  <Company>Organization</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Name</dc:creator>
  <cp:lastModifiedBy>silverman</cp:lastModifiedBy>
  <cp:lastPrinted>2010-04-02T19:45:26Z</cp:lastPrinted>
  <dcterms:created xsi:type="dcterms:W3CDTF">2005-02-15T20:21:00Z</dcterms:created>
  <dcterms:modified xsi:type="dcterms:W3CDTF">2012-04-23T13:58:04Z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1281823858</vt:i4>
  </property>
  <property fmtid="{D5CDD505-2E9C-101B-9397-08002B2CF9AE}" pid="3" name="_EmailSubject">
    <vt:lpwstr/>
  </property>
  <property fmtid="{D5CDD505-2E9C-101B-9397-08002B2CF9AE}" pid="4" name="_AuthorEmail">
    <vt:lpwstr>rodgers@dcfpi.org</vt:lpwstr>
  </property>
  <property fmtid="{D5CDD505-2E9C-101B-9397-08002B2CF9AE}" pid="5" name="_AuthorEmailDisplayName">
    <vt:lpwstr>Angie Rodgers</vt:lpwstr>
  </property>
  <property fmtid="{D5CDD505-2E9C-101B-9397-08002B2CF9AE}" pid="6" name="_ReviewingToolsShownOnce">
    <vt:lpwstr/>
  </property>
</Properties>
</file>